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marte\FS_CAMIL\43_ESCRITORIO_CENTRAL\RELACOES_INVESTIDORES\Relacoes Investidores\Resultados\2025\2T25\Para Arquivar\Site\"/>
    </mc:Choice>
  </mc:AlternateContent>
  <xr:revisionPtr revIDLastSave="0" documentId="8_{5346F35F-1B23-436A-ADA4-6EDB5421D68B}" xr6:coauthVersionLast="47" xr6:coauthVersionMax="47" xr10:uidLastSave="{00000000-0000-0000-0000-000000000000}"/>
  <bookViews>
    <workbookView xWindow="-110" yWindow="-110" windowWidth="19420" windowHeight="10300" tabRatio="777" xr2:uid="{00000000-000D-0000-FFFF-FFFF00000000}"/>
  </bookViews>
  <sheets>
    <sheet name="Control" sheetId="2" r:id="rId1"/>
    <sheet name="P&amp;L" sheetId="1" r:id="rId2"/>
    <sheet name="BS" sheetId="3" r:id="rId3"/>
    <sheet name="P&amp;L Segments" sheetId="7" r:id="rId4"/>
    <sheet name="CF" sheetId="5" r:id="rId5"/>
    <sheet name="Support" sheetId="6" r:id="rId6"/>
  </sheets>
  <definedNames>
    <definedName name="_xlnm.Print_Area" localSheetId="2">BS!$B$2:$CG$100</definedName>
    <definedName name="_xlnm.Print_Area" localSheetId="4">CF!$B$2:$BV$80</definedName>
    <definedName name="_xlnm.Print_Area" localSheetId="1">'P&amp;L'!$B$2:$CG$53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25" i="6" l="1"/>
  <c r="BU20" i="6"/>
  <c r="BU79" i="5"/>
  <c r="BU80" i="5"/>
  <c r="BU39" i="5"/>
  <c r="BU31" i="5"/>
  <c r="BU28" i="5"/>
  <c r="BU32" i="7"/>
  <c r="BU36" i="7" s="1"/>
  <c r="BU28" i="7"/>
  <c r="BU29" i="7"/>
  <c r="BU49" i="7"/>
  <c r="BU52" i="7"/>
  <c r="BU56" i="7" s="1"/>
  <c r="BU58" i="7" s="1"/>
  <c r="BU79" i="7" s="1"/>
  <c r="BU73" i="7"/>
  <c r="BU74" i="7"/>
  <c r="BU77" i="7"/>
  <c r="BU70" i="7"/>
  <c r="BU35" i="7"/>
  <c r="BU37" i="7"/>
  <c r="BU38" i="7"/>
  <c r="BU39" i="7"/>
  <c r="BU40" i="7"/>
  <c r="BU41" i="7"/>
  <c r="BU23" i="3"/>
  <c r="BU25" i="3"/>
  <c r="C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U104" i="3"/>
  <c r="BU105" i="3"/>
  <c r="BU106" i="3"/>
  <c r="BU107" i="3" s="1"/>
  <c r="BU108" i="3"/>
  <c r="BU102" i="3" s="1"/>
  <c r="BU103" i="3" s="1"/>
  <c r="BU109" i="3"/>
  <c r="BU110" i="3"/>
  <c r="BU112" i="3"/>
  <c r="BU113" i="3"/>
  <c r="BU114" i="3"/>
  <c r="BU115" i="3"/>
  <c r="BU99" i="3"/>
  <c r="BU100" i="3"/>
  <c r="BU97" i="3"/>
  <c r="BU95" i="3"/>
  <c r="BU39" i="3"/>
  <c r="BU46" i="3" s="1"/>
  <c r="BU68" i="3"/>
  <c r="BU80" i="3"/>
  <c r="BU48" i="3"/>
  <c r="BU76" i="7" l="1"/>
  <c r="BU78" i="7"/>
  <c r="BU75" i="7"/>
  <c r="BU9" i="3" l="1"/>
  <c r="BU93" i="3"/>
  <c r="BU91" i="3"/>
  <c r="BU46" i="1"/>
  <c r="BU47" i="1"/>
  <c r="BU48" i="1"/>
  <c r="BU49" i="1"/>
  <c r="BU50" i="1"/>
  <c r="BU51" i="1"/>
  <c r="BU52" i="1"/>
  <c r="BU53" i="1"/>
  <c r="D8" i="2" l="1"/>
  <c r="B29" i="2"/>
  <c r="BU64" i="5"/>
  <c r="BU47" i="6"/>
  <c r="BU9" i="6"/>
  <c r="BU38" i="6"/>
  <c r="BU62" i="5"/>
  <c r="BU48" i="5"/>
  <c r="BU44" i="7"/>
  <c r="BU36" i="6" l="1"/>
  <c r="BT102" i="3" l="1"/>
  <c r="BU96" i="3"/>
  <c r="BU6" i="3"/>
  <c r="BU6" i="6"/>
  <c r="BU6" i="7"/>
  <c r="B9" i="5"/>
  <c r="BU6" i="5"/>
  <c r="BU38" i="1"/>
  <c r="BU37" i="1"/>
  <c r="BU36" i="1"/>
  <c r="BU6" i="1"/>
  <c r="BT53" i="7"/>
  <c r="BT67" i="7" s="1"/>
  <c r="BT49" i="7"/>
  <c r="BT52" i="7" s="1"/>
  <c r="BT76" i="7"/>
  <c r="BT47" i="6"/>
  <c r="BT38" i="6"/>
  <c r="BT25" i="6"/>
  <c r="BT20" i="6"/>
  <c r="BT79" i="5"/>
  <c r="BT74" i="5"/>
  <c r="BT62" i="5"/>
  <c r="BT31" i="5"/>
  <c r="BT28" i="5"/>
  <c r="BT6" i="5"/>
  <c r="BT73" i="7"/>
  <c r="BT68" i="7"/>
  <c r="BS68" i="7"/>
  <c r="BS67" i="7"/>
  <c r="BT105" i="3"/>
  <c r="BS105" i="3"/>
  <c r="BT75" i="7" l="1"/>
  <c r="BT56" i="7"/>
  <c r="BT58" i="7" s="1"/>
  <c r="BT78" i="7"/>
  <c r="BU40" i="1"/>
  <c r="BT36" i="6"/>
  <c r="BT39" i="5"/>
  <c r="BT48" i="5" s="1"/>
  <c r="BT78" i="5" s="1"/>
  <c r="BT80" i="5" s="1"/>
  <c r="BU43" i="1" l="1"/>
  <c r="BT66" i="7"/>
  <c r="BT70" i="7" s="1"/>
  <c r="BT79" i="7"/>
  <c r="BT77" i="7"/>
  <c r="B2" i="2"/>
  <c r="B19" i="2" l="1"/>
  <c r="B14" i="2" l="1"/>
  <c r="BT44" i="7"/>
  <c r="BT29" i="7"/>
  <c r="BT37" i="7"/>
  <c r="BT28" i="7"/>
  <c r="BT35" i="7"/>
  <c r="BT6" i="7"/>
  <c r="BT106" i="3"/>
  <c r="BT108" i="3"/>
  <c r="BT109" i="3" s="1"/>
  <c r="BT110" i="3"/>
  <c r="BT112" i="3"/>
  <c r="BT113" i="3" s="1"/>
  <c r="BT114" i="3"/>
  <c r="BT115" i="3"/>
  <c r="BT91" i="3"/>
  <c r="BT95" i="3"/>
  <c r="BT96" i="3" s="1"/>
  <c r="BT39" i="3"/>
  <c r="BT25" i="3"/>
  <c r="BT9" i="3"/>
  <c r="BT6" i="3"/>
  <c r="BT46" i="1"/>
  <c r="BT13" i="1"/>
  <c r="BT46" i="3" l="1"/>
  <c r="BT38" i="7"/>
  <c r="BT21" i="1"/>
  <c r="BT37" i="1" s="1"/>
  <c r="BT15" i="1"/>
  <c r="BT20" i="1" s="1"/>
  <c r="BT41" i="7"/>
  <c r="BT68" i="3"/>
  <c r="BT40" i="7"/>
  <c r="BT32" i="7"/>
  <c r="BT48" i="3"/>
  <c r="BT23" i="3"/>
  <c r="BT26" i="1"/>
  <c r="BT38" i="1" s="1"/>
  <c r="BT80" i="3" l="1"/>
  <c r="BT93" i="3" s="1"/>
  <c r="BT50" i="1"/>
  <c r="BT25" i="1"/>
  <c r="BT29" i="1" s="1"/>
  <c r="BT53" i="1" s="1"/>
  <c r="BT52" i="1"/>
  <c r="BT39" i="7"/>
  <c r="BT6" i="1"/>
  <c r="BT9" i="6"/>
  <c r="BT6" i="6"/>
  <c r="CN105" i="3"/>
  <c r="CN90" i="3"/>
  <c r="CN89" i="3"/>
  <c r="CN88" i="3"/>
  <c r="CN87" i="3"/>
  <c r="CN86" i="3"/>
  <c r="CN85" i="3"/>
  <c r="CN84" i="3"/>
  <c r="CN83" i="3"/>
  <c r="CN82" i="3"/>
  <c r="CN81" i="3"/>
  <c r="CN78" i="3"/>
  <c r="CN77" i="3"/>
  <c r="CN76" i="3"/>
  <c r="CN75" i="3"/>
  <c r="CN74" i="3"/>
  <c r="CN73" i="3"/>
  <c r="CN72" i="3"/>
  <c r="CN71" i="3"/>
  <c r="CN70" i="3"/>
  <c r="CN69" i="3"/>
  <c r="CN67" i="3"/>
  <c r="CN66" i="3"/>
  <c r="CN65" i="3"/>
  <c r="CN64" i="3"/>
  <c r="CN63" i="3"/>
  <c r="CN62" i="3"/>
  <c r="CN61" i="3"/>
  <c r="CN60" i="3"/>
  <c r="CN59" i="3"/>
  <c r="CN58" i="3"/>
  <c r="CN57" i="3"/>
  <c r="CN56" i="3"/>
  <c r="CN55" i="3"/>
  <c r="CN54" i="3"/>
  <c r="CN53" i="3"/>
  <c r="CN52" i="3"/>
  <c r="CN51" i="3"/>
  <c r="CN50" i="3"/>
  <c r="CN49" i="3"/>
  <c r="CN45" i="3"/>
  <c r="CN44" i="3"/>
  <c r="CN43" i="3"/>
  <c r="CN42" i="3"/>
  <c r="CN41" i="3"/>
  <c r="CN40" i="3"/>
  <c r="CN38" i="3"/>
  <c r="CN37" i="3"/>
  <c r="CN36" i="3"/>
  <c r="CN35" i="3"/>
  <c r="CN34" i="3"/>
  <c r="CN33" i="3"/>
  <c r="CN32" i="3"/>
  <c r="CN31" i="3"/>
  <c r="CN30" i="3"/>
  <c r="CN29" i="3"/>
  <c r="CN28" i="3"/>
  <c r="CN27" i="3"/>
  <c r="CN26" i="3"/>
  <c r="CN22" i="3"/>
  <c r="CN21" i="3"/>
  <c r="CN20" i="3"/>
  <c r="CN19" i="3"/>
  <c r="CN18" i="3"/>
  <c r="CN17" i="3"/>
  <c r="CN16" i="3"/>
  <c r="CN15" i="3"/>
  <c r="CN14" i="3"/>
  <c r="CN13" i="3"/>
  <c r="CN12" i="3"/>
  <c r="CN11" i="3"/>
  <c r="CN10" i="3"/>
  <c r="CN74" i="5"/>
  <c r="CN62" i="5"/>
  <c r="CN28" i="5"/>
  <c r="BS74" i="5"/>
  <c r="BS62" i="5"/>
  <c r="BS39" i="5"/>
  <c r="BS31" i="5"/>
  <c r="BS28" i="5"/>
  <c r="CH79" i="7"/>
  <c r="CH78" i="7"/>
  <c r="CH77" i="7"/>
  <c r="CH76" i="7"/>
  <c r="CH75" i="7"/>
  <c r="CH73" i="7"/>
  <c r="CH30" i="7"/>
  <c r="CH29" i="7"/>
  <c r="CH28" i="7"/>
  <c r="CH40" i="7"/>
  <c r="CH38" i="7"/>
  <c r="CH35" i="7"/>
  <c r="CH37" i="7"/>
  <c r="BS44" i="7"/>
  <c r="BR44" i="7"/>
  <c r="BQ44" i="7"/>
  <c r="BP44" i="7"/>
  <c r="BO44" i="7"/>
  <c r="BN44" i="7"/>
  <c r="BM44" i="7"/>
  <c r="BL44" i="7"/>
  <c r="BK44" i="7"/>
  <c r="BJ44" i="7"/>
  <c r="BI44" i="7"/>
  <c r="BH44" i="7"/>
  <c r="BG44" i="7"/>
  <c r="BF44" i="7"/>
  <c r="BE44" i="7"/>
  <c r="BD44" i="7"/>
  <c r="BC44" i="7"/>
  <c r="BB44" i="7"/>
  <c r="BA44" i="7"/>
  <c r="AZ44" i="7"/>
  <c r="AY44" i="7"/>
  <c r="AX44" i="7"/>
  <c r="AW44" i="7"/>
  <c r="AV44" i="7"/>
  <c r="AU44" i="7"/>
  <c r="AT44" i="7"/>
  <c r="AS44" i="7"/>
  <c r="AR44" i="7"/>
  <c r="AQ44" i="7"/>
  <c r="AP44" i="7"/>
  <c r="AO44" i="7"/>
  <c r="AN44" i="7"/>
  <c r="AM44" i="7"/>
  <c r="AL44" i="7"/>
  <c r="AK44" i="7"/>
  <c r="AJ44" i="7"/>
  <c r="AI44" i="7"/>
  <c r="AH44" i="7"/>
  <c r="AG44" i="7"/>
  <c r="AF44" i="7"/>
  <c r="AE44" i="7"/>
  <c r="AD44" i="7"/>
  <c r="AC44" i="7"/>
  <c r="AB44" i="7"/>
  <c r="AA44" i="7"/>
  <c r="Z44" i="7"/>
  <c r="Y44" i="7"/>
  <c r="X44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D6" i="7"/>
  <c r="BS48" i="5" l="1"/>
  <c r="BS78" i="5"/>
  <c r="BT36" i="1"/>
  <c r="BT40" i="1" s="1"/>
  <c r="BT31" i="1"/>
  <c r="BT30" i="1"/>
  <c r="CN39" i="5"/>
  <c r="CN31" i="5"/>
  <c r="BT43" i="1" l="1"/>
  <c r="BT51" i="1"/>
  <c r="CN48" i="5"/>
  <c r="CN78" i="5" s="1"/>
  <c r="CH41" i="7"/>
  <c r="CH39" i="7" l="1"/>
  <c r="BS79" i="7" l="1"/>
  <c r="BS78" i="7"/>
  <c r="BS76" i="7"/>
  <c r="BS75" i="7"/>
  <c r="BS73" i="7"/>
  <c r="BS66" i="7"/>
  <c r="BS70" i="7" s="1"/>
  <c r="BS77" i="7" l="1"/>
  <c r="BS28" i="7" l="1"/>
  <c r="BS32" i="7" s="1"/>
  <c r="BS41" i="7"/>
  <c r="BS40" i="7"/>
  <c r="BS38" i="7"/>
  <c r="BS37" i="7"/>
  <c r="BS35" i="7"/>
  <c r="BS6" i="5"/>
  <c r="BS52" i="6"/>
  <c r="CN52" i="6" s="1"/>
  <c r="BS53" i="6"/>
  <c r="CN53" i="6" s="1"/>
  <c r="BS42" i="6"/>
  <c r="CN42" i="6" s="1"/>
  <c r="BS40" i="6"/>
  <c r="BS51" i="6"/>
  <c r="CN51" i="6" s="1"/>
  <c r="CL55" i="6"/>
  <c r="CH55" i="6"/>
  <c r="BY55" i="6"/>
  <c r="BW55" i="6"/>
  <c r="BW47" i="6" s="1"/>
  <c r="BS55" i="6"/>
  <c r="CN55" i="6" s="1"/>
  <c r="BM55" i="6"/>
  <c r="BM47" i="6" s="1"/>
  <c r="BL55" i="6"/>
  <c r="CM55" i="6" s="1"/>
  <c r="AF55" i="6"/>
  <c r="AF47" i="6" s="1"/>
  <c r="AA55" i="6"/>
  <c r="T55" i="6"/>
  <c r="T47" i="6" s="1"/>
  <c r="T36" i="6" s="1"/>
  <c r="R55" i="6"/>
  <c r="R47" i="6" s="1"/>
  <c r="R36" i="6" s="1"/>
  <c r="P55" i="6"/>
  <c r="D55" i="6"/>
  <c r="B55" i="6"/>
  <c r="CN54" i="6"/>
  <c r="CM54" i="6"/>
  <c r="CL54" i="6"/>
  <c r="AA54" i="6"/>
  <c r="H54" i="6"/>
  <c r="H47" i="6" s="1"/>
  <c r="B54" i="6"/>
  <c r="CM53" i="6"/>
  <c r="CL53" i="6"/>
  <c r="AA53" i="6"/>
  <c r="B53" i="6"/>
  <c r="CM52" i="6"/>
  <c r="CL52" i="6"/>
  <c r="AA52" i="6"/>
  <c r="B52" i="6"/>
  <c r="CM51" i="6"/>
  <c r="CL51" i="6"/>
  <c r="AA51" i="6"/>
  <c r="B51" i="6"/>
  <c r="CM50" i="6"/>
  <c r="CL50" i="6"/>
  <c r="BS50" i="6"/>
  <c r="CN50" i="6" s="1"/>
  <c r="AA50" i="6"/>
  <c r="B50" i="6"/>
  <c r="CM49" i="6"/>
  <c r="CL49" i="6"/>
  <c r="BS49" i="6"/>
  <c r="CN49" i="6" s="1"/>
  <c r="AA49" i="6"/>
  <c r="B49" i="6"/>
  <c r="CM48" i="6"/>
  <c r="CL48" i="6"/>
  <c r="BS48" i="6"/>
  <c r="CN48" i="6" s="1"/>
  <c r="AA48" i="6"/>
  <c r="B48" i="6"/>
  <c r="CK47" i="6"/>
  <c r="CJ47" i="6"/>
  <c r="CI47" i="6"/>
  <c r="CH47" i="6"/>
  <c r="CH36" i="6" s="1"/>
  <c r="CG47" i="6"/>
  <c r="CF47" i="6"/>
  <c r="CE47" i="6"/>
  <c r="CD47" i="6"/>
  <c r="CC47" i="6"/>
  <c r="CB47" i="6"/>
  <c r="CA47" i="6"/>
  <c r="BZ47" i="6"/>
  <c r="BY47" i="6"/>
  <c r="BX47" i="6"/>
  <c r="BR47" i="6"/>
  <c r="BQ47" i="6"/>
  <c r="BP47" i="6"/>
  <c r="BO47" i="6"/>
  <c r="BN47" i="6"/>
  <c r="BL47" i="6"/>
  <c r="BK47" i="6"/>
  <c r="BJ47" i="6"/>
  <c r="BJ36" i="6" s="1"/>
  <c r="BI47" i="6"/>
  <c r="BH47" i="6"/>
  <c r="BG47" i="6"/>
  <c r="BF47" i="6"/>
  <c r="BE47" i="6"/>
  <c r="BD47" i="6"/>
  <c r="BC47" i="6"/>
  <c r="BB47" i="6"/>
  <c r="BA47" i="6"/>
  <c r="AZ47" i="6"/>
  <c r="AY47" i="6"/>
  <c r="AX47" i="6"/>
  <c r="AX36" i="6" s="1"/>
  <c r="AW47" i="6"/>
  <c r="AV47" i="6"/>
  <c r="AU47" i="6"/>
  <c r="AT47" i="6"/>
  <c r="AS47" i="6"/>
  <c r="AR47" i="6"/>
  <c r="AQ47" i="6"/>
  <c r="AP47" i="6"/>
  <c r="AO47" i="6"/>
  <c r="AN47" i="6"/>
  <c r="AM47" i="6"/>
  <c r="AL47" i="6"/>
  <c r="AL36" i="6" s="1"/>
  <c r="AK47" i="6"/>
  <c r="AJ47" i="6"/>
  <c r="AI47" i="6"/>
  <c r="AH47" i="6"/>
  <c r="AG47" i="6"/>
  <c r="AE47" i="6"/>
  <c r="AD47" i="6"/>
  <c r="AC47" i="6"/>
  <c r="AB47" i="6"/>
  <c r="Z47" i="6"/>
  <c r="Y47" i="6"/>
  <c r="Y36" i="6" s="1"/>
  <c r="X47" i="6"/>
  <c r="W47" i="6"/>
  <c r="V47" i="6"/>
  <c r="U47" i="6"/>
  <c r="S47" i="6"/>
  <c r="Q47" i="6"/>
  <c r="P47" i="6"/>
  <c r="O47" i="6"/>
  <c r="N47" i="6"/>
  <c r="M47" i="6"/>
  <c r="M36" i="6" s="1"/>
  <c r="L47" i="6"/>
  <c r="L36" i="6" s="1"/>
  <c r="K47" i="6"/>
  <c r="J47" i="6"/>
  <c r="I47" i="6"/>
  <c r="G47" i="6"/>
  <c r="F47" i="6"/>
  <c r="E47" i="6"/>
  <c r="D47" i="6"/>
  <c r="B47" i="6"/>
  <c r="CN45" i="6"/>
  <c r="CM45" i="6"/>
  <c r="CL45" i="6"/>
  <c r="AA45" i="6"/>
  <c r="B45" i="6"/>
  <c r="CM44" i="6"/>
  <c r="CL44" i="6"/>
  <c r="BS44" i="6"/>
  <c r="CN44" i="6" s="1"/>
  <c r="AA44" i="6"/>
  <c r="B44" i="6"/>
  <c r="CM43" i="6"/>
  <c r="CL43" i="6"/>
  <c r="BS43" i="6"/>
  <c r="CN43" i="6" s="1"/>
  <c r="AA43" i="6"/>
  <c r="B43" i="6"/>
  <c r="CM42" i="6"/>
  <c r="CL42" i="6"/>
  <c r="AA42" i="6"/>
  <c r="B42" i="6"/>
  <c r="CN41" i="6"/>
  <c r="CM41" i="6"/>
  <c r="CL41" i="6"/>
  <c r="AA41" i="6"/>
  <c r="B41" i="6"/>
  <c r="CN40" i="6"/>
  <c r="CM40" i="6"/>
  <c r="CL40" i="6"/>
  <c r="AA40" i="6"/>
  <c r="B40" i="6"/>
  <c r="CM39" i="6"/>
  <c r="CL39" i="6"/>
  <c r="CL38" i="6" s="1"/>
  <c r="CK39" i="6"/>
  <c r="CK38" i="6" s="1"/>
  <c r="CK36" i="6" s="1"/>
  <c r="BS39" i="6"/>
  <c r="BS38" i="6" s="1"/>
  <c r="AA39" i="6"/>
  <c r="B39" i="6"/>
  <c r="CM38" i="6"/>
  <c r="CJ38" i="6"/>
  <c r="CI38" i="6"/>
  <c r="CH38" i="6"/>
  <c r="CG38" i="6"/>
  <c r="CF38" i="6"/>
  <c r="CF36" i="6" s="1"/>
  <c r="CE38" i="6"/>
  <c r="CD38" i="6"/>
  <c r="CC38" i="6"/>
  <c r="CC36" i="6" s="1"/>
  <c r="CB38" i="6"/>
  <c r="CA38" i="6"/>
  <c r="BZ38" i="6"/>
  <c r="BY38" i="6"/>
  <c r="BX38" i="6"/>
  <c r="BW38" i="6"/>
  <c r="BR38" i="6"/>
  <c r="BQ38" i="6"/>
  <c r="BP38" i="6"/>
  <c r="BP36" i="6" s="1"/>
  <c r="BO38" i="6"/>
  <c r="BN38" i="6"/>
  <c r="BM38" i="6"/>
  <c r="BL38" i="6"/>
  <c r="BL36" i="6" s="1"/>
  <c r="BK38" i="6"/>
  <c r="BK36" i="6" s="1"/>
  <c r="BJ38" i="6"/>
  <c r="BI38" i="6"/>
  <c r="BH38" i="6"/>
  <c r="BG38" i="6"/>
  <c r="BF38" i="6"/>
  <c r="BE38" i="6"/>
  <c r="BD38" i="6"/>
  <c r="BD36" i="6" s="1"/>
  <c r="BC38" i="6"/>
  <c r="BC36" i="6" s="1"/>
  <c r="BB38" i="6"/>
  <c r="BA38" i="6"/>
  <c r="AZ38" i="6"/>
  <c r="AY38" i="6"/>
  <c r="AX38" i="6"/>
  <c r="AW38" i="6"/>
  <c r="AV38" i="6"/>
  <c r="AV36" i="6" s="1"/>
  <c r="AU38" i="6"/>
  <c r="AU36" i="6" s="1"/>
  <c r="AT38" i="6"/>
  <c r="AT36" i="6" s="1"/>
  <c r="AS38" i="6"/>
  <c r="AR38" i="6"/>
  <c r="AR36" i="6" s="1"/>
  <c r="AQ38" i="6"/>
  <c r="AP38" i="6"/>
  <c r="AO38" i="6"/>
  <c r="AO36" i="6" s="1"/>
  <c r="AN38" i="6"/>
  <c r="AN36" i="6" s="1"/>
  <c r="AM38" i="6"/>
  <c r="AM36" i="6" s="1"/>
  <c r="AL38" i="6"/>
  <c r="AK38" i="6"/>
  <c r="AJ38" i="6"/>
  <c r="AI38" i="6"/>
  <c r="AH38" i="6"/>
  <c r="AG38" i="6"/>
  <c r="AF38" i="6"/>
  <c r="AE38" i="6"/>
  <c r="AE36" i="6" s="1"/>
  <c r="AD38" i="6"/>
  <c r="AD36" i="6" s="1"/>
  <c r="AC38" i="6"/>
  <c r="AB38" i="6"/>
  <c r="AB36" i="6" s="1"/>
  <c r="Z38" i="6"/>
  <c r="Y38" i="6"/>
  <c r="X38" i="6"/>
  <c r="W38" i="6"/>
  <c r="W36" i="6" s="1"/>
  <c r="V38" i="6"/>
  <c r="U38" i="6"/>
  <c r="T38" i="6"/>
  <c r="S38" i="6"/>
  <c r="R38" i="6"/>
  <c r="Q38" i="6"/>
  <c r="P38" i="6"/>
  <c r="P36" i="6" s="1"/>
  <c r="O38" i="6"/>
  <c r="N38" i="6"/>
  <c r="N36" i="6" s="1"/>
  <c r="M38" i="6"/>
  <c r="L38" i="6"/>
  <c r="K38" i="6"/>
  <c r="J38" i="6"/>
  <c r="J36" i="6" s="1"/>
  <c r="I38" i="6"/>
  <c r="I36" i="6" s="1"/>
  <c r="H38" i="6"/>
  <c r="H36" i="6" s="1"/>
  <c r="G38" i="6"/>
  <c r="G36" i="6" s="1"/>
  <c r="F38" i="6"/>
  <c r="F36" i="6" s="1"/>
  <c r="E38" i="6"/>
  <c r="D38" i="6"/>
  <c r="D36" i="6" s="1"/>
  <c r="B38" i="6"/>
  <c r="CJ36" i="6"/>
  <c r="BY36" i="6"/>
  <c r="BX36" i="6"/>
  <c r="BR36" i="6"/>
  <c r="BH36" i="6"/>
  <c r="BE36" i="6"/>
  <c r="BB36" i="6"/>
  <c r="AZ36" i="6"/>
  <c r="AW36" i="6"/>
  <c r="AJ36" i="6"/>
  <c r="AG36" i="6"/>
  <c r="V36" i="6"/>
  <c r="Q36" i="6"/>
  <c r="K36" i="6"/>
  <c r="B36" i="6"/>
  <c r="B35" i="6"/>
  <c r="B34" i="6"/>
  <c r="CN33" i="6"/>
  <c r="CM33" i="6"/>
  <c r="CL33" i="6"/>
  <c r="CH33" i="6"/>
  <c r="B33" i="6"/>
  <c r="CN32" i="6"/>
  <c r="CM32" i="6"/>
  <c r="CL32" i="6"/>
  <c r="CH32" i="6"/>
  <c r="B32" i="6"/>
  <c r="CN31" i="6"/>
  <c r="CM31" i="6"/>
  <c r="CL31" i="6"/>
  <c r="CH31" i="6"/>
  <c r="B31" i="6"/>
  <c r="CN30" i="6"/>
  <c r="CM30" i="6"/>
  <c r="CL30" i="6"/>
  <c r="CH30" i="6"/>
  <c r="B30" i="6"/>
  <c r="CN29" i="6"/>
  <c r="CM29" i="6"/>
  <c r="CL29" i="6"/>
  <c r="CH29" i="6"/>
  <c r="B29" i="6"/>
  <c r="CN28" i="6"/>
  <c r="CM28" i="6"/>
  <c r="CL28" i="6"/>
  <c r="CH28" i="6"/>
  <c r="B28" i="6"/>
  <c r="CN27" i="6"/>
  <c r="CM27" i="6"/>
  <c r="CL27" i="6"/>
  <c r="CH27" i="6"/>
  <c r="B27" i="6"/>
  <c r="CL26" i="6"/>
  <c r="CH26" i="6"/>
  <c r="CE26" i="6"/>
  <c r="CE25" i="6" s="1"/>
  <c r="CD26" i="6"/>
  <c r="CC26" i="6"/>
  <c r="CC25" i="6" s="1"/>
  <c r="BQ26" i="6"/>
  <c r="CN26" i="6" s="1"/>
  <c r="BM26" i="6"/>
  <c r="CM26" i="6" s="1"/>
  <c r="AU26" i="6"/>
  <c r="B26" i="6"/>
  <c r="CK25" i="6"/>
  <c r="CJ25" i="6"/>
  <c r="CI25" i="6"/>
  <c r="CG25" i="6"/>
  <c r="CF25" i="6"/>
  <c r="CD25" i="6"/>
  <c r="CB25" i="6"/>
  <c r="CA25" i="6"/>
  <c r="BZ25" i="6"/>
  <c r="BY25" i="6"/>
  <c r="BX25" i="6"/>
  <c r="BW25" i="6"/>
  <c r="BS25" i="6"/>
  <c r="BR25" i="6"/>
  <c r="BQ25" i="6"/>
  <c r="BP25" i="6"/>
  <c r="BO25" i="6"/>
  <c r="BN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CN23" i="6"/>
  <c r="CM23" i="6"/>
  <c r="CL23" i="6"/>
  <c r="CL20" i="6" s="1"/>
  <c r="CI23" i="6"/>
  <c r="CH23" i="6"/>
  <c r="CG23" i="6"/>
  <c r="CF23" i="6"/>
  <c r="CE23" i="6"/>
  <c r="CD23" i="6"/>
  <c r="CC23" i="6"/>
  <c r="CB23" i="6"/>
  <c r="CA23" i="6"/>
  <c r="BZ23" i="6"/>
  <c r="BY23" i="6"/>
  <c r="BX23" i="6"/>
  <c r="BW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W20" i="6" s="1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B23" i="6"/>
  <c r="CN22" i="6"/>
  <c r="CM22" i="6"/>
  <c r="CL22" i="6"/>
  <c r="CI22" i="6"/>
  <c r="CH22" i="6"/>
  <c r="CG22" i="6"/>
  <c r="CF22" i="6"/>
  <c r="CE22" i="6"/>
  <c r="CD22" i="6"/>
  <c r="CD20" i="6" s="1"/>
  <c r="CC22" i="6"/>
  <c r="CB22" i="6"/>
  <c r="CA22" i="6"/>
  <c r="BZ22" i="6"/>
  <c r="BY22" i="6"/>
  <c r="BX22" i="6"/>
  <c r="BW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B20" i="6" s="1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D20" i="6" s="1"/>
  <c r="B22" i="6"/>
  <c r="CN21" i="6"/>
  <c r="CM21" i="6"/>
  <c r="CL21" i="6"/>
  <c r="CI21" i="6"/>
  <c r="CH21" i="6"/>
  <c r="CG21" i="6"/>
  <c r="CF21" i="6"/>
  <c r="CE21" i="6"/>
  <c r="CD21" i="6"/>
  <c r="CC21" i="6"/>
  <c r="CB21" i="6"/>
  <c r="CB20" i="6" s="1"/>
  <c r="CA21" i="6"/>
  <c r="BZ21" i="6"/>
  <c r="BY21" i="6"/>
  <c r="BX21" i="6"/>
  <c r="BW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B21" i="6"/>
  <c r="CK20" i="6"/>
  <c r="CJ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B20" i="6"/>
  <c r="CN17" i="6"/>
  <c r="CM17" i="6"/>
  <c r="CL17" i="6"/>
  <c r="CK17" i="6"/>
  <c r="CJ17" i="6"/>
  <c r="CI17" i="6"/>
  <c r="CH17" i="6"/>
  <c r="CG17" i="6"/>
  <c r="CF17" i="6"/>
  <c r="AE17" i="6"/>
  <c r="AA17" i="6"/>
  <c r="W17" i="6"/>
  <c r="S17" i="6"/>
  <c r="O17" i="6"/>
  <c r="K17" i="6"/>
  <c r="G17" i="6"/>
  <c r="B17" i="6"/>
  <c r="CN16" i="6"/>
  <c r="CM16" i="6"/>
  <c r="CL16" i="6"/>
  <c r="CK16" i="6"/>
  <c r="CJ16" i="6"/>
  <c r="CI16" i="6"/>
  <c r="CH16" i="6"/>
  <c r="CG16" i="6"/>
  <c r="CF16" i="6"/>
  <c r="AE16" i="6"/>
  <c r="AA16" i="6"/>
  <c r="W16" i="6"/>
  <c r="S16" i="6"/>
  <c r="O16" i="6"/>
  <c r="K16" i="6"/>
  <c r="G16" i="6"/>
  <c r="B16" i="6"/>
  <c r="CN14" i="6"/>
  <c r="CM14" i="6"/>
  <c r="CL14" i="6"/>
  <c r="CK14" i="6"/>
  <c r="CJ14" i="6"/>
  <c r="CI14" i="6"/>
  <c r="CH14" i="6"/>
  <c r="CG14" i="6"/>
  <c r="CF14" i="6"/>
  <c r="AE14" i="6"/>
  <c r="AA14" i="6"/>
  <c r="W14" i="6"/>
  <c r="S14" i="6"/>
  <c r="O14" i="6"/>
  <c r="K14" i="6"/>
  <c r="G14" i="6"/>
  <c r="B14" i="6"/>
  <c r="CN13" i="6"/>
  <c r="CM13" i="6"/>
  <c r="CL13" i="6"/>
  <c r="CK13" i="6"/>
  <c r="CJ13" i="6"/>
  <c r="CI13" i="6"/>
  <c r="CH13" i="6"/>
  <c r="CG13" i="6"/>
  <c r="CF13" i="6"/>
  <c r="AE13" i="6"/>
  <c r="AA13" i="6"/>
  <c r="W13" i="6"/>
  <c r="S13" i="6"/>
  <c r="O13" i="6"/>
  <c r="K13" i="6"/>
  <c r="G13" i="6"/>
  <c r="B13" i="6"/>
  <c r="CN12" i="6"/>
  <c r="CM12" i="6"/>
  <c r="CL12" i="6"/>
  <c r="CK12" i="6"/>
  <c r="CJ12" i="6"/>
  <c r="CI12" i="6"/>
  <c r="CH12" i="6"/>
  <c r="CG12" i="6"/>
  <c r="CF12" i="6"/>
  <c r="AE12" i="6"/>
  <c r="AA12" i="6"/>
  <c r="W12" i="6"/>
  <c r="S12" i="6"/>
  <c r="O12" i="6"/>
  <c r="K12" i="6"/>
  <c r="G12" i="6"/>
  <c r="B12" i="6"/>
  <c r="CN11" i="6"/>
  <c r="CM11" i="6"/>
  <c r="CL11" i="6"/>
  <c r="CK11" i="6"/>
  <c r="CJ11" i="6"/>
  <c r="CI11" i="6"/>
  <c r="CI9" i="6" s="1"/>
  <c r="CH11" i="6"/>
  <c r="CH9" i="6" s="1"/>
  <c r="CG11" i="6"/>
  <c r="CF11" i="6"/>
  <c r="AE11" i="6"/>
  <c r="AA11" i="6"/>
  <c r="W11" i="6"/>
  <c r="S11" i="6"/>
  <c r="O11" i="6"/>
  <c r="K11" i="6"/>
  <c r="G11" i="6"/>
  <c r="B11" i="6"/>
  <c r="CN10" i="6"/>
  <c r="CM10" i="6"/>
  <c r="BO10" i="6" s="1"/>
  <c r="BO9" i="6" s="1"/>
  <c r="CL10" i="6"/>
  <c r="CK10" i="6"/>
  <c r="CJ10" i="6"/>
  <c r="CI10" i="6"/>
  <c r="CH10" i="6"/>
  <c r="CG10" i="6"/>
  <c r="CF10" i="6"/>
  <c r="BM10" i="6"/>
  <c r="AE10" i="6"/>
  <c r="AA10" i="6"/>
  <c r="W10" i="6"/>
  <c r="S10" i="6"/>
  <c r="O10" i="6"/>
  <c r="K10" i="6"/>
  <c r="G10" i="6"/>
  <c r="B10" i="6"/>
  <c r="CE9" i="6"/>
  <c r="CD9" i="6"/>
  <c r="CC9" i="6"/>
  <c r="CB9" i="6"/>
  <c r="CA9" i="6"/>
  <c r="BZ9" i="6"/>
  <c r="BY9" i="6"/>
  <c r="BX9" i="6"/>
  <c r="BW9" i="6"/>
  <c r="BS9" i="6"/>
  <c r="CN9" i="6" s="1"/>
  <c r="BR9" i="6"/>
  <c r="BQ9" i="6"/>
  <c r="BP9" i="6"/>
  <c r="BN9" i="6"/>
  <c r="BM9" i="6"/>
  <c r="BL9" i="6"/>
  <c r="CM9" i="6" s="1"/>
  <c r="BK9" i="6"/>
  <c r="CL9" i="6" s="1"/>
  <c r="BJ9" i="6"/>
  <c r="BI9" i="6"/>
  <c r="BH9" i="6"/>
  <c r="BG9" i="6"/>
  <c r="CK9" i="6" s="1"/>
  <c r="BF9" i="6"/>
  <c r="BE9" i="6"/>
  <c r="BD9" i="6"/>
  <c r="BC9" i="6"/>
  <c r="CJ9" i="6" s="1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D9" i="6"/>
  <c r="AE9" i="6" s="1"/>
  <c r="AC9" i="6"/>
  <c r="AB9" i="6"/>
  <c r="Z9" i="6"/>
  <c r="AA9" i="6" s="1"/>
  <c r="Y9" i="6"/>
  <c r="X9" i="6"/>
  <c r="V9" i="6"/>
  <c r="W9" i="6" s="1"/>
  <c r="U9" i="6"/>
  <c r="T9" i="6"/>
  <c r="R9" i="6"/>
  <c r="S9" i="6" s="1"/>
  <c r="Q9" i="6"/>
  <c r="P9" i="6"/>
  <c r="N9" i="6"/>
  <c r="O9" i="6" s="1"/>
  <c r="M9" i="6"/>
  <c r="L9" i="6"/>
  <c r="J9" i="6"/>
  <c r="K9" i="6" s="1"/>
  <c r="I9" i="6"/>
  <c r="H9" i="6"/>
  <c r="F9" i="6"/>
  <c r="G9" i="6" s="1"/>
  <c r="E9" i="6"/>
  <c r="D9" i="6"/>
  <c r="B9" i="6"/>
  <c r="CM7" i="6"/>
  <c r="CL7" i="6"/>
  <c r="CK7" i="6"/>
  <c r="CJ7" i="6"/>
  <c r="CI7" i="6"/>
  <c r="CH7" i="6"/>
  <c r="CG7" i="6"/>
  <c r="CF7" i="6"/>
  <c r="CE7" i="6"/>
  <c r="CD7" i="6"/>
  <c r="CC7" i="6"/>
  <c r="CB7" i="6"/>
  <c r="BY7" i="6"/>
  <c r="BX7" i="6"/>
  <c r="BW7" i="6"/>
  <c r="B7" i="6"/>
  <c r="CM6" i="6"/>
  <c r="CL6" i="6"/>
  <c r="CK6" i="6"/>
  <c r="CJ6" i="6"/>
  <c r="CI6" i="6"/>
  <c r="CH6" i="6"/>
  <c r="CG6" i="6"/>
  <c r="CF6" i="6"/>
  <c r="BS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5" i="6"/>
  <c r="B3" i="6"/>
  <c r="B2" i="6"/>
  <c r="B80" i="5"/>
  <c r="CL79" i="5"/>
  <c r="BQ79" i="5"/>
  <c r="BM79" i="5"/>
  <c r="B79" i="5"/>
  <c r="B78" i="5"/>
  <c r="B76" i="5"/>
  <c r="CM74" i="5"/>
  <c r="CL74" i="5"/>
  <c r="CK74" i="5"/>
  <c r="CJ74" i="5"/>
  <c r="CF74" i="5"/>
  <c r="CE74" i="5"/>
  <c r="CD74" i="5"/>
  <c r="CC74" i="5"/>
  <c r="CB74" i="5"/>
  <c r="CA74" i="5"/>
  <c r="BZ74" i="5"/>
  <c r="BY74" i="5"/>
  <c r="BX74" i="5"/>
  <c r="BW74" i="5"/>
  <c r="BR74" i="5"/>
  <c r="BQ74" i="5"/>
  <c r="BP74" i="5"/>
  <c r="BO74" i="5"/>
  <c r="BL74" i="5"/>
  <c r="BK74" i="5"/>
  <c r="BJ74" i="5"/>
  <c r="BI74" i="5"/>
  <c r="BH74" i="5"/>
  <c r="BG74" i="5"/>
  <c r="BF74" i="5"/>
  <c r="BE74" i="5"/>
  <c r="BC74" i="5"/>
  <c r="BB74" i="5"/>
  <c r="BA74" i="5"/>
  <c r="AZ74" i="5"/>
  <c r="AY74" i="5"/>
  <c r="AX74" i="5"/>
  <c r="AW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AV73" i="5"/>
  <c r="AV74" i="5" s="1"/>
  <c r="B73" i="5"/>
  <c r="B72" i="5"/>
  <c r="B71" i="5"/>
  <c r="B70" i="5"/>
  <c r="B69" i="5"/>
  <c r="CI68" i="5"/>
  <c r="CI74" i="5" s="1"/>
  <c r="B68" i="5"/>
  <c r="B67" i="5"/>
  <c r="B66" i="5"/>
  <c r="B65" i="5"/>
  <c r="CH64" i="5"/>
  <c r="CH74" i="5" s="1"/>
  <c r="CG64" i="5"/>
  <c r="CG74" i="5" s="1"/>
  <c r="BN64" i="5"/>
  <c r="BN74" i="5" s="1"/>
  <c r="BM64" i="5"/>
  <c r="BM74" i="5" s="1"/>
  <c r="BD64" i="5"/>
  <c r="BD74" i="5" s="1"/>
  <c r="AU64" i="5"/>
  <c r="AU74" i="5" s="1"/>
  <c r="B64" i="5"/>
  <c r="CM62" i="5"/>
  <c r="CL62" i="5"/>
  <c r="CK62" i="5"/>
  <c r="CJ62" i="5"/>
  <c r="CI62" i="5"/>
  <c r="CH62" i="5"/>
  <c r="CG62" i="5"/>
  <c r="CF62" i="5"/>
  <c r="CE62" i="5"/>
  <c r="CD62" i="5"/>
  <c r="CC62" i="5"/>
  <c r="CB62" i="5"/>
  <c r="CA62" i="5"/>
  <c r="BZ62" i="5"/>
  <c r="BY62" i="5"/>
  <c r="BX62" i="5"/>
  <c r="BW62" i="5"/>
  <c r="BR62" i="5"/>
  <c r="BQ62" i="5"/>
  <c r="BP62" i="5"/>
  <c r="BO62" i="5"/>
  <c r="BN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B61" i="5"/>
  <c r="B60" i="5"/>
  <c r="B59" i="5"/>
  <c r="B58" i="5"/>
  <c r="B57" i="5"/>
  <c r="B54" i="5"/>
  <c r="B53" i="5"/>
  <c r="B52" i="5"/>
  <c r="B51" i="5"/>
  <c r="B50" i="5"/>
  <c r="B48" i="5"/>
  <c r="B47" i="5"/>
  <c r="B46" i="5"/>
  <c r="B45" i="5"/>
  <c r="B44" i="5"/>
  <c r="B43" i="5"/>
  <c r="B42" i="5"/>
  <c r="B41" i="5"/>
  <c r="B40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B39" i="5"/>
  <c r="B37" i="5"/>
  <c r="B36" i="5"/>
  <c r="B35" i="5"/>
  <c r="B34" i="5"/>
  <c r="B33" i="5"/>
  <c r="B32" i="5"/>
  <c r="CM31" i="5"/>
  <c r="CL31" i="5"/>
  <c r="CK31" i="5"/>
  <c r="CJ31" i="5"/>
  <c r="CI31" i="5"/>
  <c r="CH31" i="5"/>
  <c r="CG31" i="5"/>
  <c r="CF31" i="5"/>
  <c r="CE31" i="5"/>
  <c r="CD31" i="5"/>
  <c r="CC31" i="5"/>
  <c r="CB31" i="5"/>
  <c r="CA31" i="5"/>
  <c r="BZ31" i="5"/>
  <c r="BY31" i="5"/>
  <c r="BX31" i="5"/>
  <c r="BW31" i="5"/>
  <c r="BR31" i="5"/>
  <c r="BQ31" i="5"/>
  <c r="BP31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B30" i="5"/>
  <c r="CM28" i="5"/>
  <c r="CL28" i="5"/>
  <c r="CK28" i="5"/>
  <c r="CJ28" i="5"/>
  <c r="CI28" i="5"/>
  <c r="CH28" i="5"/>
  <c r="CG28" i="5"/>
  <c r="CF28" i="5"/>
  <c r="CE28" i="5"/>
  <c r="CD28" i="5"/>
  <c r="CD48" i="5" s="1"/>
  <c r="CC28" i="5"/>
  <c r="CB28" i="5"/>
  <c r="CA28" i="5"/>
  <c r="BZ28" i="5"/>
  <c r="BY28" i="5"/>
  <c r="BX28" i="5"/>
  <c r="BW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B27" i="5"/>
  <c r="B26" i="5"/>
  <c r="B25" i="5"/>
  <c r="B24" i="5"/>
  <c r="B23" i="5"/>
  <c r="B22" i="5"/>
  <c r="B21" i="5"/>
  <c r="BD20" i="5"/>
  <c r="BD28" i="5" s="1"/>
  <c r="BC20" i="5"/>
  <c r="BC28" i="5" s="1"/>
  <c r="B20" i="5"/>
  <c r="B19" i="5"/>
  <c r="B18" i="5"/>
  <c r="B17" i="5"/>
  <c r="B16" i="5"/>
  <c r="B15" i="5"/>
  <c r="B14" i="5"/>
  <c r="B13" i="5"/>
  <c r="B12" i="5"/>
  <c r="B11" i="5"/>
  <c r="B10" i="5"/>
  <c r="CG7" i="5"/>
  <c r="CF7" i="5"/>
  <c r="CE7" i="5"/>
  <c r="CD7" i="5"/>
  <c r="CC7" i="5"/>
  <c r="CB7" i="5"/>
  <c r="BY7" i="5"/>
  <c r="BX7" i="5"/>
  <c r="BW7" i="5"/>
  <c r="B7" i="5"/>
  <c r="CK6" i="5"/>
  <c r="CI6" i="5"/>
  <c r="CH6" i="5"/>
  <c r="CG6" i="5"/>
  <c r="CF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5" i="5"/>
  <c r="B3" i="5"/>
  <c r="B2" i="5"/>
  <c r="CG79" i="7"/>
  <c r="CF79" i="7"/>
  <c r="CE79" i="7"/>
  <c r="BR79" i="7"/>
  <c r="BQ79" i="7"/>
  <c r="BP79" i="7"/>
  <c r="BO79" i="7"/>
  <c r="BB79" i="7"/>
  <c r="BA79" i="7"/>
  <c r="W79" i="7"/>
  <c r="V79" i="7"/>
  <c r="T79" i="7"/>
  <c r="S79" i="7"/>
  <c r="R79" i="7"/>
  <c r="P79" i="7"/>
  <c r="O79" i="7"/>
  <c r="N79" i="7"/>
  <c r="L79" i="7"/>
  <c r="K79" i="7"/>
  <c r="J79" i="7"/>
  <c r="H79" i="7"/>
  <c r="G79" i="7"/>
  <c r="F79" i="7"/>
  <c r="D79" i="7"/>
  <c r="C79" i="7"/>
  <c r="B79" i="7"/>
  <c r="CG78" i="7"/>
  <c r="CF78" i="7"/>
  <c r="CE78" i="7"/>
  <c r="CD78" i="7"/>
  <c r="CC78" i="7"/>
  <c r="CB78" i="7"/>
  <c r="CA78" i="7"/>
  <c r="BZ78" i="7"/>
  <c r="BY78" i="7"/>
  <c r="BX78" i="7"/>
  <c r="BW78" i="7"/>
  <c r="BR78" i="7"/>
  <c r="BQ78" i="7"/>
  <c r="BP78" i="7"/>
  <c r="BO78" i="7"/>
  <c r="BN78" i="7"/>
  <c r="BM78" i="7"/>
  <c r="BL78" i="7"/>
  <c r="BK78" i="7"/>
  <c r="BJ78" i="7"/>
  <c r="BI78" i="7"/>
  <c r="BH78" i="7"/>
  <c r="BG78" i="7"/>
  <c r="BF78" i="7"/>
  <c r="BE78" i="7"/>
  <c r="BD78" i="7"/>
  <c r="BC78" i="7"/>
  <c r="BB78" i="7"/>
  <c r="BA78" i="7"/>
  <c r="AZ78" i="7"/>
  <c r="AY78" i="7"/>
  <c r="AX78" i="7"/>
  <c r="AW78" i="7"/>
  <c r="AV78" i="7"/>
  <c r="AU78" i="7"/>
  <c r="AT78" i="7"/>
  <c r="AQ78" i="7"/>
  <c r="AP78" i="7"/>
  <c r="AO78" i="7"/>
  <c r="AN78" i="7"/>
  <c r="AM78" i="7"/>
  <c r="AL78" i="7"/>
  <c r="AK78" i="7"/>
  <c r="AJ78" i="7"/>
  <c r="AI78" i="7"/>
  <c r="AH78" i="7"/>
  <c r="AG78" i="7"/>
  <c r="AF78" i="7"/>
  <c r="AE78" i="7"/>
  <c r="AD78" i="7"/>
  <c r="AC78" i="7"/>
  <c r="AB78" i="7"/>
  <c r="AA78" i="7"/>
  <c r="Z78" i="7"/>
  <c r="Y78" i="7"/>
  <c r="X78" i="7"/>
  <c r="W78" i="7"/>
  <c r="V78" i="7"/>
  <c r="T78" i="7"/>
  <c r="S78" i="7"/>
  <c r="R78" i="7"/>
  <c r="P78" i="7"/>
  <c r="O78" i="7"/>
  <c r="N78" i="7"/>
  <c r="L78" i="7"/>
  <c r="K78" i="7"/>
  <c r="J78" i="7"/>
  <c r="H78" i="7"/>
  <c r="G78" i="7"/>
  <c r="F78" i="7"/>
  <c r="D78" i="7"/>
  <c r="C78" i="7"/>
  <c r="B78" i="7"/>
  <c r="P77" i="7"/>
  <c r="B77" i="7"/>
  <c r="CG76" i="7"/>
  <c r="CF76" i="7"/>
  <c r="CE76" i="7"/>
  <c r="CD76" i="7"/>
  <c r="CC76" i="7"/>
  <c r="CB76" i="7"/>
  <c r="CA76" i="7"/>
  <c r="BZ76" i="7"/>
  <c r="BY76" i="7"/>
  <c r="BX76" i="7"/>
  <c r="BW76" i="7"/>
  <c r="BR76" i="7"/>
  <c r="BQ76" i="7"/>
  <c r="BP76" i="7"/>
  <c r="BO76" i="7"/>
  <c r="BN76" i="7"/>
  <c r="BM76" i="7"/>
  <c r="BL76" i="7"/>
  <c r="BK76" i="7"/>
  <c r="BJ76" i="7"/>
  <c r="BI76" i="7"/>
  <c r="BH76" i="7"/>
  <c r="BG76" i="7"/>
  <c r="BF76" i="7"/>
  <c r="BE76" i="7"/>
  <c r="BD76" i="7"/>
  <c r="BC76" i="7"/>
  <c r="BB76" i="7"/>
  <c r="BA76" i="7"/>
  <c r="AZ76" i="7"/>
  <c r="AY76" i="7"/>
  <c r="AX76" i="7"/>
  <c r="AW76" i="7"/>
  <c r="AV76" i="7"/>
  <c r="AU76" i="7"/>
  <c r="AT76" i="7"/>
  <c r="AP76" i="7"/>
  <c r="AO76" i="7"/>
  <c r="AN76" i="7"/>
  <c r="AM76" i="7"/>
  <c r="AL76" i="7"/>
  <c r="AK76" i="7"/>
  <c r="AJ76" i="7"/>
  <c r="AI76" i="7"/>
  <c r="AH76" i="7"/>
  <c r="AG76" i="7"/>
  <c r="AF76" i="7"/>
  <c r="AE76" i="7"/>
  <c r="AD76" i="7"/>
  <c r="AC76" i="7"/>
  <c r="AB76" i="7"/>
  <c r="AA76" i="7"/>
  <c r="Z76" i="7"/>
  <c r="Y76" i="7"/>
  <c r="X76" i="7"/>
  <c r="W76" i="7"/>
  <c r="V76" i="7"/>
  <c r="T76" i="7"/>
  <c r="S76" i="7"/>
  <c r="R76" i="7"/>
  <c r="P76" i="7"/>
  <c r="O76" i="7"/>
  <c r="N76" i="7"/>
  <c r="L76" i="7"/>
  <c r="K76" i="7"/>
  <c r="J76" i="7"/>
  <c r="H76" i="7"/>
  <c r="G76" i="7"/>
  <c r="F76" i="7"/>
  <c r="D76" i="7"/>
  <c r="C76" i="7"/>
  <c r="B76" i="7"/>
  <c r="CG75" i="7"/>
  <c r="CF75" i="7"/>
  <c r="CE75" i="7"/>
  <c r="CD75" i="7"/>
  <c r="CC75" i="7"/>
  <c r="CB75" i="7"/>
  <c r="CA75" i="7"/>
  <c r="BZ75" i="7"/>
  <c r="BY75" i="7"/>
  <c r="BX75" i="7"/>
  <c r="BW75" i="7"/>
  <c r="BR75" i="7"/>
  <c r="BQ75" i="7"/>
  <c r="BP75" i="7"/>
  <c r="BO75" i="7"/>
  <c r="BN75" i="7"/>
  <c r="BM75" i="7"/>
  <c r="BL75" i="7"/>
  <c r="BK75" i="7"/>
  <c r="BJ75" i="7"/>
  <c r="BI75" i="7"/>
  <c r="BH75" i="7"/>
  <c r="BG75" i="7"/>
  <c r="BF75" i="7"/>
  <c r="BE75" i="7"/>
  <c r="BD75" i="7"/>
  <c r="BC75" i="7"/>
  <c r="BB75" i="7"/>
  <c r="BA75" i="7"/>
  <c r="AZ75" i="7"/>
  <c r="AY75" i="7"/>
  <c r="AX75" i="7"/>
  <c r="AU75" i="7"/>
  <c r="AT75" i="7"/>
  <c r="AQ75" i="7"/>
  <c r="AP75" i="7"/>
  <c r="AO75" i="7"/>
  <c r="AN75" i="7"/>
  <c r="AM75" i="7"/>
  <c r="AL75" i="7"/>
  <c r="AK75" i="7"/>
  <c r="AJ75" i="7"/>
  <c r="AI75" i="7"/>
  <c r="AH75" i="7"/>
  <c r="AG75" i="7"/>
  <c r="AF75" i="7"/>
  <c r="AE75" i="7"/>
  <c r="AD75" i="7"/>
  <c r="AC75" i="7"/>
  <c r="AB75" i="7"/>
  <c r="AA75" i="7"/>
  <c r="Z75" i="7"/>
  <c r="Y75" i="7"/>
  <c r="X75" i="7"/>
  <c r="W75" i="7"/>
  <c r="V75" i="7"/>
  <c r="T75" i="7"/>
  <c r="S75" i="7"/>
  <c r="R75" i="7"/>
  <c r="P75" i="7"/>
  <c r="O75" i="7"/>
  <c r="N75" i="7"/>
  <c r="L75" i="7"/>
  <c r="K75" i="7"/>
  <c r="J75" i="7"/>
  <c r="H75" i="7"/>
  <c r="G75" i="7"/>
  <c r="F75" i="7"/>
  <c r="C75" i="7"/>
  <c r="B75" i="7"/>
  <c r="F74" i="7"/>
  <c r="B74" i="7"/>
  <c r="CG73" i="7"/>
  <c r="CF73" i="7"/>
  <c r="CE73" i="7"/>
  <c r="CD73" i="7"/>
  <c r="CC73" i="7"/>
  <c r="CB73" i="7"/>
  <c r="CA73" i="7"/>
  <c r="BZ73" i="7"/>
  <c r="BY73" i="7"/>
  <c r="BX73" i="7"/>
  <c r="BW73" i="7"/>
  <c r="BR73" i="7"/>
  <c r="BQ73" i="7"/>
  <c r="BP73" i="7"/>
  <c r="BO73" i="7"/>
  <c r="BN73" i="7"/>
  <c r="BM73" i="7"/>
  <c r="BL73" i="7"/>
  <c r="BK73" i="7"/>
  <c r="BJ73" i="7"/>
  <c r="BI73" i="7"/>
  <c r="BH73" i="7"/>
  <c r="BG73" i="7"/>
  <c r="BF73" i="7"/>
  <c r="BE73" i="7"/>
  <c r="BD73" i="7"/>
  <c r="BC73" i="7"/>
  <c r="BB73" i="7"/>
  <c r="BA73" i="7"/>
  <c r="AZ73" i="7"/>
  <c r="AY73" i="7"/>
  <c r="AX73" i="7"/>
  <c r="AW73" i="7"/>
  <c r="AV73" i="7"/>
  <c r="AU73" i="7"/>
  <c r="AT73" i="7"/>
  <c r="AS73" i="7"/>
  <c r="AR73" i="7"/>
  <c r="AQ73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AA73" i="7"/>
  <c r="Z73" i="7"/>
  <c r="Y73" i="7"/>
  <c r="X73" i="7"/>
  <c r="W73" i="7"/>
  <c r="V73" i="7"/>
  <c r="T73" i="7"/>
  <c r="S73" i="7"/>
  <c r="R73" i="7"/>
  <c r="P73" i="7"/>
  <c r="O73" i="7"/>
  <c r="N73" i="7"/>
  <c r="L73" i="7"/>
  <c r="K73" i="7"/>
  <c r="J73" i="7"/>
  <c r="H73" i="7"/>
  <c r="G73" i="7"/>
  <c r="F73" i="7"/>
  <c r="C73" i="7"/>
  <c r="B73" i="7"/>
  <c r="B72" i="7"/>
  <c r="CG70" i="7"/>
  <c r="CF70" i="7"/>
  <c r="CF77" i="7" s="1"/>
  <c r="BA70" i="7"/>
  <c r="BA77" i="7" s="1"/>
  <c r="W70" i="7"/>
  <c r="W77" i="7" s="1"/>
  <c r="V70" i="7"/>
  <c r="V74" i="7" s="1"/>
  <c r="U70" i="7"/>
  <c r="T70" i="7"/>
  <c r="T77" i="7" s="1"/>
  <c r="S70" i="7"/>
  <c r="S77" i="7" s="1"/>
  <c r="R70" i="7"/>
  <c r="R77" i="7" s="1"/>
  <c r="Q70" i="7"/>
  <c r="P70" i="7"/>
  <c r="O70" i="7"/>
  <c r="O74" i="7" s="1"/>
  <c r="N70" i="7"/>
  <c r="M70" i="7"/>
  <c r="L70" i="7"/>
  <c r="L77" i="7" s="1"/>
  <c r="K70" i="7"/>
  <c r="K74" i="7" s="1"/>
  <c r="J70" i="7"/>
  <c r="I70" i="7"/>
  <c r="H70" i="7"/>
  <c r="H77" i="7" s="1"/>
  <c r="G70" i="7"/>
  <c r="G77" i="7" s="1"/>
  <c r="F70" i="7"/>
  <c r="F77" i="7" s="1"/>
  <c r="E70" i="7"/>
  <c r="D70" i="7"/>
  <c r="D77" i="7" s="1"/>
  <c r="C70" i="7"/>
  <c r="C77" i="7" s="1"/>
  <c r="B70" i="7"/>
  <c r="B69" i="7"/>
  <c r="CE68" i="7"/>
  <c r="CD68" i="7"/>
  <c r="CC68" i="7"/>
  <c r="CB68" i="7"/>
  <c r="CA68" i="7"/>
  <c r="BZ68" i="7"/>
  <c r="BY68" i="7"/>
  <c r="BX68" i="7"/>
  <c r="BW68" i="7"/>
  <c r="BR68" i="7"/>
  <c r="BQ68" i="7"/>
  <c r="BP68" i="7"/>
  <c r="BO68" i="7"/>
  <c r="BN68" i="7"/>
  <c r="BM68" i="7"/>
  <c r="BL68" i="7"/>
  <c r="BK68" i="7"/>
  <c r="BJ68" i="7"/>
  <c r="BI68" i="7"/>
  <c r="BH68" i="7"/>
  <c r="BG68" i="7"/>
  <c r="BF68" i="7"/>
  <c r="BE68" i="7"/>
  <c r="BD68" i="7"/>
  <c r="BC68" i="7"/>
  <c r="BB68" i="7"/>
  <c r="AZ68" i="7"/>
  <c r="AY68" i="7"/>
  <c r="AX68" i="7"/>
  <c r="AW68" i="7"/>
  <c r="AV68" i="7"/>
  <c r="AU68" i="7"/>
  <c r="AT68" i="7"/>
  <c r="AS68" i="7"/>
  <c r="AR68" i="7"/>
  <c r="AQ68" i="7"/>
  <c r="AP68" i="7"/>
  <c r="AO68" i="7"/>
  <c r="AN68" i="7"/>
  <c r="AM68" i="7"/>
  <c r="AL68" i="7"/>
  <c r="AK68" i="7"/>
  <c r="AJ68" i="7"/>
  <c r="AI68" i="7"/>
  <c r="AH68" i="7"/>
  <c r="AG68" i="7"/>
  <c r="AF68" i="7"/>
  <c r="AE68" i="7"/>
  <c r="AD68" i="7"/>
  <c r="AC68" i="7"/>
  <c r="AB68" i="7"/>
  <c r="AA68" i="7"/>
  <c r="Z68" i="7"/>
  <c r="Y68" i="7"/>
  <c r="X68" i="7"/>
  <c r="B68" i="7"/>
  <c r="CE67" i="7"/>
  <c r="CD67" i="7"/>
  <c r="CC67" i="7"/>
  <c r="CA67" i="7"/>
  <c r="BZ67" i="7"/>
  <c r="BY67" i="7"/>
  <c r="BX67" i="7"/>
  <c r="BW67" i="7"/>
  <c r="BR67" i="7"/>
  <c r="BQ67" i="7"/>
  <c r="BP67" i="7"/>
  <c r="BO67" i="7"/>
  <c r="BN67" i="7"/>
  <c r="BM67" i="7"/>
  <c r="BL67" i="7"/>
  <c r="BK67" i="7"/>
  <c r="BJ67" i="7"/>
  <c r="BI67" i="7"/>
  <c r="BH67" i="7"/>
  <c r="BG67" i="7"/>
  <c r="BF67" i="7"/>
  <c r="BE67" i="7"/>
  <c r="BD67" i="7"/>
  <c r="BC67" i="7"/>
  <c r="BB67" i="7"/>
  <c r="AZ67" i="7"/>
  <c r="AY67" i="7"/>
  <c r="AX67" i="7"/>
  <c r="AW67" i="7"/>
  <c r="AV67" i="7"/>
  <c r="AU67" i="7"/>
  <c r="AT67" i="7"/>
  <c r="AQ67" i="7"/>
  <c r="AP67" i="7"/>
  <c r="AO67" i="7"/>
  <c r="AN67" i="7"/>
  <c r="AM67" i="7"/>
  <c r="AL67" i="7"/>
  <c r="AK67" i="7"/>
  <c r="AJ67" i="7"/>
  <c r="AI67" i="7"/>
  <c r="AH67" i="7"/>
  <c r="AG67" i="7"/>
  <c r="AF67" i="7"/>
  <c r="AE67" i="7"/>
  <c r="AD67" i="7"/>
  <c r="AC67" i="7"/>
  <c r="AB67" i="7"/>
  <c r="AA67" i="7"/>
  <c r="Z67" i="7"/>
  <c r="Y67" i="7"/>
  <c r="X67" i="7"/>
  <c r="B67" i="7"/>
  <c r="CE66" i="7"/>
  <c r="CE70" i="7" s="1"/>
  <c r="CE77" i="7" s="1"/>
  <c r="BR66" i="7"/>
  <c r="BQ66" i="7"/>
  <c r="BP66" i="7"/>
  <c r="BP70" i="7" s="1"/>
  <c r="BT74" i="7" s="1"/>
  <c r="BO66" i="7"/>
  <c r="BO70" i="7" s="1"/>
  <c r="BB66" i="7"/>
  <c r="B66" i="7"/>
  <c r="B65" i="7"/>
  <c r="CC63" i="7"/>
  <c r="B63" i="7"/>
  <c r="CC62" i="7"/>
  <c r="B62" i="7"/>
  <c r="CC61" i="7"/>
  <c r="B61" i="7"/>
  <c r="CC60" i="7"/>
  <c r="B60" i="7"/>
  <c r="CD58" i="7"/>
  <c r="CD66" i="7" s="1"/>
  <c r="CC58" i="7"/>
  <c r="CC79" i="7" s="1"/>
  <c r="CB58" i="7"/>
  <c r="CB79" i="7" s="1"/>
  <c r="CA58" i="7"/>
  <c r="CA79" i="7" s="1"/>
  <c r="BZ58" i="7"/>
  <c r="BZ79" i="7" s="1"/>
  <c r="BY58" i="7"/>
  <c r="BY79" i="7" s="1"/>
  <c r="BX58" i="7"/>
  <c r="BX66" i="7" s="1"/>
  <c r="BW58" i="7"/>
  <c r="BW66" i="7" s="1"/>
  <c r="BN58" i="7"/>
  <c r="BN79" i="7" s="1"/>
  <c r="BM58" i="7"/>
  <c r="BM79" i="7" s="1"/>
  <c r="BL58" i="7"/>
  <c r="BL66" i="7" s="1"/>
  <c r="BK58" i="7"/>
  <c r="BK66" i="7" s="1"/>
  <c r="BJ58" i="7"/>
  <c r="BJ79" i="7" s="1"/>
  <c r="BI58" i="7"/>
  <c r="BI79" i="7" s="1"/>
  <c r="BH58" i="7"/>
  <c r="BG58" i="7"/>
  <c r="BG66" i="7" s="1"/>
  <c r="BF58" i="7"/>
  <c r="BF79" i="7" s="1"/>
  <c r="BE58" i="7"/>
  <c r="BE79" i="7" s="1"/>
  <c r="BD58" i="7"/>
  <c r="BD66" i="7" s="1"/>
  <c r="BC58" i="7"/>
  <c r="BC66" i="7" s="1"/>
  <c r="AZ58" i="7"/>
  <c r="AZ79" i="7" s="1"/>
  <c r="AY58" i="7"/>
  <c r="AY66" i="7" s="1"/>
  <c r="AX58" i="7"/>
  <c r="AW58" i="7"/>
  <c r="AW79" i="7" s="1"/>
  <c r="AV58" i="7"/>
  <c r="AV79" i="7" s="1"/>
  <c r="AU58" i="7"/>
  <c r="AU79" i="7" s="1"/>
  <c r="AP58" i="7"/>
  <c r="AO58" i="7"/>
  <c r="AO79" i="7" s="1"/>
  <c r="AN58" i="7"/>
  <c r="AN79" i="7" s="1"/>
  <c r="AM58" i="7"/>
  <c r="AM79" i="7" s="1"/>
  <c r="AL58" i="7"/>
  <c r="AL66" i="7" s="1"/>
  <c r="AL70" i="7" s="1"/>
  <c r="AK58" i="7"/>
  <c r="AK79" i="7" s="1"/>
  <c r="AJ58" i="7"/>
  <c r="AJ79" i="7" s="1"/>
  <c r="AI58" i="7"/>
  <c r="AI66" i="7" s="1"/>
  <c r="AH58" i="7"/>
  <c r="AG58" i="7"/>
  <c r="AG79" i="7" s="1"/>
  <c r="AF58" i="7"/>
  <c r="AF79" i="7" s="1"/>
  <c r="AE58" i="7"/>
  <c r="AE79" i="7" s="1"/>
  <c r="AD58" i="7"/>
  <c r="AD66" i="7" s="1"/>
  <c r="AC58" i="7"/>
  <c r="AC79" i="7" s="1"/>
  <c r="AB58" i="7"/>
  <c r="AB79" i="7" s="1"/>
  <c r="AA58" i="7"/>
  <c r="AA66" i="7" s="1"/>
  <c r="AA70" i="7" s="1"/>
  <c r="Z58" i="7"/>
  <c r="Y58" i="7"/>
  <c r="Y79" i="7" s="1"/>
  <c r="X58" i="7"/>
  <c r="X79" i="7" s="1"/>
  <c r="B58" i="7"/>
  <c r="B57" i="7"/>
  <c r="AT56" i="7"/>
  <c r="AT58" i="7" s="1"/>
  <c r="AQ56" i="7"/>
  <c r="AQ58" i="7" s="1"/>
  <c r="B56" i="7"/>
  <c r="B55" i="7"/>
  <c r="B54" i="7"/>
  <c r="CB53" i="7"/>
  <c r="CB67" i="7" s="1"/>
  <c r="AS53" i="7"/>
  <c r="AS67" i="7" s="1"/>
  <c r="AR53" i="7"/>
  <c r="AR67" i="7" s="1"/>
  <c r="B53" i="7"/>
  <c r="B52" i="7"/>
  <c r="D75" i="7" s="1"/>
  <c r="B51" i="7"/>
  <c r="CB50" i="7"/>
  <c r="B50" i="7"/>
  <c r="AS49" i="7"/>
  <c r="AS76" i="7" s="1"/>
  <c r="AR49" i="7"/>
  <c r="AR52" i="7" s="1"/>
  <c r="AQ49" i="7"/>
  <c r="AQ76" i="7" s="1"/>
  <c r="B49" i="7"/>
  <c r="BY48" i="7"/>
  <c r="BX48" i="7"/>
  <c r="BW48" i="7"/>
  <c r="AP48" i="7"/>
  <c r="AO48" i="7"/>
  <c r="AN48" i="7"/>
  <c r="AM48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Z48" i="7"/>
  <c r="Y48" i="7"/>
  <c r="X48" i="7"/>
  <c r="B48" i="7"/>
  <c r="B47" i="7"/>
  <c r="D73" i="7" s="1"/>
  <c r="CC45" i="7"/>
  <c r="CB45" i="7"/>
  <c r="CA45" i="7"/>
  <c r="BZ45" i="7"/>
  <c r="BY45" i="7"/>
  <c r="BX45" i="7"/>
  <c r="BW45" i="7"/>
  <c r="BB45" i="7"/>
  <c r="BA45" i="7"/>
  <c r="AZ45" i="7"/>
  <c r="AY45" i="7"/>
  <c r="AX45" i="7"/>
  <c r="AW45" i="7"/>
  <c r="AV45" i="7"/>
  <c r="AU45" i="7"/>
  <c r="AT45" i="7"/>
  <c r="AS45" i="7"/>
  <c r="AR45" i="7"/>
  <c r="AQ45" i="7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AB45" i="7"/>
  <c r="AA45" i="7"/>
  <c r="Z45" i="7"/>
  <c r="Y45" i="7"/>
  <c r="X45" i="7"/>
  <c r="B45" i="7"/>
  <c r="CC44" i="7"/>
  <c r="CB44" i="7"/>
  <c r="CA44" i="7"/>
  <c r="BZ44" i="7"/>
  <c r="B43" i="7"/>
  <c r="CG41" i="7"/>
  <c r="CF41" i="7"/>
  <c r="CE41" i="7"/>
  <c r="BR41" i="7"/>
  <c r="BQ41" i="7"/>
  <c r="BP41" i="7"/>
  <c r="BO41" i="7"/>
  <c r="BN41" i="7"/>
  <c r="BC41" i="7"/>
  <c r="AE41" i="7"/>
  <c r="B41" i="7"/>
  <c r="CG40" i="7"/>
  <c r="CF40" i="7"/>
  <c r="CE40" i="7"/>
  <c r="CD40" i="7"/>
  <c r="CC40" i="7"/>
  <c r="CA40" i="7"/>
  <c r="BZ40" i="7"/>
  <c r="BY40" i="7"/>
  <c r="BX40" i="7"/>
  <c r="BW40" i="7"/>
  <c r="BR40" i="7"/>
  <c r="BQ40" i="7"/>
  <c r="BP40" i="7"/>
  <c r="BO40" i="7"/>
  <c r="BN40" i="7"/>
  <c r="BM40" i="7"/>
  <c r="BL40" i="7"/>
  <c r="BK40" i="7"/>
  <c r="BJ40" i="7"/>
  <c r="BI40" i="7"/>
  <c r="BH40" i="7"/>
  <c r="BG40" i="7"/>
  <c r="BF40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B40" i="7"/>
  <c r="B39" i="7"/>
  <c r="CG38" i="7"/>
  <c r="CF38" i="7"/>
  <c r="CE38" i="7"/>
  <c r="CD38" i="7"/>
  <c r="CC38" i="7"/>
  <c r="CB38" i="7"/>
  <c r="CA38" i="7"/>
  <c r="BZ38" i="7"/>
  <c r="BY38" i="7"/>
  <c r="BX38" i="7"/>
  <c r="BW38" i="7"/>
  <c r="BR38" i="7"/>
  <c r="BQ38" i="7"/>
  <c r="BP38" i="7"/>
  <c r="BO38" i="7"/>
  <c r="BN38" i="7"/>
  <c r="BM38" i="7"/>
  <c r="BL38" i="7"/>
  <c r="BK38" i="7"/>
  <c r="BJ38" i="7"/>
  <c r="BI38" i="7"/>
  <c r="BH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B38" i="7"/>
  <c r="CG37" i="7"/>
  <c r="CF37" i="7"/>
  <c r="CE37" i="7"/>
  <c r="CD37" i="7"/>
  <c r="CA37" i="7"/>
  <c r="BZ37" i="7"/>
  <c r="BY37" i="7"/>
  <c r="BX37" i="7"/>
  <c r="BW37" i="7"/>
  <c r="BR37" i="7"/>
  <c r="BQ37" i="7"/>
  <c r="BP37" i="7"/>
  <c r="BO37" i="7"/>
  <c r="BN37" i="7"/>
  <c r="BM37" i="7"/>
  <c r="BL37" i="7"/>
  <c r="BK37" i="7"/>
  <c r="BJ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B37" i="7"/>
  <c r="B36" i="7"/>
  <c r="CG35" i="7"/>
  <c r="CF35" i="7"/>
  <c r="CE35" i="7"/>
  <c r="CD35" i="7"/>
  <c r="CC35" i="7"/>
  <c r="CB35" i="7"/>
  <c r="CA35" i="7"/>
  <c r="BZ35" i="7"/>
  <c r="BY35" i="7"/>
  <c r="BX35" i="7"/>
  <c r="BW35" i="7"/>
  <c r="BR35" i="7"/>
  <c r="BQ35" i="7"/>
  <c r="BP35" i="7"/>
  <c r="BO35" i="7"/>
  <c r="BN35" i="7"/>
  <c r="BM35" i="7"/>
  <c r="BL35" i="7"/>
  <c r="BK35" i="7"/>
  <c r="BJ35" i="7"/>
  <c r="BI35" i="7"/>
  <c r="BH35" i="7"/>
  <c r="BG35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B35" i="7"/>
  <c r="B34" i="7"/>
  <c r="BA32" i="7"/>
  <c r="BA39" i="7" s="1"/>
  <c r="B32" i="7"/>
  <c r="B31" i="7"/>
  <c r="CG30" i="7"/>
  <c r="CF30" i="7"/>
  <c r="CE30" i="7"/>
  <c r="CD30" i="7"/>
  <c r="CC30" i="7"/>
  <c r="CB30" i="7"/>
  <c r="CA30" i="7"/>
  <c r="BZ30" i="7"/>
  <c r="BY30" i="7"/>
  <c r="BX30" i="7"/>
  <c r="BW30" i="7"/>
  <c r="BQ30" i="7"/>
  <c r="BP30" i="7"/>
  <c r="BP32" i="7" s="1"/>
  <c r="BT36" i="7" s="1"/>
  <c r="BO30" i="7"/>
  <c r="BN30" i="7"/>
  <c r="BM30" i="7"/>
  <c r="BL30" i="7"/>
  <c r="BK30" i="7"/>
  <c r="BJ30" i="7"/>
  <c r="BI30" i="7"/>
  <c r="BH30" i="7"/>
  <c r="BG30" i="7"/>
  <c r="BF30" i="7"/>
  <c r="BE30" i="7"/>
  <c r="BD30" i="7"/>
  <c r="BC30" i="7"/>
  <c r="BB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B30" i="7"/>
  <c r="CG29" i="7"/>
  <c r="CF29" i="7"/>
  <c r="CE29" i="7"/>
  <c r="CD29" i="7"/>
  <c r="CC29" i="7"/>
  <c r="CA29" i="7"/>
  <c r="BZ29" i="7"/>
  <c r="BY29" i="7"/>
  <c r="BX29" i="7"/>
  <c r="BW29" i="7"/>
  <c r="BQ29" i="7"/>
  <c r="BP29" i="7"/>
  <c r="BO29" i="7"/>
  <c r="BN29" i="7"/>
  <c r="BM29" i="7"/>
  <c r="BL29" i="7"/>
  <c r="BK29" i="7"/>
  <c r="BJ29" i="7"/>
  <c r="BI29" i="7"/>
  <c r="BH29" i="7"/>
  <c r="BG29" i="7"/>
  <c r="BF29" i="7"/>
  <c r="BE29" i="7"/>
  <c r="BD29" i="7"/>
  <c r="BC29" i="7"/>
  <c r="BB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B29" i="7"/>
  <c r="CG28" i="7"/>
  <c r="CF28" i="7"/>
  <c r="CE28" i="7"/>
  <c r="BR28" i="7"/>
  <c r="BR32" i="7" s="1"/>
  <c r="BR39" i="7" s="1"/>
  <c r="BQ28" i="7"/>
  <c r="BP28" i="7"/>
  <c r="BO28" i="7"/>
  <c r="BN28" i="7"/>
  <c r="BK28" i="7"/>
  <c r="BC28" i="7"/>
  <c r="AZ28" i="7"/>
  <c r="AB28" i="7"/>
  <c r="B28" i="7"/>
  <c r="B27" i="7"/>
  <c r="AQ25" i="7"/>
  <c r="B25" i="7"/>
  <c r="AQ24" i="7"/>
  <c r="B24" i="7"/>
  <c r="AQ23" i="7"/>
  <c r="B23" i="7"/>
  <c r="AQ22" i="7"/>
  <c r="B22" i="7"/>
  <c r="CD20" i="7"/>
  <c r="CD28" i="7" s="1"/>
  <c r="CC20" i="7"/>
  <c r="CC41" i="7" s="1"/>
  <c r="CB20" i="7"/>
  <c r="CB41" i="7" s="1"/>
  <c r="CA20" i="7"/>
  <c r="CA41" i="7" s="1"/>
  <c r="BZ20" i="7"/>
  <c r="BZ41" i="7" s="1"/>
  <c r="BY20" i="7"/>
  <c r="BY28" i="7" s="1"/>
  <c r="BY32" i="7" s="1"/>
  <c r="BX20" i="7"/>
  <c r="BX28" i="7" s="1"/>
  <c r="BW20" i="7"/>
  <c r="BW41" i="7" s="1"/>
  <c r="BM20" i="7"/>
  <c r="BM28" i="7" s="1"/>
  <c r="BL20" i="7"/>
  <c r="BL41" i="7" s="1"/>
  <c r="BK20" i="7"/>
  <c r="BK41" i="7" s="1"/>
  <c r="BJ20" i="7"/>
  <c r="BJ28" i="7" s="1"/>
  <c r="BI20" i="7"/>
  <c r="BH20" i="7"/>
  <c r="BH41" i="7" s="1"/>
  <c r="BG20" i="7"/>
  <c r="BG28" i="7" s="1"/>
  <c r="BG32" i="7" s="1"/>
  <c r="BF20" i="7"/>
  <c r="BF41" i="7" s="1"/>
  <c r="BE20" i="7"/>
  <c r="BE28" i="7" s="1"/>
  <c r="BE32" i="7" s="1"/>
  <c r="BD20" i="7"/>
  <c r="BD41" i="7" s="1"/>
  <c r="BC20" i="7"/>
  <c r="BB20" i="7"/>
  <c r="BB28" i="7" s="1"/>
  <c r="BA20" i="7"/>
  <c r="BA41" i="7" s="1"/>
  <c r="AZ20" i="7"/>
  <c r="AZ41" i="7" s="1"/>
  <c r="AY20" i="7"/>
  <c r="AY28" i="7" s="1"/>
  <c r="AX20" i="7"/>
  <c r="AX41" i="7" s="1"/>
  <c r="AW20" i="7"/>
  <c r="AW41" i="7" s="1"/>
  <c r="AV20" i="7"/>
  <c r="AV28" i="7" s="1"/>
  <c r="AU20" i="7"/>
  <c r="AU28" i="7" s="1"/>
  <c r="AT20" i="7"/>
  <c r="AT28" i="7" s="1"/>
  <c r="AS20" i="7"/>
  <c r="AR20" i="7"/>
  <c r="AR41" i="7" s="1"/>
  <c r="AQ20" i="7"/>
  <c r="AQ28" i="7" s="1"/>
  <c r="AP20" i="7"/>
  <c r="AP41" i="7" s="1"/>
  <c r="AO20" i="7"/>
  <c r="AO41" i="7" s="1"/>
  <c r="AN20" i="7"/>
  <c r="AN28" i="7" s="1"/>
  <c r="AM20" i="7"/>
  <c r="AM41" i="7" s="1"/>
  <c r="AL20" i="7"/>
  <c r="AL41" i="7" s="1"/>
  <c r="AK20" i="7"/>
  <c r="AJ20" i="7"/>
  <c r="AJ41" i="7" s="1"/>
  <c r="AI20" i="7"/>
  <c r="AI28" i="7" s="1"/>
  <c r="AH20" i="7"/>
  <c r="AH41" i="7" s="1"/>
  <c r="AG20" i="7"/>
  <c r="AG41" i="7" s="1"/>
  <c r="AF20" i="7"/>
  <c r="AF28" i="7" s="1"/>
  <c r="AF32" i="7" s="1"/>
  <c r="AE20" i="7"/>
  <c r="AE28" i="7" s="1"/>
  <c r="AD20" i="7"/>
  <c r="AD41" i="7" s="1"/>
  <c r="AC20" i="7"/>
  <c r="AB20" i="7"/>
  <c r="AB41" i="7" s="1"/>
  <c r="AA20" i="7"/>
  <c r="AA28" i="7" s="1"/>
  <c r="Z20" i="7"/>
  <c r="Z41" i="7" s="1"/>
  <c r="Y20" i="7"/>
  <c r="Y41" i="7" s="1"/>
  <c r="X20" i="7"/>
  <c r="X28" i="7" s="1"/>
  <c r="B20" i="7"/>
  <c r="B19" i="7"/>
  <c r="B18" i="7"/>
  <c r="B17" i="7"/>
  <c r="B16" i="7"/>
  <c r="CB15" i="7"/>
  <c r="CB29" i="7" s="1"/>
  <c r="B15" i="7"/>
  <c r="B14" i="7"/>
  <c r="B13" i="7"/>
  <c r="CB12" i="7"/>
  <c r="CB14" i="7" s="1"/>
  <c r="B12" i="7"/>
  <c r="B11" i="7"/>
  <c r="BY10" i="7"/>
  <c r="BX10" i="7"/>
  <c r="BW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B10" i="7"/>
  <c r="B9" i="7"/>
  <c r="B7" i="7"/>
  <c r="BY6" i="7"/>
  <c r="BY44" i="7" s="1"/>
  <c r="BX6" i="7"/>
  <c r="BX44" i="7" s="1"/>
  <c r="BW6" i="7"/>
  <c r="BW44" i="7" s="1"/>
  <c r="C6" i="7"/>
  <c r="B5" i="7"/>
  <c r="B3" i="7"/>
  <c r="B2" i="7"/>
  <c r="CJ115" i="3"/>
  <c r="CF115" i="3"/>
  <c r="CE115" i="3"/>
  <c r="CD115" i="3"/>
  <c r="CC115" i="3"/>
  <c r="CB115" i="3"/>
  <c r="CA115" i="3"/>
  <c r="BZ115" i="3"/>
  <c r="BY115" i="3"/>
  <c r="BX115" i="3"/>
  <c r="BW115" i="3"/>
  <c r="BS115" i="3"/>
  <c r="CN115" i="3" s="1"/>
  <c r="BR115" i="3"/>
  <c r="BQ115" i="3"/>
  <c r="BP115" i="3"/>
  <c r="BO115" i="3"/>
  <c r="CM115" i="3" s="1"/>
  <c r="BN115" i="3"/>
  <c r="BM115" i="3"/>
  <c r="BL115" i="3"/>
  <c r="BK115" i="3"/>
  <c r="CL115" i="3" s="1"/>
  <c r="BJ115" i="3"/>
  <c r="BI115" i="3"/>
  <c r="BH115" i="3"/>
  <c r="BG115" i="3"/>
  <c r="CK115" i="3" s="1"/>
  <c r="BF115" i="3"/>
  <c r="BE115" i="3"/>
  <c r="BD115" i="3"/>
  <c r="BC115" i="3"/>
  <c r="BB115" i="3"/>
  <c r="BA115" i="3"/>
  <c r="AZ115" i="3"/>
  <c r="AY115" i="3"/>
  <c r="CI115" i="3" s="1"/>
  <c r="AX115" i="3"/>
  <c r="AW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C115" i="3"/>
  <c r="B115" i="3"/>
  <c r="CF114" i="3"/>
  <c r="CE114" i="3"/>
  <c r="CD114" i="3"/>
  <c r="CC114" i="3"/>
  <c r="CB114" i="3"/>
  <c r="CA114" i="3"/>
  <c r="BZ114" i="3"/>
  <c r="BS114" i="3"/>
  <c r="CN114" i="3" s="1"/>
  <c r="BR114" i="3"/>
  <c r="BQ114" i="3"/>
  <c r="BP114" i="3"/>
  <c r="BO114" i="3"/>
  <c r="CM114" i="3" s="1"/>
  <c r="BN114" i="3"/>
  <c r="BM114" i="3"/>
  <c r="BL114" i="3"/>
  <c r="BK114" i="3"/>
  <c r="CL114" i="3" s="1"/>
  <c r="BI114" i="3"/>
  <c r="BF114" i="3"/>
  <c r="BE114" i="3"/>
  <c r="BD114" i="3"/>
  <c r="BB114" i="3"/>
  <c r="BA114" i="3"/>
  <c r="AZ114" i="3"/>
  <c r="AY114" i="3"/>
  <c r="CI114" i="3" s="1"/>
  <c r="AX114" i="3"/>
  <c r="AW114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I114" i="3"/>
  <c r="B114" i="3"/>
  <c r="B113" i="3"/>
  <c r="CF112" i="3"/>
  <c r="CE112" i="3"/>
  <c r="CD112" i="3"/>
  <c r="CC112" i="3"/>
  <c r="CB112" i="3"/>
  <c r="CA112" i="3"/>
  <c r="BZ112" i="3"/>
  <c r="BY112" i="3"/>
  <c r="BX112" i="3"/>
  <c r="BW112" i="3"/>
  <c r="BS112" i="3"/>
  <c r="CN112" i="3" s="1"/>
  <c r="BR112" i="3"/>
  <c r="BQ112" i="3"/>
  <c r="BP112" i="3"/>
  <c r="BO112" i="3"/>
  <c r="CM112" i="3" s="1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CJ112" i="3" s="1"/>
  <c r="BB112" i="3"/>
  <c r="BA112" i="3"/>
  <c r="AZ112" i="3"/>
  <c r="AY112" i="3"/>
  <c r="CI112" i="3" s="1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C112" i="3"/>
  <c r="B111" i="3"/>
  <c r="CL110" i="3"/>
  <c r="CF110" i="3"/>
  <c r="CE110" i="3"/>
  <c r="CD110" i="3"/>
  <c r="CC110" i="3"/>
  <c r="CB110" i="3"/>
  <c r="CA110" i="3"/>
  <c r="BZ110" i="3"/>
  <c r="BY110" i="3"/>
  <c r="BX110" i="3"/>
  <c r="BW110" i="3"/>
  <c r="BS110" i="3"/>
  <c r="BR110" i="3"/>
  <c r="BQ110" i="3"/>
  <c r="BP110" i="3"/>
  <c r="BO110" i="3"/>
  <c r="BN110" i="3"/>
  <c r="BM110" i="3"/>
  <c r="BL110" i="3"/>
  <c r="BK110" i="3"/>
  <c r="BJ110" i="3"/>
  <c r="BI110" i="3"/>
  <c r="BH110" i="3"/>
  <c r="BG110" i="3"/>
  <c r="CK110" i="3" s="1"/>
  <c r="BF110" i="3"/>
  <c r="BE110" i="3"/>
  <c r="BD110" i="3"/>
  <c r="BC110" i="3"/>
  <c r="CJ110" i="3" s="1"/>
  <c r="BB110" i="3"/>
  <c r="BA110" i="3"/>
  <c r="AZ110" i="3"/>
  <c r="AY110" i="3"/>
  <c r="CI110" i="3" s="1"/>
  <c r="AV110" i="3"/>
  <c r="AT110" i="3"/>
  <c r="AS110" i="3"/>
  <c r="AR110" i="3"/>
  <c r="AQ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C110" i="3"/>
  <c r="B109" i="3"/>
  <c r="CF108" i="3"/>
  <c r="CD108" i="3"/>
  <c r="CC108" i="3"/>
  <c r="CB108" i="3"/>
  <c r="CA108" i="3"/>
  <c r="CA102" i="3" s="1"/>
  <c r="BZ108" i="3"/>
  <c r="BY108" i="3"/>
  <c r="BX108" i="3"/>
  <c r="BW108" i="3"/>
  <c r="BS108" i="3"/>
  <c r="CN108" i="3" s="1"/>
  <c r="BR108" i="3"/>
  <c r="BQ108" i="3"/>
  <c r="BP108" i="3"/>
  <c r="BO108" i="3"/>
  <c r="CM108" i="3" s="1"/>
  <c r="BN108" i="3"/>
  <c r="BM108" i="3"/>
  <c r="BL108" i="3"/>
  <c r="BK108" i="3"/>
  <c r="CL108" i="3" s="1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V108" i="3"/>
  <c r="AT108" i="3"/>
  <c r="AS108" i="3"/>
  <c r="AR108" i="3"/>
  <c r="AQ108" i="3"/>
  <c r="AP108" i="3"/>
  <c r="AM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C108" i="3"/>
  <c r="B107" i="3"/>
  <c r="CF106" i="3"/>
  <c r="CE106" i="3"/>
  <c r="CD106" i="3"/>
  <c r="CC106" i="3"/>
  <c r="CB106" i="3"/>
  <c r="CA106" i="3"/>
  <c r="BZ106" i="3"/>
  <c r="BY106" i="3"/>
  <c r="BX106" i="3"/>
  <c r="BW106" i="3"/>
  <c r="BS106" i="3"/>
  <c r="CN106" i="3" s="1"/>
  <c r="BR106" i="3"/>
  <c r="BQ106" i="3"/>
  <c r="BP106" i="3"/>
  <c r="BO106" i="3"/>
  <c r="BN106" i="3"/>
  <c r="BM106" i="3"/>
  <c r="BL106" i="3"/>
  <c r="BK106" i="3"/>
  <c r="CL106" i="3" s="1"/>
  <c r="BJ106" i="3"/>
  <c r="BI106" i="3"/>
  <c r="BH106" i="3"/>
  <c r="BG106" i="3"/>
  <c r="CK106" i="3" s="1"/>
  <c r="BF106" i="3"/>
  <c r="BE106" i="3"/>
  <c r="BD106" i="3"/>
  <c r="BC106" i="3"/>
  <c r="CJ106" i="3" s="1"/>
  <c r="BB106" i="3"/>
  <c r="BA106" i="3"/>
  <c r="AZ106" i="3"/>
  <c r="AY106" i="3"/>
  <c r="CI106" i="3" s="1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C106" i="3"/>
  <c r="CH105" i="3"/>
  <c r="CG105" i="3"/>
  <c r="CF105" i="3"/>
  <c r="CE105" i="3"/>
  <c r="CE113" i="3" s="1"/>
  <c r="CD105" i="3"/>
  <c r="CC105" i="3"/>
  <c r="CC113" i="3" s="1"/>
  <c r="CB105" i="3"/>
  <c r="CB113" i="3" s="1"/>
  <c r="CA105" i="3"/>
  <c r="BZ105" i="3"/>
  <c r="BY105" i="3"/>
  <c r="BX105" i="3"/>
  <c r="BW105" i="3"/>
  <c r="BR105" i="3"/>
  <c r="BQ105" i="3"/>
  <c r="BP105" i="3"/>
  <c r="BP113" i="3" s="1"/>
  <c r="BO105" i="3"/>
  <c r="CM105" i="3" s="1"/>
  <c r="BN105" i="3"/>
  <c r="BM105" i="3"/>
  <c r="BL105" i="3"/>
  <c r="BK105" i="3"/>
  <c r="CL105" i="3" s="1"/>
  <c r="BJ105" i="3"/>
  <c r="BI105" i="3"/>
  <c r="BH105" i="3"/>
  <c r="BG105" i="3"/>
  <c r="CK105" i="3" s="1"/>
  <c r="BF105" i="3"/>
  <c r="BE105" i="3"/>
  <c r="BD105" i="3"/>
  <c r="BC105" i="3"/>
  <c r="CJ105" i="3" s="1"/>
  <c r="BB105" i="3"/>
  <c r="BA105" i="3"/>
  <c r="BA113" i="3" s="1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E113" i="3" s="1"/>
  <c r="AD105" i="3"/>
  <c r="AC105" i="3"/>
  <c r="AC113" i="3" s="1"/>
  <c r="AB105" i="3"/>
  <c r="AA105" i="3"/>
  <c r="Z105" i="3"/>
  <c r="Y105" i="3"/>
  <c r="X105" i="3"/>
  <c r="W105" i="3"/>
  <c r="V105" i="3"/>
  <c r="U105" i="3"/>
  <c r="T105" i="3"/>
  <c r="T113" i="3" s="1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G113" i="3" s="1"/>
  <c r="B105" i="3"/>
  <c r="B104" i="3"/>
  <c r="B103" i="3"/>
  <c r="B102" i="3"/>
  <c r="B100" i="3"/>
  <c r="B99" i="3"/>
  <c r="B97" i="3"/>
  <c r="BG96" i="3"/>
  <c r="CK96" i="3" s="1"/>
  <c r="BF96" i="3"/>
  <c r="BE96" i="3"/>
  <c r="AA96" i="3"/>
  <c r="B96" i="3"/>
  <c r="CK95" i="3"/>
  <c r="CF95" i="3"/>
  <c r="CF96" i="3" s="1"/>
  <c r="CE95" i="3"/>
  <c r="CE96" i="3" s="1"/>
  <c r="CD95" i="3"/>
  <c r="CD96" i="3" s="1"/>
  <c r="CC95" i="3"/>
  <c r="CC96" i="3" s="1"/>
  <c r="CB95" i="3"/>
  <c r="CB96" i="3" s="1"/>
  <c r="CA95" i="3"/>
  <c r="CA96" i="3" s="1"/>
  <c r="BZ95" i="3"/>
  <c r="BZ96" i="3" s="1"/>
  <c r="BY95" i="3"/>
  <c r="BY96" i="3" s="1"/>
  <c r="BX95" i="3"/>
  <c r="BX96" i="3" s="1"/>
  <c r="BW95" i="3"/>
  <c r="BW96" i="3" s="1"/>
  <c r="BS95" i="3"/>
  <c r="BR95" i="3"/>
  <c r="BR96" i="3" s="1"/>
  <c r="BO95" i="3"/>
  <c r="BO96" i="3" s="1"/>
  <c r="CM96" i="3" s="1"/>
  <c r="BN95" i="3"/>
  <c r="BN96" i="3" s="1"/>
  <c r="BM95" i="3"/>
  <c r="BM96" i="3" s="1"/>
  <c r="BL95" i="3"/>
  <c r="BL96" i="3" s="1"/>
  <c r="BK95" i="3"/>
  <c r="BK96" i="3" s="1"/>
  <c r="CL96" i="3" s="1"/>
  <c r="BJ95" i="3"/>
  <c r="BJ96" i="3" s="1"/>
  <c r="BI95" i="3"/>
  <c r="BI96" i="3" s="1"/>
  <c r="BH95" i="3"/>
  <c r="BH96" i="3" s="1"/>
  <c r="BG95" i="3"/>
  <c r="BF95" i="3"/>
  <c r="BE95" i="3"/>
  <c r="BD95" i="3"/>
  <c r="BD96" i="3" s="1"/>
  <c r="BC95" i="3"/>
  <c r="BC96" i="3" s="1"/>
  <c r="CJ96" i="3" s="1"/>
  <c r="BB95" i="3"/>
  <c r="BB96" i="3" s="1"/>
  <c r="BA95" i="3"/>
  <c r="BA96" i="3" s="1"/>
  <c r="AZ95" i="3"/>
  <c r="AZ96" i="3" s="1"/>
  <c r="AY95" i="3"/>
  <c r="AY96" i="3" s="1"/>
  <c r="CI96" i="3" s="1"/>
  <c r="AX95" i="3"/>
  <c r="AW95" i="3"/>
  <c r="AV95" i="3"/>
  <c r="AV96" i="3" s="1"/>
  <c r="AU95" i="3"/>
  <c r="AU96" i="3" s="1"/>
  <c r="AT95" i="3"/>
  <c r="AT96" i="3" s="1"/>
  <c r="AS95" i="3"/>
  <c r="AS96" i="3" s="1"/>
  <c r="AR95" i="3"/>
  <c r="AR96" i="3" s="1"/>
  <c r="AQ95" i="3"/>
  <c r="AQ96" i="3" s="1"/>
  <c r="AP95" i="3"/>
  <c r="AP96" i="3" s="1"/>
  <c r="AO95" i="3"/>
  <c r="AO96" i="3" s="1"/>
  <c r="AN95" i="3"/>
  <c r="AN96" i="3" s="1"/>
  <c r="AM95" i="3"/>
  <c r="AM96" i="3" s="1"/>
  <c r="AL95" i="3"/>
  <c r="AL96" i="3" s="1"/>
  <c r="AK95" i="3"/>
  <c r="AK96" i="3" s="1"/>
  <c r="AJ95" i="3"/>
  <c r="AJ96" i="3" s="1"/>
  <c r="AI95" i="3"/>
  <c r="AI96" i="3" s="1"/>
  <c r="AH95" i="3"/>
  <c r="AH96" i="3" s="1"/>
  <c r="AG95" i="3"/>
  <c r="AG96" i="3" s="1"/>
  <c r="AF95" i="3"/>
  <c r="AF96" i="3" s="1"/>
  <c r="AE95" i="3"/>
  <c r="AE96" i="3" s="1"/>
  <c r="AD95" i="3"/>
  <c r="AD96" i="3" s="1"/>
  <c r="AC95" i="3"/>
  <c r="AC96" i="3" s="1"/>
  <c r="AB95" i="3"/>
  <c r="AB96" i="3" s="1"/>
  <c r="AA95" i="3"/>
  <c r="Z95" i="3"/>
  <c r="Z96" i="3" s="1"/>
  <c r="Y95" i="3"/>
  <c r="Y96" i="3" s="1"/>
  <c r="X95" i="3"/>
  <c r="X96" i="3" s="1"/>
  <c r="W95" i="3"/>
  <c r="W96" i="3" s="1"/>
  <c r="V95" i="3"/>
  <c r="V96" i="3" s="1"/>
  <c r="U95" i="3"/>
  <c r="U96" i="3" s="1"/>
  <c r="T95" i="3"/>
  <c r="T96" i="3" s="1"/>
  <c r="S95" i="3"/>
  <c r="S96" i="3" s="1"/>
  <c r="R95" i="3"/>
  <c r="R96" i="3" s="1"/>
  <c r="Q95" i="3"/>
  <c r="Q96" i="3" s="1"/>
  <c r="P95" i="3"/>
  <c r="P96" i="3" s="1"/>
  <c r="O95" i="3"/>
  <c r="O96" i="3" s="1"/>
  <c r="N95" i="3"/>
  <c r="N96" i="3" s="1"/>
  <c r="M95" i="3"/>
  <c r="M96" i="3" s="1"/>
  <c r="L95" i="3"/>
  <c r="L96" i="3" s="1"/>
  <c r="K95" i="3"/>
  <c r="K96" i="3" s="1"/>
  <c r="J95" i="3"/>
  <c r="J96" i="3" s="1"/>
  <c r="I95" i="3"/>
  <c r="I96" i="3" s="1"/>
  <c r="H95" i="3"/>
  <c r="H96" i="3" s="1"/>
  <c r="G95" i="3"/>
  <c r="G96" i="3" s="1"/>
  <c r="D95" i="3"/>
  <c r="D96" i="3" s="1"/>
  <c r="C95" i="3"/>
  <c r="C96" i="3" s="1"/>
  <c r="B95" i="3"/>
  <c r="B93" i="3"/>
  <c r="CG91" i="3"/>
  <c r="CF91" i="3"/>
  <c r="CE91" i="3"/>
  <c r="CD91" i="3"/>
  <c r="CC91" i="3"/>
  <c r="CB91" i="3"/>
  <c r="CA91" i="3"/>
  <c r="BZ91" i="3"/>
  <c r="BY91" i="3"/>
  <c r="BX91" i="3"/>
  <c r="BW91" i="3"/>
  <c r="BS91" i="3"/>
  <c r="CN91" i="3" s="1"/>
  <c r="BR91" i="3"/>
  <c r="BQ91" i="3"/>
  <c r="BO91" i="3"/>
  <c r="CM91" i="3" s="1"/>
  <c r="BN91" i="3"/>
  <c r="BM91" i="3"/>
  <c r="BL91" i="3"/>
  <c r="BK91" i="3"/>
  <c r="CL91" i="3" s="1"/>
  <c r="BJ91" i="3"/>
  <c r="BI91" i="3"/>
  <c r="BG91" i="3"/>
  <c r="CK91" i="3" s="1"/>
  <c r="BF91" i="3"/>
  <c r="BE91" i="3"/>
  <c r="BD91" i="3"/>
  <c r="BC91" i="3"/>
  <c r="CJ91" i="3" s="1"/>
  <c r="BB91" i="3"/>
  <c r="BA91" i="3"/>
  <c r="AZ91" i="3"/>
  <c r="AY91" i="3"/>
  <c r="AX91" i="3"/>
  <c r="AW91" i="3"/>
  <c r="AV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D91" i="3"/>
  <c r="C91" i="3"/>
  <c r="B91" i="3"/>
  <c r="CM90" i="3"/>
  <c r="CL90" i="3"/>
  <c r="CK90" i="3"/>
  <c r="CJ90" i="3"/>
  <c r="CI90" i="3"/>
  <c r="CH90" i="3"/>
  <c r="CG90" i="3"/>
  <c r="B90" i="3"/>
  <c r="CM89" i="3"/>
  <c r="CL89" i="3"/>
  <c r="CK89" i="3"/>
  <c r="CJ89" i="3"/>
  <c r="CI89" i="3"/>
  <c r="CH89" i="3"/>
  <c r="CG89" i="3"/>
  <c r="BH89" i="3"/>
  <c r="BH91" i="3" s="1"/>
  <c r="B89" i="3"/>
  <c r="CM88" i="3"/>
  <c r="CL88" i="3"/>
  <c r="CK88" i="3"/>
  <c r="CJ88" i="3"/>
  <c r="CI88" i="3"/>
  <c r="CH88" i="3"/>
  <c r="CG88" i="3"/>
  <c r="B88" i="3"/>
  <c r="CM87" i="3"/>
  <c r="CL87" i="3"/>
  <c r="CK87" i="3"/>
  <c r="CJ87" i="3"/>
  <c r="CI87" i="3"/>
  <c r="CH87" i="3"/>
  <c r="CG87" i="3"/>
  <c r="B87" i="3"/>
  <c r="CM86" i="3"/>
  <c r="CL86" i="3"/>
  <c r="CK86" i="3"/>
  <c r="CJ86" i="3"/>
  <c r="CI86" i="3"/>
  <c r="CG86" i="3"/>
  <c r="BP86" i="3"/>
  <c r="BP91" i="3" s="1"/>
  <c r="AU86" i="3"/>
  <c r="B86" i="3"/>
  <c r="CM85" i="3"/>
  <c r="B85" i="3"/>
  <c r="CM84" i="3"/>
  <c r="B84" i="3"/>
  <c r="CM83" i="3"/>
  <c r="CL83" i="3"/>
  <c r="CK83" i="3"/>
  <c r="CJ83" i="3"/>
  <c r="CI83" i="3"/>
  <c r="CH83" i="3"/>
  <c r="CG83" i="3"/>
  <c r="B83" i="3"/>
  <c r="CM82" i="3"/>
  <c r="CL82" i="3"/>
  <c r="CK82" i="3"/>
  <c r="CJ82" i="3"/>
  <c r="CI82" i="3"/>
  <c r="CH82" i="3"/>
  <c r="CG82" i="3"/>
  <c r="B82" i="3"/>
  <c r="CM81" i="3"/>
  <c r="B80" i="3"/>
  <c r="CM78" i="3"/>
  <c r="CK78" i="3"/>
  <c r="CJ78" i="3"/>
  <c r="CM77" i="3"/>
  <c r="CK77" i="3"/>
  <c r="CJ77" i="3"/>
  <c r="CM76" i="3"/>
  <c r="CL76" i="3"/>
  <c r="CK76" i="3"/>
  <c r="CJ76" i="3"/>
  <c r="CI76" i="3"/>
  <c r="CG76" i="3"/>
  <c r="AV76" i="3"/>
  <c r="AV68" i="3" s="1"/>
  <c r="AU76" i="3"/>
  <c r="B76" i="3"/>
  <c r="CM75" i="3"/>
  <c r="CL75" i="3"/>
  <c r="CK75" i="3"/>
  <c r="CJ75" i="3"/>
  <c r="CI75" i="3"/>
  <c r="CH75" i="3"/>
  <c r="CG75" i="3"/>
  <c r="B75" i="3"/>
  <c r="CM74" i="3"/>
  <c r="CL74" i="3"/>
  <c r="CK74" i="3"/>
  <c r="CJ74" i="3"/>
  <c r="CI74" i="3"/>
  <c r="CH74" i="3"/>
  <c r="CG74" i="3"/>
  <c r="B74" i="3"/>
  <c r="CM73" i="3"/>
  <c r="CL73" i="3"/>
  <c r="CK73" i="3"/>
  <c r="CJ73" i="3"/>
  <c r="CI73" i="3"/>
  <c r="CH73" i="3"/>
  <c r="CG73" i="3"/>
  <c r="B73" i="3"/>
  <c r="CM72" i="3"/>
  <c r="CL72" i="3"/>
  <c r="CK72" i="3"/>
  <c r="CJ72" i="3"/>
  <c r="CI72" i="3"/>
  <c r="CH72" i="3"/>
  <c r="CG72" i="3"/>
  <c r="B72" i="3"/>
  <c r="CM71" i="3"/>
  <c r="CL71" i="3"/>
  <c r="CK71" i="3"/>
  <c r="CJ71" i="3"/>
  <c r="CI71" i="3"/>
  <c r="CH71" i="3"/>
  <c r="CG71" i="3"/>
  <c r="BP71" i="3"/>
  <c r="B71" i="3"/>
  <c r="CM70" i="3"/>
  <c r="CL70" i="3"/>
  <c r="CK70" i="3"/>
  <c r="CJ70" i="3"/>
  <c r="CI70" i="3"/>
  <c r="CH70" i="3"/>
  <c r="CG70" i="3"/>
  <c r="B70" i="3"/>
  <c r="CM69" i="3"/>
  <c r="CL69" i="3"/>
  <c r="CK69" i="3"/>
  <c r="CJ69" i="3"/>
  <c r="CI69" i="3"/>
  <c r="CH69" i="3"/>
  <c r="CG69" i="3"/>
  <c r="BP69" i="3"/>
  <c r="B69" i="3"/>
  <c r="CF68" i="3"/>
  <c r="CE68" i="3"/>
  <c r="CD68" i="3"/>
  <c r="CC68" i="3"/>
  <c r="CB68" i="3"/>
  <c r="CA68" i="3"/>
  <c r="BZ68" i="3"/>
  <c r="BY68" i="3"/>
  <c r="BX68" i="3"/>
  <c r="BW68" i="3"/>
  <c r="BS68" i="3"/>
  <c r="CN68" i="3" s="1"/>
  <c r="BR68" i="3"/>
  <c r="BQ68" i="3"/>
  <c r="BO68" i="3"/>
  <c r="CM68" i="3" s="1"/>
  <c r="BN68" i="3"/>
  <c r="BM68" i="3"/>
  <c r="BL68" i="3"/>
  <c r="BK68" i="3"/>
  <c r="CL68" i="3" s="1"/>
  <c r="BJ68" i="3"/>
  <c r="BI68" i="3"/>
  <c r="BH68" i="3"/>
  <c r="BG68" i="3"/>
  <c r="CK68" i="3" s="1"/>
  <c r="BF68" i="3"/>
  <c r="BE68" i="3"/>
  <c r="BD68" i="3"/>
  <c r="BC68" i="3"/>
  <c r="CJ68" i="3" s="1"/>
  <c r="BB68" i="3"/>
  <c r="BA68" i="3"/>
  <c r="AZ68" i="3"/>
  <c r="AY68" i="3"/>
  <c r="CI68" i="3" s="1"/>
  <c r="AX68" i="3"/>
  <c r="AW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C80" i="3" s="1"/>
  <c r="AC93" i="3" s="1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D68" i="3"/>
  <c r="C68" i="3"/>
  <c r="C80" i="3" s="1"/>
  <c r="B68" i="3"/>
  <c r="CM67" i="3"/>
  <c r="CM66" i="3"/>
  <c r="CL66" i="3"/>
  <c r="CK66" i="3"/>
  <c r="CJ66" i="3"/>
  <c r="CI66" i="3"/>
  <c r="CH66" i="3"/>
  <c r="CG66" i="3"/>
  <c r="AV66" i="3"/>
  <c r="AV115" i="3" s="1"/>
  <c r="B66" i="3"/>
  <c r="CM65" i="3"/>
  <c r="B65" i="3"/>
  <c r="CM64" i="3"/>
  <c r="CL64" i="3"/>
  <c r="CK64" i="3"/>
  <c r="CJ64" i="3"/>
  <c r="CI64" i="3"/>
  <c r="CH64" i="3"/>
  <c r="CG64" i="3"/>
  <c r="B64" i="3"/>
  <c r="CM63" i="3"/>
  <c r="CL63" i="3"/>
  <c r="CK63" i="3"/>
  <c r="CJ63" i="3"/>
  <c r="CI63" i="3"/>
  <c r="CH63" i="3"/>
  <c r="CG63" i="3"/>
  <c r="B63" i="3"/>
  <c r="CM62" i="3"/>
  <c r="CL62" i="3"/>
  <c r="CK62" i="3"/>
  <c r="CJ62" i="3"/>
  <c r="CI62" i="3"/>
  <c r="CH62" i="3"/>
  <c r="CG62" i="3"/>
  <c r="B62" i="3"/>
  <c r="CM61" i="3"/>
  <c r="CL61" i="3"/>
  <c r="CK61" i="3"/>
  <c r="CJ61" i="3"/>
  <c r="CI61" i="3"/>
  <c r="CH61" i="3"/>
  <c r="CG61" i="3"/>
  <c r="B61" i="3"/>
  <c r="CM60" i="3"/>
  <c r="CL60" i="3"/>
  <c r="CK60" i="3"/>
  <c r="CJ60" i="3"/>
  <c r="CI60" i="3"/>
  <c r="CH60" i="3"/>
  <c r="CG60" i="3"/>
  <c r="B60" i="3"/>
  <c r="CM59" i="3"/>
  <c r="CL59" i="3"/>
  <c r="CK59" i="3"/>
  <c r="CJ59" i="3"/>
  <c r="CI59" i="3"/>
  <c r="CH59" i="3"/>
  <c r="CG59" i="3"/>
  <c r="B59" i="3"/>
  <c r="CM58" i="3"/>
  <c r="CL58" i="3"/>
  <c r="CK58" i="3"/>
  <c r="CJ58" i="3"/>
  <c r="CI58" i="3"/>
  <c r="CH58" i="3"/>
  <c r="CG58" i="3"/>
  <c r="B58" i="3"/>
  <c r="CM57" i="3"/>
  <c r="CL57" i="3"/>
  <c r="CK57" i="3"/>
  <c r="CJ57" i="3"/>
  <c r="CI57" i="3"/>
  <c r="CH57" i="3"/>
  <c r="CG57" i="3"/>
  <c r="BQ57" i="3"/>
  <c r="BP57" i="3"/>
  <c r="BP48" i="3" s="1"/>
  <c r="B57" i="3"/>
  <c r="CM56" i="3"/>
  <c r="CL56" i="3"/>
  <c r="CK56" i="3"/>
  <c r="CJ56" i="3"/>
  <c r="CI56" i="3"/>
  <c r="CH56" i="3"/>
  <c r="CG56" i="3"/>
  <c r="B56" i="3"/>
  <c r="CM55" i="3"/>
  <c r="CL55" i="3"/>
  <c r="CK55" i="3"/>
  <c r="CJ55" i="3"/>
  <c r="CI55" i="3"/>
  <c r="CH55" i="3"/>
  <c r="CG55" i="3"/>
  <c r="B55" i="3"/>
  <c r="CM54" i="3"/>
  <c r="CL54" i="3"/>
  <c r="CK54" i="3"/>
  <c r="CJ54" i="3"/>
  <c r="CI54" i="3"/>
  <c r="CH54" i="3"/>
  <c r="CG54" i="3"/>
  <c r="B54" i="3"/>
  <c r="CM53" i="3"/>
  <c r="CL53" i="3"/>
  <c r="CK53" i="3"/>
  <c r="CJ53" i="3"/>
  <c r="CI53" i="3"/>
  <c r="CH53" i="3"/>
  <c r="CG53" i="3"/>
  <c r="B53" i="3"/>
  <c r="CM52" i="3"/>
  <c r="CL52" i="3"/>
  <c r="CK52" i="3"/>
  <c r="CJ52" i="3"/>
  <c r="CI52" i="3"/>
  <c r="CH52" i="3"/>
  <c r="CG52" i="3"/>
  <c r="BQ52" i="3"/>
  <c r="B52" i="3"/>
  <c r="CM51" i="3"/>
  <c r="CL51" i="3"/>
  <c r="CK51" i="3"/>
  <c r="CJ51" i="3"/>
  <c r="CI51" i="3"/>
  <c r="CH51" i="3"/>
  <c r="CG51" i="3"/>
  <c r="B51" i="3"/>
  <c r="CM50" i="3"/>
  <c r="CL50" i="3"/>
  <c r="CK50" i="3"/>
  <c r="CJ50" i="3"/>
  <c r="CI50" i="3"/>
  <c r="CH50" i="3"/>
  <c r="CG50" i="3"/>
  <c r="BQ50" i="3"/>
  <c r="B50" i="3"/>
  <c r="CM49" i="3"/>
  <c r="CL49" i="3"/>
  <c r="CK49" i="3"/>
  <c r="CJ49" i="3"/>
  <c r="CI49" i="3"/>
  <c r="CH49" i="3"/>
  <c r="CH112" i="3" s="1"/>
  <c r="CG49" i="3"/>
  <c r="CG112" i="3" s="1"/>
  <c r="B49" i="3"/>
  <c r="B112" i="3" s="1"/>
  <c r="CF48" i="3"/>
  <c r="CE48" i="3"/>
  <c r="CD48" i="3"/>
  <c r="CC48" i="3"/>
  <c r="CB48" i="3"/>
  <c r="CA48" i="3"/>
  <c r="BZ48" i="3"/>
  <c r="BY48" i="3"/>
  <c r="BX48" i="3"/>
  <c r="BW48" i="3"/>
  <c r="BW80" i="3" s="1"/>
  <c r="BS48" i="3"/>
  <c r="CN48" i="3" s="1"/>
  <c r="BR48" i="3"/>
  <c r="BO48" i="3"/>
  <c r="BN48" i="3"/>
  <c r="BN80" i="3" s="1"/>
  <c r="BN93" i="3" s="1"/>
  <c r="BM48" i="3"/>
  <c r="BL48" i="3"/>
  <c r="BK48" i="3"/>
  <c r="CL48" i="3" s="1"/>
  <c r="BJ48" i="3"/>
  <c r="BI48" i="3"/>
  <c r="BH48" i="3"/>
  <c r="BG48" i="3"/>
  <c r="BF48" i="3"/>
  <c r="BF80" i="3" s="1"/>
  <c r="BF93" i="3" s="1"/>
  <c r="BE48" i="3"/>
  <c r="BE80" i="3" s="1"/>
  <c r="BE93" i="3" s="1"/>
  <c r="BD48" i="3"/>
  <c r="BC48" i="3"/>
  <c r="CJ48" i="3" s="1"/>
  <c r="BB48" i="3"/>
  <c r="BA48" i="3"/>
  <c r="AZ48" i="3"/>
  <c r="AY48" i="3"/>
  <c r="AX48" i="3"/>
  <c r="AW48" i="3"/>
  <c r="AU48" i="3"/>
  <c r="AT48" i="3"/>
  <c r="AS48" i="3"/>
  <c r="AS80" i="3" s="1"/>
  <c r="AS93" i="3" s="1"/>
  <c r="AR48" i="3"/>
  <c r="AQ48" i="3"/>
  <c r="AP48" i="3"/>
  <c r="AO48" i="3"/>
  <c r="AN48" i="3"/>
  <c r="AM48" i="3"/>
  <c r="AM80" i="3" s="1"/>
  <c r="AM93" i="3" s="1"/>
  <c r="AL48" i="3"/>
  <c r="AL80" i="3" s="1"/>
  <c r="AL93" i="3" s="1"/>
  <c r="AK48" i="3"/>
  <c r="AK80" i="3" s="1"/>
  <c r="AK93" i="3" s="1"/>
  <c r="AJ48" i="3"/>
  <c r="AI48" i="3"/>
  <c r="AH48" i="3"/>
  <c r="AH80" i="3" s="1"/>
  <c r="AH93" i="3" s="1"/>
  <c r="AG48" i="3"/>
  <c r="AG80" i="3" s="1"/>
  <c r="AF48" i="3"/>
  <c r="AE48" i="3"/>
  <c r="AD48" i="3"/>
  <c r="AC48" i="3"/>
  <c r="AB48" i="3"/>
  <c r="AA48" i="3"/>
  <c r="Z48" i="3"/>
  <c r="Y48" i="3"/>
  <c r="X48" i="3"/>
  <c r="W48" i="3"/>
  <c r="W80" i="3" s="1"/>
  <c r="W93" i="3" s="1"/>
  <c r="V48" i="3"/>
  <c r="U48" i="3"/>
  <c r="U80" i="3" s="1"/>
  <c r="U93" i="3" s="1"/>
  <c r="T48" i="3"/>
  <c r="S48" i="3"/>
  <c r="R48" i="3"/>
  <c r="Q48" i="3"/>
  <c r="P48" i="3"/>
  <c r="O48" i="3"/>
  <c r="N48" i="3"/>
  <c r="M48" i="3"/>
  <c r="L48" i="3"/>
  <c r="K48" i="3"/>
  <c r="J48" i="3"/>
  <c r="J80" i="3" s="1"/>
  <c r="J93" i="3" s="1"/>
  <c r="I48" i="3"/>
  <c r="I80" i="3" s="1"/>
  <c r="H48" i="3"/>
  <c r="G48" i="3"/>
  <c r="D48" i="3"/>
  <c r="C48" i="3"/>
  <c r="B48" i="3"/>
  <c r="B46" i="3"/>
  <c r="CM45" i="3"/>
  <c r="CM44" i="3"/>
  <c r="CL44" i="3"/>
  <c r="CK44" i="3"/>
  <c r="CJ44" i="3"/>
  <c r="B44" i="3"/>
  <c r="CM43" i="3"/>
  <c r="CL43" i="3"/>
  <c r="CK43" i="3"/>
  <c r="CJ43" i="3"/>
  <c r="CI43" i="3"/>
  <c r="CH43" i="3"/>
  <c r="CG43" i="3"/>
  <c r="B43" i="3"/>
  <c r="CM42" i="3"/>
  <c r="CL42" i="3"/>
  <c r="CK42" i="3"/>
  <c r="CJ42" i="3"/>
  <c r="CI42" i="3"/>
  <c r="CH42" i="3"/>
  <c r="CG42" i="3"/>
  <c r="B42" i="3"/>
  <c r="CM41" i="3"/>
  <c r="CL41" i="3"/>
  <c r="CK41" i="3"/>
  <c r="CJ41" i="3"/>
  <c r="CI41" i="3"/>
  <c r="CH41" i="3"/>
  <c r="CG41" i="3"/>
  <c r="B41" i="3"/>
  <c r="CM40" i="3"/>
  <c r="B40" i="3"/>
  <c r="CF39" i="3"/>
  <c r="CE39" i="3"/>
  <c r="CE23" i="3" s="1"/>
  <c r="CD39" i="3"/>
  <c r="CC39" i="3"/>
  <c r="CB39" i="3"/>
  <c r="CA39" i="3"/>
  <c r="BZ39" i="3"/>
  <c r="BY39" i="3"/>
  <c r="BY23" i="3" s="1"/>
  <c r="BX39" i="3"/>
  <c r="BW39" i="3"/>
  <c r="BS39" i="3"/>
  <c r="CN39" i="3" s="1"/>
  <c r="BR39" i="3"/>
  <c r="BQ39" i="3"/>
  <c r="BP39" i="3"/>
  <c r="BO39" i="3"/>
  <c r="CM39" i="3" s="1"/>
  <c r="BN39" i="3"/>
  <c r="BM39" i="3"/>
  <c r="BL39" i="3"/>
  <c r="BK39" i="3"/>
  <c r="CL39" i="3" s="1"/>
  <c r="BJ39" i="3"/>
  <c r="BI39" i="3"/>
  <c r="BH39" i="3"/>
  <c r="BG39" i="3"/>
  <c r="CK39" i="3" s="1"/>
  <c r="BF39" i="3"/>
  <c r="BE39" i="3"/>
  <c r="BD39" i="3"/>
  <c r="BC39" i="3"/>
  <c r="CJ39" i="3" s="1"/>
  <c r="BB39" i="3"/>
  <c r="BA39" i="3"/>
  <c r="AZ39" i="3"/>
  <c r="AY39" i="3"/>
  <c r="CI39" i="3" s="1"/>
  <c r="AX39" i="3"/>
  <c r="AW39" i="3"/>
  <c r="AV39" i="3"/>
  <c r="AU39" i="3"/>
  <c r="CH39" i="3" s="1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D39" i="3"/>
  <c r="C39" i="3"/>
  <c r="B39" i="3"/>
  <c r="CM38" i="3"/>
  <c r="CM37" i="3"/>
  <c r="CK37" i="3"/>
  <c r="CJ37" i="3"/>
  <c r="CI37" i="3"/>
  <c r="CH37" i="3"/>
  <c r="CG37" i="3"/>
  <c r="AV37" i="3"/>
  <c r="AV25" i="3" s="1"/>
  <c r="AV23" i="3" s="1"/>
  <c r="Q37" i="3"/>
  <c r="Q25" i="3" s="1"/>
  <c r="B37" i="3"/>
  <c r="CM36" i="3"/>
  <c r="B36" i="3"/>
  <c r="CM35" i="3"/>
  <c r="CK35" i="3"/>
  <c r="CJ35" i="3"/>
  <c r="CI35" i="3"/>
  <c r="CH35" i="3"/>
  <c r="CG35" i="3"/>
  <c r="B35" i="3"/>
  <c r="CM34" i="3"/>
  <c r="CK34" i="3"/>
  <c r="CJ34" i="3"/>
  <c r="CI34" i="3"/>
  <c r="CH34" i="3"/>
  <c r="CG34" i="3"/>
  <c r="B34" i="3"/>
  <c r="CM33" i="3"/>
  <c r="CK33" i="3"/>
  <c r="CJ33" i="3"/>
  <c r="CI33" i="3"/>
  <c r="CH33" i="3"/>
  <c r="CG33" i="3"/>
  <c r="B33" i="3"/>
  <c r="CM32" i="3"/>
  <c r="CK32" i="3"/>
  <c r="CJ32" i="3"/>
  <c r="CI32" i="3"/>
  <c r="CH32" i="3"/>
  <c r="CG32" i="3"/>
  <c r="B32" i="3"/>
  <c r="CM31" i="3"/>
  <c r="CK31" i="3"/>
  <c r="CJ31" i="3"/>
  <c r="CI31" i="3"/>
  <c r="CH31" i="3"/>
  <c r="CG31" i="3"/>
  <c r="B31" i="3"/>
  <c r="CM30" i="3"/>
  <c r="CK30" i="3"/>
  <c r="CJ30" i="3"/>
  <c r="CI30" i="3"/>
  <c r="CH30" i="3"/>
  <c r="CG30" i="3"/>
  <c r="B30" i="3"/>
  <c r="CM29" i="3"/>
  <c r="CK29" i="3"/>
  <c r="CJ29" i="3"/>
  <c r="CI29" i="3"/>
  <c r="CH29" i="3"/>
  <c r="CG29" i="3"/>
  <c r="B29" i="3"/>
  <c r="CM28" i="3"/>
  <c r="CK28" i="3"/>
  <c r="CJ28" i="3"/>
  <c r="CI28" i="3"/>
  <c r="CG28" i="3"/>
  <c r="AX28" i="3"/>
  <c r="AW28" i="3"/>
  <c r="AU28" i="3"/>
  <c r="CH28" i="3" s="1"/>
  <c r="B28" i="3"/>
  <c r="CM27" i="3"/>
  <c r="CK27" i="3"/>
  <c r="CJ27" i="3"/>
  <c r="CI27" i="3"/>
  <c r="CH27" i="3"/>
  <c r="CG27" i="3"/>
  <c r="B27" i="3"/>
  <c r="CM26" i="3"/>
  <c r="CK26" i="3"/>
  <c r="CJ26" i="3"/>
  <c r="CI26" i="3"/>
  <c r="CH26" i="3"/>
  <c r="CG26" i="3"/>
  <c r="B26" i="3"/>
  <c r="CF25" i="3"/>
  <c r="CF23" i="3" s="1"/>
  <c r="CE25" i="3"/>
  <c r="CD25" i="3"/>
  <c r="CC25" i="3"/>
  <c r="CB25" i="3"/>
  <c r="CA25" i="3"/>
  <c r="BZ25" i="3"/>
  <c r="BY25" i="3"/>
  <c r="BX25" i="3"/>
  <c r="BX23" i="3" s="1"/>
  <c r="BW25" i="3"/>
  <c r="BS25" i="3"/>
  <c r="CN25" i="3" s="1"/>
  <c r="BR25" i="3"/>
  <c r="BQ25" i="3"/>
  <c r="BP25" i="3"/>
  <c r="BO25" i="3"/>
  <c r="CM25" i="3" s="1"/>
  <c r="BN25" i="3"/>
  <c r="BM25" i="3"/>
  <c r="BL25" i="3"/>
  <c r="BK25" i="3"/>
  <c r="BJ25" i="3"/>
  <c r="BJ23" i="3" s="1"/>
  <c r="BI25" i="3"/>
  <c r="BH25" i="3"/>
  <c r="BG25" i="3"/>
  <c r="BF25" i="3"/>
  <c r="BF23" i="3" s="1"/>
  <c r="BE25" i="3"/>
  <c r="BE23" i="3" s="1"/>
  <c r="BD25" i="3"/>
  <c r="BC25" i="3"/>
  <c r="CJ25" i="3" s="1"/>
  <c r="BB25" i="3"/>
  <c r="BA25" i="3"/>
  <c r="AZ25" i="3"/>
  <c r="AY25" i="3"/>
  <c r="CI25" i="3" s="1"/>
  <c r="AT25" i="3"/>
  <c r="AS25" i="3"/>
  <c r="AR25" i="3"/>
  <c r="AQ25" i="3"/>
  <c r="AP25" i="3"/>
  <c r="AP23" i="3" s="1"/>
  <c r="AO25" i="3"/>
  <c r="AN25" i="3"/>
  <c r="AM25" i="3"/>
  <c r="AL25" i="3"/>
  <c r="AK25" i="3"/>
  <c r="AJ25" i="3"/>
  <c r="AI25" i="3"/>
  <c r="AH25" i="3"/>
  <c r="AH23" i="3" s="1"/>
  <c r="AG25" i="3"/>
  <c r="AG23" i="3" s="1"/>
  <c r="AF25" i="3"/>
  <c r="AF23" i="3" s="1"/>
  <c r="AE25" i="3"/>
  <c r="AD25" i="3"/>
  <c r="AD23" i="3" s="1"/>
  <c r="AC25" i="3"/>
  <c r="AB25" i="3"/>
  <c r="AA25" i="3"/>
  <c r="Z25" i="3"/>
  <c r="Y25" i="3"/>
  <c r="X25" i="3"/>
  <c r="X23" i="3" s="1"/>
  <c r="W25" i="3"/>
  <c r="V25" i="3"/>
  <c r="U25" i="3"/>
  <c r="T25" i="3"/>
  <c r="S25" i="3"/>
  <c r="R25" i="3"/>
  <c r="R23" i="3" s="1"/>
  <c r="P25" i="3"/>
  <c r="O25" i="3"/>
  <c r="N25" i="3"/>
  <c r="M25" i="3"/>
  <c r="L25" i="3"/>
  <c r="K25" i="3"/>
  <c r="J25" i="3"/>
  <c r="I25" i="3"/>
  <c r="H25" i="3"/>
  <c r="G25" i="3"/>
  <c r="D25" i="3"/>
  <c r="C25" i="3"/>
  <c r="C23" i="3" s="1"/>
  <c r="B25" i="3"/>
  <c r="BD23" i="3"/>
  <c r="I23" i="3"/>
  <c r="D23" i="3"/>
  <c r="B23" i="3"/>
  <c r="CM22" i="3"/>
  <c r="CM21" i="3"/>
  <c r="CL21" i="3"/>
  <c r="CJ21" i="3"/>
  <c r="CI21" i="3"/>
  <c r="CH21" i="3"/>
  <c r="CG21" i="3"/>
  <c r="BY21" i="3"/>
  <c r="BY114" i="3" s="1"/>
  <c r="BX21" i="3"/>
  <c r="BW21" i="3"/>
  <c r="BW114" i="3" s="1"/>
  <c r="BJ21" i="3"/>
  <c r="BJ114" i="3" s="1"/>
  <c r="BH21" i="3"/>
  <c r="BH114" i="3" s="1"/>
  <c r="BG21" i="3"/>
  <c r="BG114" i="3" s="1"/>
  <c r="CK114" i="3" s="1"/>
  <c r="BC21" i="3"/>
  <c r="BC114" i="3" s="1"/>
  <c r="CJ114" i="3" s="1"/>
  <c r="K21" i="3"/>
  <c r="K114" i="3" s="1"/>
  <c r="J21" i="3"/>
  <c r="J114" i="3" s="1"/>
  <c r="H21" i="3"/>
  <c r="H9" i="3" s="1"/>
  <c r="G21" i="3"/>
  <c r="G9" i="3" s="1"/>
  <c r="D21" i="3"/>
  <c r="D9" i="3" s="1"/>
  <c r="C21" i="3"/>
  <c r="C114" i="3" s="1"/>
  <c r="B21" i="3"/>
  <c r="CM20" i="3"/>
  <c r="CL20" i="3"/>
  <c r="CK20" i="3"/>
  <c r="CJ20" i="3"/>
  <c r="CI20" i="3"/>
  <c r="CH20" i="3"/>
  <c r="CG20" i="3"/>
  <c r="B20" i="3"/>
  <c r="CM19" i="3"/>
  <c r="CL19" i="3"/>
  <c r="CK19" i="3"/>
  <c r="CJ19" i="3"/>
  <c r="CI19" i="3"/>
  <c r="CH19" i="3"/>
  <c r="CG19" i="3"/>
  <c r="B19" i="3"/>
  <c r="CM18" i="3"/>
  <c r="CL18" i="3"/>
  <c r="CK18" i="3"/>
  <c r="CJ18" i="3"/>
  <c r="CI18" i="3"/>
  <c r="CH18" i="3"/>
  <c r="CG18" i="3"/>
  <c r="B18" i="3"/>
  <c r="CM17" i="3"/>
  <c r="CL17" i="3"/>
  <c r="CK17" i="3"/>
  <c r="CJ17" i="3"/>
  <c r="CI17" i="3"/>
  <c r="CH17" i="3"/>
  <c r="CG17" i="3"/>
  <c r="B17" i="3"/>
  <c r="CM16" i="3"/>
  <c r="CL16" i="3"/>
  <c r="CK16" i="3"/>
  <c r="CJ16" i="3"/>
  <c r="CI16" i="3"/>
  <c r="CH16" i="3"/>
  <c r="CG16" i="3"/>
  <c r="B16" i="3"/>
  <c r="CM15" i="3"/>
  <c r="CL15" i="3"/>
  <c r="CK15" i="3"/>
  <c r="CJ15" i="3"/>
  <c r="CI15" i="3"/>
  <c r="CH15" i="3"/>
  <c r="CH110" i="3" s="1"/>
  <c r="CG15" i="3"/>
  <c r="CG110" i="3" s="1"/>
  <c r="AX15" i="3"/>
  <c r="AX110" i="3" s="1"/>
  <c r="AW15" i="3"/>
  <c r="AW110" i="3" s="1"/>
  <c r="AU15" i="3"/>
  <c r="AU110" i="3" s="1"/>
  <c r="AP15" i="3"/>
  <c r="AP110" i="3" s="1"/>
  <c r="B15" i="3"/>
  <c r="B110" i="3" s="1"/>
  <c r="CM14" i="3"/>
  <c r="CL14" i="3"/>
  <c r="CK14" i="3"/>
  <c r="CJ14" i="3"/>
  <c r="CI14" i="3"/>
  <c r="CG14" i="3"/>
  <c r="CE14" i="3"/>
  <c r="CE108" i="3" s="1"/>
  <c r="AU14" i="3"/>
  <c r="AU108" i="3" s="1"/>
  <c r="AO14" i="3"/>
  <c r="AO108" i="3" s="1"/>
  <c r="AN14" i="3"/>
  <c r="AN108" i="3" s="1"/>
  <c r="AL14" i="3"/>
  <c r="AL108" i="3" s="1"/>
  <c r="AK14" i="3"/>
  <c r="AK108" i="3" s="1"/>
  <c r="AJ14" i="3"/>
  <c r="AJ108" i="3" s="1"/>
  <c r="AI14" i="3"/>
  <c r="AI108" i="3" s="1"/>
  <c r="B14" i="3"/>
  <c r="B108" i="3" s="1"/>
  <c r="CM13" i="3"/>
  <c r="CL13" i="3"/>
  <c r="CK13" i="3"/>
  <c r="CJ13" i="3"/>
  <c r="CI13" i="3"/>
  <c r="CH13" i="3"/>
  <c r="CG13" i="3"/>
  <c r="B13" i="3"/>
  <c r="CM12" i="3"/>
  <c r="CL12" i="3"/>
  <c r="CK12" i="3"/>
  <c r="CJ12" i="3"/>
  <c r="CI12" i="3"/>
  <c r="CH12" i="3"/>
  <c r="CH106" i="3" s="1"/>
  <c r="CG12" i="3"/>
  <c r="CG106" i="3" s="1"/>
  <c r="B12" i="3"/>
  <c r="B106" i="3" s="1"/>
  <c r="CM11" i="3"/>
  <c r="CL11" i="3"/>
  <c r="CK11" i="3"/>
  <c r="CJ11" i="3"/>
  <c r="CI11" i="3"/>
  <c r="CH11" i="3"/>
  <c r="CG11" i="3"/>
  <c r="AX11" i="3"/>
  <c r="AW11" i="3"/>
  <c r="AW96" i="3" s="1"/>
  <c r="B11" i="3"/>
  <c r="CM10" i="3"/>
  <c r="B10" i="3"/>
  <c r="CF9" i="3"/>
  <c r="CD9" i="3"/>
  <c r="CC9" i="3"/>
  <c r="CB9" i="3"/>
  <c r="CA9" i="3"/>
  <c r="BZ9" i="3"/>
  <c r="BS9" i="3"/>
  <c r="CN9" i="3" s="1"/>
  <c r="BR9" i="3"/>
  <c r="BQ9" i="3"/>
  <c r="BP9" i="3"/>
  <c r="BO9" i="3"/>
  <c r="BO46" i="3" s="1"/>
  <c r="CM46" i="3" s="1"/>
  <c r="BN9" i="3"/>
  <c r="BN46" i="3" s="1"/>
  <c r="BM9" i="3"/>
  <c r="BL9" i="3"/>
  <c r="BK9" i="3"/>
  <c r="BI9" i="3"/>
  <c r="BH9" i="3"/>
  <c r="BF9" i="3"/>
  <c r="BE9" i="3"/>
  <c r="BD9" i="3"/>
  <c r="BC9" i="3"/>
  <c r="BB9" i="3"/>
  <c r="BB46" i="3" s="1"/>
  <c r="BA9" i="3"/>
  <c r="AZ9" i="3"/>
  <c r="AY9" i="3"/>
  <c r="AV9" i="3"/>
  <c r="AT9" i="3"/>
  <c r="AS9" i="3"/>
  <c r="AR9" i="3"/>
  <c r="AQ9" i="3"/>
  <c r="AP9" i="3"/>
  <c r="AM9" i="3"/>
  <c r="AK9" i="3"/>
  <c r="AJ9" i="3"/>
  <c r="AJ46" i="3" s="1"/>
  <c r="AH9" i="3"/>
  <c r="AG9" i="3"/>
  <c r="AF9" i="3"/>
  <c r="AE9" i="3"/>
  <c r="AD9" i="3"/>
  <c r="AC9" i="3"/>
  <c r="AB9" i="3"/>
  <c r="AA9" i="3"/>
  <c r="Z9" i="3"/>
  <c r="Y9" i="3"/>
  <c r="Y46" i="3" s="1"/>
  <c r="X9" i="3"/>
  <c r="X46" i="3" s="1"/>
  <c r="W9" i="3"/>
  <c r="W46" i="3" s="1"/>
  <c r="V9" i="3"/>
  <c r="U9" i="3"/>
  <c r="T9" i="3"/>
  <c r="S9" i="3"/>
  <c r="R9" i="3"/>
  <c r="Q9" i="3"/>
  <c r="P9" i="3"/>
  <c r="O9" i="3"/>
  <c r="N9" i="3"/>
  <c r="M9" i="3"/>
  <c r="L9" i="3"/>
  <c r="L46" i="3" s="1"/>
  <c r="I9" i="3"/>
  <c r="B9" i="3"/>
  <c r="CA7" i="3"/>
  <c r="BZ7" i="3"/>
  <c r="B7" i="3"/>
  <c r="CG6" i="3"/>
  <c r="CF6" i="3"/>
  <c r="CE6" i="3"/>
  <c r="CD6" i="3"/>
  <c r="CC6" i="3"/>
  <c r="CB6" i="3"/>
  <c r="CA6" i="3"/>
  <c r="BZ6" i="3"/>
  <c r="BY6" i="3"/>
  <c r="BX6" i="3"/>
  <c r="BW6" i="3"/>
  <c r="BS6" i="3"/>
  <c r="BR6" i="3"/>
  <c r="BQ6" i="3"/>
  <c r="BP6" i="3"/>
  <c r="BO6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D6" i="3"/>
  <c r="C6" i="3"/>
  <c r="B5" i="3"/>
  <c r="B3" i="3"/>
  <c r="B2" i="3"/>
  <c r="B53" i="1"/>
  <c r="B52" i="1"/>
  <c r="B51" i="1"/>
  <c r="B50" i="1"/>
  <c r="B49" i="1"/>
  <c r="B48" i="1"/>
  <c r="B47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B46" i="1"/>
  <c r="B45" i="1"/>
  <c r="B43" i="1"/>
  <c r="B42" i="1"/>
  <c r="F40" i="1"/>
  <c r="F43" i="1" s="1"/>
  <c r="E40" i="1"/>
  <c r="E43" i="1" s="1"/>
  <c r="B40" i="1"/>
  <c r="Y39" i="1"/>
  <c r="B39" i="1"/>
  <c r="BS38" i="1"/>
  <c r="BE38" i="1"/>
  <c r="AZ38" i="1"/>
  <c r="B38" i="1"/>
  <c r="CD37" i="1"/>
  <c r="BC37" i="1"/>
  <c r="B37" i="1"/>
  <c r="B36" i="1"/>
  <c r="B35" i="1"/>
  <c r="CA32" i="1"/>
  <c r="AN32" i="1"/>
  <c r="AO32" i="1" s="1"/>
  <c r="AL32" i="1"/>
  <c r="Q32" i="1"/>
  <c r="R32" i="1" s="1"/>
  <c r="P32" i="1"/>
  <c r="B32" i="1"/>
  <c r="B30" i="1"/>
  <c r="B29" i="1"/>
  <c r="B28" i="1"/>
  <c r="B27" i="1"/>
  <c r="CN26" i="1"/>
  <c r="CN38" i="1" s="1"/>
  <c r="CM26" i="1"/>
  <c r="CM38" i="1" s="1"/>
  <c r="CL26" i="1"/>
  <c r="CL38" i="1" s="1"/>
  <c r="CK26" i="1"/>
  <c r="CK38" i="1" s="1"/>
  <c r="CJ26" i="1"/>
  <c r="CJ38" i="1" s="1"/>
  <c r="CI26" i="1"/>
  <c r="CI38" i="1" s="1"/>
  <c r="CH26" i="1"/>
  <c r="CH38" i="1" s="1"/>
  <c r="CG26" i="1"/>
  <c r="CG38" i="1" s="1"/>
  <c r="CF26" i="1"/>
  <c r="CF38" i="1" s="1"/>
  <c r="CE26" i="1"/>
  <c r="CE38" i="1" s="1"/>
  <c r="CD26" i="1"/>
  <c r="CD38" i="1" s="1"/>
  <c r="CC26" i="1"/>
  <c r="CC38" i="1" s="1"/>
  <c r="CB26" i="1"/>
  <c r="CB38" i="1" s="1"/>
  <c r="CA26" i="1"/>
  <c r="CA38" i="1" s="1"/>
  <c r="BZ26" i="1"/>
  <c r="BZ38" i="1" s="1"/>
  <c r="BY26" i="1"/>
  <c r="BY38" i="1" s="1"/>
  <c r="BX26" i="1"/>
  <c r="BX38" i="1" s="1"/>
  <c r="BW26" i="1"/>
  <c r="BW38" i="1" s="1"/>
  <c r="BS26" i="1"/>
  <c r="BR26" i="1"/>
  <c r="BR38" i="1" s="1"/>
  <c r="BQ26" i="1"/>
  <c r="BQ38" i="1" s="1"/>
  <c r="BP26" i="1"/>
  <c r="BP38" i="1" s="1"/>
  <c r="BO26" i="1"/>
  <c r="BO38" i="1" s="1"/>
  <c r="BN26" i="1"/>
  <c r="BN38" i="1" s="1"/>
  <c r="BM26" i="1"/>
  <c r="BM38" i="1" s="1"/>
  <c r="BL26" i="1"/>
  <c r="BL38" i="1" s="1"/>
  <c r="BK26" i="1"/>
  <c r="BK38" i="1" s="1"/>
  <c r="BJ26" i="1"/>
  <c r="BJ38" i="1" s="1"/>
  <c r="BI26" i="1"/>
  <c r="BI38" i="1" s="1"/>
  <c r="BH26" i="1"/>
  <c r="BH38" i="1" s="1"/>
  <c r="BG26" i="1"/>
  <c r="BG38" i="1" s="1"/>
  <c r="BF26" i="1"/>
  <c r="BF38" i="1" s="1"/>
  <c r="BE26" i="1"/>
  <c r="BD26" i="1"/>
  <c r="BD38" i="1" s="1"/>
  <c r="BC26" i="1"/>
  <c r="BC38" i="1" s="1"/>
  <c r="BB26" i="1"/>
  <c r="BB38" i="1" s="1"/>
  <c r="BA26" i="1"/>
  <c r="BA38" i="1" s="1"/>
  <c r="AZ26" i="1"/>
  <c r="AY26" i="1"/>
  <c r="AY38" i="1" s="1"/>
  <c r="AX26" i="1"/>
  <c r="AX38" i="1" s="1"/>
  <c r="AW26" i="1"/>
  <c r="AW38" i="1" s="1"/>
  <c r="AV26" i="1"/>
  <c r="AV38" i="1" s="1"/>
  <c r="AU26" i="1"/>
  <c r="AU38" i="1" s="1"/>
  <c r="AT26" i="1"/>
  <c r="AT38" i="1" s="1"/>
  <c r="AS26" i="1"/>
  <c r="AS38" i="1" s="1"/>
  <c r="AR26" i="1"/>
  <c r="AR38" i="1" s="1"/>
  <c r="AQ26" i="1"/>
  <c r="AQ38" i="1" s="1"/>
  <c r="AP26" i="1"/>
  <c r="AP38" i="1" s="1"/>
  <c r="AO26" i="1"/>
  <c r="AO38" i="1" s="1"/>
  <c r="AN26" i="1"/>
  <c r="AN38" i="1" s="1"/>
  <c r="AM26" i="1"/>
  <c r="AM38" i="1" s="1"/>
  <c r="AL26" i="1"/>
  <c r="AL38" i="1" s="1"/>
  <c r="AK26" i="1"/>
  <c r="AK38" i="1" s="1"/>
  <c r="AJ26" i="1"/>
  <c r="AJ38" i="1" s="1"/>
  <c r="AI26" i="1"/>
  <c r="AI38" i="1" s="1"/>
  <c r="AH26" i="1"/>
  <c r="AH38" i="1" s="1"/>
  <c r="AG26" i="1"/>
  <c r="AG38" i="1" s="1"/>
  <c r="AF26" i="1"/>
  <c r="AF38" i="1" s="1"/>
  <c r="AE26" i="1"/>
  <c r="AE38" i="1" s="1"/>
  <c r="AD26" i="1"/>
  <c r="AD38" i="1" s="1"/>
  <c r="AC26" i="1"/>
  <c r="AC38" i="1" s="1"/>
  <c r="AB26" i="1"/>
  <c r="AB38" i="1" s="1"/>
  <c r="AA26" i="1"/>
  <c r="AA38" i="1" s="1"/>
  <c r="Z26" i="1"/>
  <c r="Z38" i="1" s="1"/>
  <c r="Y26" i="1"/>
  <c r="Y38" i="1" s="1"/>
  <c r="X26" i="1"/>
  <c r="X38" i="1" s="1"/>
  <c r="W26" i="1"/>
  <c r="W38" i="1" s="1"/>
  <c r="V26" i="1"/>
  <c r="V38" i="1" s="1"/>
  <c r="U26" i="1"/>
  <c r="U38" i="1" s="1"/>
  <c r="T26" i="1"/>
  <c r="T38" i="1" s="1"/>
  <c r="S26" i="1"/>
  <c r="S38" i="1" s="1"/>
  <c r="R26" i="1"/>
  <c r="R38" i="1" s="1"/>
  <c r="Q26" i="1"/>
  <c r="Q38" i="1" s="1"/>
  <c r="P26" i="1"/>
  <c r="P38" i="1" s="1"/>
  <c r="O26" i="1"/>
  <c r="O38" i="1" s="1"/>
  <c r="N26" i="1"/>
  <c r="N38" i="1" s="1"/>
  <c r="M26" i="1"/>
  <c r="M38" i="1" s="1"/>
  <c r="L26" i="1"/>
  <c r="L38" i="1" s="1"/>
  <c r="K26" i="1"/>
  <c r="K38" i="1" s="1"/>
  <c r="J26" i="1"/>
  <c r="J38" i="1" s="1"/>
  <c r="I26" i="1"/>
  <c r="I38" i="1" s="1"/>
  <c r="H26" i="1"/>
  <c r="H38" i="1" s="1"/>
  <c r="G26" i="1"/>
  <c r="G38" i="1" s="1"/>
  <c r="F26" i="1"/>
  <c r="E26" i="1"/>
  <c r="D26" i="1"/>
  <c r="D38" i="1" s="1"/>
  <c r="B26" i="1"/>
  <c r="B25" i="1"/>
  <c r="B24" i="1"/>
  <c r="B23" i="1"/>
  <c r="B22" i="1"/>
  <c r="CN21" i="1"/>
  <c r="CN37" i="1" s="1"/>
  <c r="CM21" i="1"/>
  <c r="CM37" i="1" s="1"/>
  <c r="CL21" i="1"/>
  <c r="CL37" i="1" s="1"/>
  <c r="CK21" i="1"/>
  <c r="CK37" i="1" s="1"/>
  <c r="CJ21" i="1"/>
  <c r="CJ37" i="1" s="1"/>
  <c r="CI21" i="1"/>
  <c r="CI37" i="1" s="1"/>
  <c r="CH21" i="1"/>
  <c r="CH37" i="1" s="1"/>
  <c r="CG21" i="1"/>
  <c r="CG37" i="1" s="1"/>
  <c r="CF21" i="1"/>
  <c r="CF37" i="1" s="1"/>
  <c r="CE21" i="1"/>
  <c r="CE37" i="1" s="1"/>
  <c r="CD21" i="1"/>
  <c r="CC21" i="1"/>
  <c r="CC37" i="1" s="1"/>
  <c r="CB21" i="1"/>
  <c r="CB37" i="1" s="1"/>
  <c r="CA21" i="1"/>
  <c r="CA37" i="1" s="1"/>
  <c r="BZ21" i="1"/>
  <c r="BZ37" i="1" s="1"/>
  <c r="BY21" i="1"/>
  <c r="BY37" i="1" s="1"/>
  <c r="BX21" i="1"/>
  <c r="BX37" i="1" s="1"/>
  <c r="BW21" i="1"/>
  <c r="BW37" i="1" s="1"/>
  <c r="BS21" i="1"/>
  <c r="BS37" i="1" s="1"/>
  <c r="BR21" i="1"/>
  <c r="BR37" i="1" s="1"/>
  <c r="BQ21" i="1"/>
  <c r="BQ37" i="1" s="1"/>
  <c r="BP21" i="1"/>
  <c r="BP37" i="1" s="1"/>
  <c r="BO21" i="1"/>
  <c r="BO37" i="1" s="1"/>
  <c r="BN21" i="1"/>
  <c r="BN37" i="1" s="1"/>
  <c r="BM21" i="1"/>
  <c r="BM37" i="1" s="1"/>
  <c r="BL21" i="1"/>
  <c r="BL37" i="1" s="1"/>
  <c r="BK21" i="1"/>
  <c r="BK37" i="1" s="1"/>
  <c r="BJ21" i="1"/>
  <c r="BJ37" i="1" s="1"/>
  <c r="BI21" i="1"/>
  <c r="BI37" i="1" s="1"/>
  <c r="BH21" i="1"/>
  <c r="BH37" i="1" s="1"/>
  <c r="BG21" i="1"/>
  <c r="BG37" i="1" s="1"/>
  <c r="BF21" i="1"/>
  <c r="BF37" i="1" s="1"/>
  <c r="BE21" i="1"/>
  <c r="BE37" i="1" s="1"/>
  <c r="BD21" i="1"/>
  <c r="BD37" i="1" s="1"/>
  <c r="BC21" i="1"/>
  <c r="BB21" i="1"/>
  <c r="BB37" i="1" s="1"/>
  <c r="BA21" i="1"/>
  <c r="BA37" i="1" s="1"/>
  <c r="AZ21" i="1"/>
  <c r="AZ37" i="1" s="1"/>
  <c r="AY21" i="1"/>
  <c r="AY37" i="1" s="1"/>
  <c r="AX21" i="1"/>
  <c r="AX37" i="1" s="1"/>
  <c r="AW21" i="1"/>
  <c r="AW37" i="1" s="1"/>
  <c r="AV21" i="1"/>
  <c r="AV37" i="1" s="1"/>
  <c r="AU21" i="1"/>
  <c r="AU37" i="1" s="1"/>
  <c r="AT21" i="1"/>
  <c r="AT37" i="1" s="1"/>
  <c r="AS21" i="1"/>
  <c r="AS37" i="1" s="1"/>
  <c r="AR21" i="1"/>
  <c r="AR37" i="1" s="1"/>
  <c r="AQ21" i="1"/>
  <c r="AQ37" i="1" s="1"/>
  <c r="AP21" i="1"/>
  <c r="AP37" i="1" s="1"/>
  <c r="AO21" i="1"/>
  <c r="AO37" i="1" s="1"/>
  <c r="AN21" i="1"/>
  <c r="AN37" i="1" s="1"/>
  <c r="AM21" i="1"/>
  <c r="AM37" i="1" s="1"/>
  <c r="AL21" i="1"/>
  <c r="AL37" i="1" s="1"/>
  <c r="AK21" i="1"/>
  <c r="AK37" i="1" s="1"/>
  <c r="AJ21" i="1"/>
  <c r="AJ37" i="1" s="1"/>
  <c r="AI21" i="1"/>
  <c r="AI37" i="1" s="1"/>
  <c r="AH21" i="1"/>
  <c r="AH37" i="1" s="1"/>
  <c r="AG21" i="1"/>
  <c r="AG37" i="1" s="1"/>
  <c r="AF21" i="1"/>
  <c r="AF37" i="1" s="1"/>
  <c r="AE21" i="1"/>
  <c r="AE37" i="1" s="1"/>
  <c r="AD21" i="1"/>
  <c r="AD37" i="1" s="1"/>
  <c r="AC21" i="1"/>
  <c r="AC37" i="1" s="1"/>
  <c r="AB21" i="1"/>
  <c r="AB37" i="1" s="1"/>
  <c r="AA21" i="1"/>
  <c r="AA37" i="1" s="1"/>
  <c r="Z21" i="1"/>
  <c r="Z37" i="1" s="1"/>
  <c r="Y21" i="1"/>
  <c r="Y37" i="1" s="1"/>
  <c r="X21" i="1"/>
  <c r="X37" i="1" s="1"/>
  <c r="W21" i="1"/>
  <c r="W37" i="1" s="1"/>
  <c r="V21" i="1"/>
  <c r="V37" i="1" s="1"/>
  <c r="U21" i="1"/>
  <c r="U37" i="1" s="1"/>
  <c r="T21" i="1"/>
  <c r="T37" i="1" s="1"/>
  <c r="S21" i="1"/>
  <c r="S37" i="1" s="1"/>
  <c r="R21" i="1"/>
  <c r="R37" i="1" s="1"/>
  <c r="Q21" i="1"/>
  <c r="Q37" i="1" s="1"/>
  <c r="P21" i="1"/>
  <c r="P37" i="1" s="1"/>
  <c r="O21" i="1"/>
  <c r="O37" i="1" s="1"/>
  <c r="N21" i="1"/>
  <c r="N37" i="1" s="1"/>
  <c r="M21" i="1"/>
  <c r="M37" i="1" s="1"/>
  <c r="L21" i="1"/>
  <c r="L37" i="1" s="1"/>
  <c r="K21" i="1"/>
  <c r="K37" i="1" s="1"/>
  <c r="J21" i="1"/>
  <c r="J37" i="1" s="1"/>
  <c r="I21" i="1"/>
  <c r="I37" i="1" s="1"/>
  <c r="H21" i="1"/>
  <c r="H37" i="1" s="1"/>
  <c r="G21" i="1"/>
  <c r="G37" i="1" s="1"/>
  <c r="F21" i="1"/>
  <c r="E21" i="1"/>
  <c r="D21" i="1"/>
  <c r="D37" i="1" s="1"/>
  <c r="B21" i="1"/>
  <c r="B20" i="1"/>
  <c r="B19" i="1"/>
  <c r="B18" i="1"/>
  <c r="B17" i="1"/>
  <c r="B16" i="1"/>
  <c r="BM15" i="1"/>
  <c r="BM50" i="1" s="1"/>
  <c r="BL15" i="1"/>
  <c r="BL50" i="1" s="1"/>
  <c r="B15" i="1"/>
  <c r="B14" i="1"/>
  <c r="CC13" i="1"/>
  <c r="BY13" i="1"/>
  <c r="BW13" i="1"/>
  <c r="BW15" i="1" s="1"/>
  <c r="BW50" i="1" s="1"/>
  <c r="BS13" i="1"/>
  <c r="BR13" i="1"/>
  <c r="BR15" i="1" s="1"/>
  <c r="BO13" i="1"/>
  <c r="BG13" i="1"/>
  <c r="BG15" i="1" s="1"/>
  <c r="BG50" i="1" s="1"/>
  <c r="AI13" i="1"/>
  <c r="AH13" i="1"/>
  <c r="AD13" i="1"/>
  <c r="AD15" i="1" s="1"/>
  <c r="J13" i="1"/>
  <c r="F13" i="1"/>
  <c r="E13" i="1"/>
  <c r="E15" i="1" s="1"/>
  <c r="E20" i="1" s="1"/>
  <c r="D13" i="1"/>
  <c r="D15" i="1" s="1"/>
  <c r="B13" i="1"/>
  <c r="B12" i="1"/>
  <c r="B11" i="1"/>
  <c r="CN10" i="1"/>
  <c r="CN13" i="1" s="1"/>
  <c r="CM10" i="1"/>
  <c r="CM13" i="1" s="1"/>
  <c r="CM15" i="1" s="1"/>
  <c r="CM50" i="1" s="1"/>
  <c r="CL10" i="1"/>
  <c r="CL13" i="1" s="1"/>
  <c r="CL15" i="1" s="1"/>
  <c r="CK10" i="1"/>
  <c r="CK13" i="1" s="1"/>
  <c r="CJ10" i="1"/>
  <c r="CJ13" i="1" s="1"/>
  <c r="CI10" i="1"/>
  <c r="CI13" i="1" s="1"/>
  <c r="CH10" i="1"/>
  <c r="CH13" i="1" s="1"/>
  <c r="CG10" i="1"/>
  <c r="CG13" i="1" s="1"/>
  <c r="CF10" i="1"/>
  <c r="CF13" i="1" s="1"/>
  <c r="CE10" i="1"/>
  <c r="CE13" i="1" s="1"/>
  <c r="CD10" i="1"/>
  <c r="CD13" i="1" s="1"/>
  <c r="CC10" i="1"/>
  <c r="CB10" i="1"/>
  <c r="CB13" i="1" s="1"/>
  <c r="CA10" i="1"/>
  <c r="CA13" i="1" s="1"/>
  <c r="BZ10" i="1"/>
  <c r="BZ13" i="1" s="1"/>
  <c r="BY10" i="1"/>
  <c r="BX10" i="1"/>
  <c r="BX13" i="1" s="1"/>
  <c r="BQ10" i="1"/>
  <c r="BQ13" i="1" s="1"/>
  <c r="BT104" i="3" s="1"/>
  <c r="BP10" i="1"/>
  <c r="BP13" i="1" s="1"/>
  <c r="BO10" i="1"/>
  <c r="BN10" i="1"/>
  <c r="BN13" i="1" s="1"/>
  <c r="BM10" i="1"/>
  <c r="BL10" i="1"/>
  <c r="BK10" i="1"/>
  <c r="BK13" i="1" s="1"/>
  <c r="BN104" i="3" s="1"/>
  <c r="BJ10" i="1"/>
  <c r="BJ13" i="1" s="1"/>
  <c r="BJ15" i="1" s="1"/>
  <c r="BI10" i="1"/>
  <c r="BI13" i="1" s="1"/>
  <c r="BH10" i="1"/>
  <c r="BH13" i="1" s="1"/>
  <c r="BG10" i="1"/>
  <c r="BF10" i="1"/>
  <c r="BF13" i="1" s="1"/>
  <c r="BE10" i="1"/>
  <c r="BE13" i="1" s="1"/>
  <c r="BD10" i="1"/>
  <c r="BD13" i="1" s="1"/>
  <c r="BC10" i="1"/>
  <c r="BC13" i="1" s="1"/>
  <c r="BC15" i="1" s="1"/>
  <c r="BB10" i="1"/>
  <c r="BB13" i="1" s="1"/>
  <c r="BA10" i="1"/>
  <c r="BA13" i="1" s="1"/>
  <c r="AZ10" i="1"/>
  <c r="AZ13" i="1" s="1"/>
  <c r="AY10" i="1"/>
  <c r="AY13" i="1" s="1"/>
  <c r="AX10" i="1"/>
  <c r="AX13" i="1" s="1"/>
  <c r="AW10" i="1"/>
  <c r="AW13" i="1" s="1"/>
  <c r="AV10" i="1"/>
  <c r="AV13" i="1" s="1"/>
  <c r="AU10" i="1"/>
  <c r="AU13" i="1" s="1"/>
  <c r="AU15" i="1" s="1"/>
  <c r="AT10" i="1"/>
  <c r="AT13" i="1" s="1"/>
  <c r="AT15" i="1" s="1"/>
  <c r="AS10" i="1"/>
  <c r="AS13" i="1" s="1"/>
  <c r="AR10" i="1"/>
  <c r="AR13" i="1" s="1"/>
  <c r="AQ10" i="1"/>
  <c r="AQ13" i="1" s="1"/>
  <c r="AP10" i="1"/>
  <c r="AP13" i="1" s="1"/>
  <c r="AO10" i="1"/>
  <c r="AO13" i="1" s="1"/>
  <c r="AN10" i="1"/>
  <c r="AN13" i="1" s="1"/>
  <c r="AM10" i="1"/>
  <c r="AM13" i="1" s="1"/>
  <c r="AL10" i="1"/>
  <c r="AL13" i="1" s="1"/>
  <c r="AK10" i="1"/>
  <c r="AK13" i="1" s="1"/>
  <c r="AJ10" i="1"/>
  <c r="AJ13" i="1" s="1"/>
  <c r="AI10" i="1"/>
  <c r="AH10" i="1"/>
  <c r="AG10" i="1"/>
  <c r="AG13" i="1" s="1"/>
  <c r="AF10" i="1"/>
  <c r="AF13" i="1" s="1"/>
  <c r="AE10" i="1"/>
  <c r="AE13" i="1" s="1"/>
  <c r="AE15" i="1" s="1"/>
  <c r="AD10" i="1"/>
  <c r="AC10" i="1"/>
  <c r="AC13" i="1" s="1"/>
  <c r="AB10" i="1"/>
  <c r="AB13" i="1" s="1"/>
  <c r="AA10" i="1"/>
  <c r="AA13" i="1" s="1"/>
  <c r="Z10" i="1"/>
  <c r="Z13" i="1" s="1"/>
  <c r="Y10" i="1"/>
  <c r="Y13" i="1" s="1"/>
  <c r="X10" i="1"/>
  <c r="X13" i="1" s="1"/>
  <c r="W10" i="1"/>
  <c r="W13" i="1" s="1"/>
  <c r="W15" i="1" s="1"/>
  <c r="V10" i="1"/>
  <c r="V13" i="1" s="1"/>
  <c r="V15" i="1" s="1"/>
  <c r="U10" i="1"/>
  <c r="U13" i="1" s="1"/>
  <c r="T10" i="1"/>
  <c r="T13" i="1" s="1"/>
  <c r="T15" i="1" s="1"/>
  <c r="T50" i="1" s="1"/>
  <c r="S10" i="1"/>
  <c r="S13" i="1" s="1"/>
  <c r="R10" i="1"/>
  <c r="R13" i="1" s="1"/>
  <c r="Q10" i="1"/>
  <c r="Q13" i="1" s="1"/>
  <c r="P10" i="1"/>
  <c r="P13" i="1" s="1"/>
  <c r="O10" i="1"/>
  <c r="O13" i="1" s="1"/>
  <c r="N10" i="1"/>
  <c r="N13" i="1" s="1"/>
  <c r="M10" i="1"/>
  <c r="M13" i="1" s="1"/>
  <c r="L10" i="1"/>
  <c r="L13" i="1" s="1"/>
  <c r="L15" i="1" s="1"/>
  <c r="K10" i="1"/>
  <c r="K13" i="1" s="1"/>
  <c r="J10" i="1"/>
  <c r="I10" i="1"/>
  <c r="I13" i="1" s="1"/>
  <c r="H10" i="1"/>
  <c r="H13" i="1" s="1"/>
  <c r="B10" i="1"/>
  <c r="B9" i="1"/>
  <c r="CA7" i="1"/>
  <c r="BZ7" i="1"/>
  <c r="K7" i="1"/>
  <c r="G7" i="1"/>
  <c r="B7" i="1"/>
  <c r="CE6" i="1"/>
  <c r="CD6" i="1"/>
  <c r="CC6" i="1"/>
  <c r="CB6" i="1"/>
  <c r="CA6" i="1"/>
  <c r="BZ6" i="1"/>
  <c r="BY6" i="1"/>
  <c r="BX6" i="1"/>
  <c r="BW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D6" i="1"/>
  <c r="B5" i="1"/>
  <c r="B3" i="1"/>
  <c r="B2" i="1"/>
  <c r="B28" i="2"/>
  <c r="B22" i="2"/>
  <c r="B13" i="2"/>
  <c r="B11" i="2"/>
  <c r="B10" i="2"/>
  <c r="B9" i="2"/>
  <c r="B44" i="7"/>
  <c r="B8" i="2"/>
  <c r="B7" i="2"/>
  <c r="B6" i="2"/>
  <c r="B5" i="2"/>
  <c r="B4" i="2"/>
  <c r="H3" i="2"/>
  <c r="B6" i="6" l="1"/>
  <c r="AT48" i="5"/>
  <c r="BS113" i="3"/>
  <c r="CN113" i="3" s="1"/>
  <c r="BP102" i="3"/>
  <c r="AU25" i="3"/>
  <c r="AU113" i="3"/>
  <c r="AP46" i="3"/>
  <c r="AX96" i="3"/>
  <c r="AF46" i="3"/>
  <c r="BF102" i="3"/>
  <c r="CK21" i="3"/>
  <c r="AZ23" i="3"/>
  <c r="CA23" i="3"/>
  <c r="BJ80" i="3"/>
  <c r="BJ93" i="3" s="1"/>
  <c r="CL95" i="3"/>
  <c r="Z102" i="3"/>
  <c r="AZ102" i="3"/>
  <c r="BY102" i="3"/>
  <c r="I109" i="3"/>
  <c r="AS113" i="3"/>
  <c r="G46" i="3"/>
  <c r="G114" i="3"/>
  <c r="G102" i="3" s="1"/>
  <c r="BC80" i="3"/>
  <c r="BC93" i="3" s="1"/>
  <c r="CJ93" i="3" s="1"/>
  <c r="H114" i="3"/>
  <c r="H23" i="3"/>
  <c r="CH48" i="3"/>
  <c r="BG9" i="3"/>
  <c r="Z23" i="3"/>
  <c r="AL23" i="3"/>
  <c r="BA23" i="3"/>
  <c r="BM23" i="3"/>
  <c r="CB23" i="3"/>
  <c r="J23" i="3"/>
  <c r="V23" i="3"/>
  <c r="AT46" i="3"/>
  <c r="BR23" i="3"/>
  <c r="CD80" i="3"/>
  <c r="CD93" i="3" s="1"/>
  <c r="M80" i="3"/>
  <c r="M93" i="3" s="1"/>
  <c r="BO102" i="3"/>
  <c r="CM102" i="3" s="1"/>
  <c r="AA102" i="3"/>
  <c r="D46" i="3"/>
  <c r="Q23" i="3"/>
  <c r="N46" i="3"/>
  <c r="N23" i="3"/>
  <c r="AA23" i="3"/>
  <c r="AM23" i="3"/>
  <c r="BB23" i="3"/>
  <c r="BN23" i="3"/>
  <c r="CC23" i="3"/>
  <c r="R80" i="3"/>
  <c r="R93" i="3" s="1"/>
  <c r="AP80" i="3"/>
  <c r="AP93" i="3" s="1"/>
  <c r="CE80" i="3"/>
  <c r="CE93" i="3" s="1"/>
  <c r="N80" i="3"/>
  <c r="N93" i="3" s="1"/>
  <c r="CB80" i="3"/>
  <c r="CB93" i="3" s="1"/>
  <c r="AM109" i="3"/>
  <c r="CA113" i="3"/>
  <c r="BN102" i="3"/>
  <c r="AV48" i="3"/>
  <c r="AV80" i="3" s="1"/>
  <c r="AV93" i="3" s="1"/>
  <c r="U113" i="3"/>
  <c r="BQ113" i="3"/>
  <c r="L102" i="3"/>
  <c r="W109" i="3"/>
  <c r="BR46" i="3"/>
  <c r="O23" i="3"/>
  <c r="AB23" i="3"/>
  <c r="AN23" i="3"/>
  <c r="BW23" i="3"/>
  <c r="G80" i="3"/>
  <c r="G93" i="3" s="1"/>
  <c r="S80" i="3"/>
  <c r="S93" i="3" s="1"/>
  <c r="AE80" i="3"/>
  <c r="AE93" i="3" s="1"/>
  <c r="AQ80" i="3"/>
  <c r="AQ93" i="3" s="1"/>
  <c r="CF80" i="3"/>
  <c r="CF93" i="3" s="1"/>
  <c r="O80" i="3"/>
  <c r="O93" i="3" s="1"/>
  <c r="BA80" i="3"/>
  <c r="BA93" i="3" s="1"/>
  <c r="CC80" i="3"/>
  <c r="CC93" i="3" s="1"/>
  <c r="CI91" i="3"/>
  <c r="AB113" i="3"/>
  <c r="AZ113" i="3"/>
  <c r="CF46" i="3"/>
  <c r="AM46" i="3"/>
  <c r="BI80" i="3"/>
  <c r="BI93" i="3" s="1"/>
  <c r="CC46" i="3"/>
  <c r="P23" i="3"/>
  <c r="AC23" i="3"/>
  <c r="AO23" i="3"/>
  <c r="Y23" i="3"/>
  <c r="H80" i="3"/>
  <c r="H93" i="3" s="1"/>
  <c r="T80" i="3"/>
  <c r="T93" i="3" s="1"/>
  <c r="AF80" i="3"/>
  <c r="AF93" i="3" s="1"/>
  <c r="AR80" i="3"/>
  <c r="AR93" i="3" s="1"/>
  <c r="BD80" i="3"/>
  <c r="BD93" i="3" s="1"/>
  <c r="BR80" i="3"/>
  <c r="BR93" i="3" s="1"/>
  <c r="BP95" i="3"/>
  <c r="BP96" i="3" s="1"/>
  <c r="BP68" i="3"/>
  <c r="BK23" i="3"/>
  <c r="CL23" i="3" s="1"/>
  <c r="CL25" i="3"/>
  <c r="AQ102" i="3"/>
  <c r="M113" i="3"/>
  <c r="AK113" i="3"/>
  <c r="T102" i="3"/>
  <c r="AR102" i="3"/>
  <c r="CD46" i="3"/>
  <c r="AO102" i="3"/>
  <c r="BW102" i="3"/>
  <c r="AB102" i="3"/>
  <c r="S102" i="3"/>
  <c r="BD102" i="3"/>
  <c r="AF102" i="3"/>
  <c r="AW108" i="3"/>
  <c r="AW109" i="3" s="1"/>
  <c r="AW25" i="3"/>
  <c r="AW23" i="3" s="1"/>
  <c r="AX25" i="3"/>
  <c r="AX23" i="3" s="1"/>
  <c r="AX108" i="3"/>
  <c r="AX102" i="3" s="1"/>
  <c r="BL23" i="3"/>
  <c r="BL46" i="3"/>
  <c r="BI113" i="3"/>
  <c r="BX114" i="3"/>
  <c r="BX102" i="3" s="1"/>
  <c r="BX9" i="3"/>
  <c r="BX46" i="3" s="1"/>
  <c r="CM95" i="3"/>
  <c r="CH114" i="3"/>
  <c r="AW80" i="3"/>
  <c r="AW93" i="3" s="1"/>
  <c r="T46" i="3"/>
  <c r="BZ46" i="3"/>
  <c r="AT23" i="3"/>
  <c r="BG23" i="3"/>
  <c r="CK23" i="3" s="1"/>
  <c r="BZ23" i="3"/>
  <c r="CG39" i="3"/>
  <c r="Z80" i="3"/>
  <c r="Z93" i="3" s="1"/>
  <c r="AX80" i="3"/>
  <c r="AX93" i="3" s="1"/>
  <c r="BZ80" i="3"/>
  <c r="BZ93" i="3" s="1"/>
  <c r="Z46" i="3"/>
  <c r="BP46" i="3"/>
  <c r="O46" i="3"/>
  <c r="AA46" i="3"/>
  <c r="BD46" i="3"/>
  <c r="CG108" i="3"/>
  <c r="CG109" i="3" s="1"/>
  <c r="CG9" i="3"/>
  <c r="AB46" i="3"/>
  <c r="BE46" i="3"/>
  <c r="BF46" i="3"/>
  <c r="G23" i="3"/>
  <c r="S23" i="3"/>
  <c r="AQ23" i="3"/>
  <c r="BP23" i="3"/>
  <c r="K80" i="3"/>
  <c r="K93" i="3" s="1"/>
  <c r="AI80" i="3"/>
  <c r="AI93" i="3" s="1"/>
  <c r="CI95" i="3"/>
  <c r="BB80" i="3"/>
  <c r="BB93" i="3" s="1"/>
  <c r="AD46" i="3"/>
  <c r="AR23" i="3"/>
  <c r="L80" i="3"/>
  <c r="L93" i="3" s="1"/>
  <c r="AJ80" i="3"/>
  <c r="AJ93" i="3" s="1"/>
  <c r="BX80" i="3"/>
  <c r="BX93" i="3" s="1"/>
  <c r="BS80" i="3"/>
  <c r="CN80" i="3" s="1"/>
  <c r="AE46" i="3"/>
  <c r="BH46" i="3"/>
  <c r="U23" i="3"/>
  <c r="AD80" i="3"/>
  <c r="AD93" i="3" s="1"/>
  <c r="AY102" i="3"/>
  <c r="I46" i="3"/>
  <c r="AG46" i="3"/>
  <c r="AX9" i="3"/>
  <c r="AX46" i="3" s="1"/>
  <c r="BK46" i="3"/>
  <c r="CL46" i="3" s="1"/>
  <c r="CA46" i="3"/>
  <c r="K23" i="3"/>
  <c r="W23" i="3"/>
  <c r="AI23" i="3"/>
  <c r="AU23" i="3"/>
  <c r="BH23" i="3"/>
  <c r="AA80" i="3"/>
  <c r="AA93" i="3" s="1"/>
  <c r="AH113" i="3"/>
  <c r="P102" i="3"/>
  <c r="CE102" i="3"/>
  <c r="Q46" i="3"/>
  <c r="BY80" i="3"/>
  <c r="BY93" i="3" s="1"/>
  <c r="V46" i="3"/>
  <c r="AL102" i="3"/>
  <c r="BH102" i="3"/>
  <c r="L23" i="3"/>
  <c r="AJ23" i="3"/>
  <c r="BI23" i="3"/>
  <c r="P80" i="3"/>
  <c r="P93" i="3" s="1"/>
  <c r="AB80" i="3"/>
  <c r="AB93" i="3" s="1"/>
  <c r="AN80" i="3"/>
  <c r="AN93" i="3" s="1"/>
  <c r="BL80" i="3"/>
  <c r="BL93" i="3" s="1"/>
  <c r="CH115" i="3"/>
  <c r="BW113" i="3"/>
  <c r="BC46" i="3"/>
  <c r="CJ46" i="3" s="1"/>
  <c r="CH25" i="3"/>
  <c r="CH23" i="3" s="1"/>
  <c r="CG95" i="3"/>
  <c r="CG96" i="3" s="1"/>
  <c r="H102" i="3"/>
  <c r="P46" i="3"/>
  <c r="AQ46" i="3"/>
  <c r="CD23" i="3"/>
  <c r="BK80" i="3"/>
  <c r="BK93" i="3" s="1"/>
  <c r="CL93" i="3" s="1"/>
  <c r="AR46" i="3"/>
  <c r="H46" i="3"/>
  <c r="AE23" i="3"/>
  <c r="R102" i="3"/>
  <c r="AT102" i="3"/>
  <c r="X102" i="3"/>
  <c r="BL102" i="3"/>
  <c r="R46" i="3"/>
  <c r="BG46" i="3"/>
  <c r="CK46" i="3" s="1"/>
  <c r="T23" i="3"/>
  <c r="BQ23" i="3"/>
  <c r="X80" i="3"/>
  <c r="X93" i="3" s="1"/>
  <c r="C93" i="3"/>
  <c r="C9" i="3"/>
  <c r="C46" i="3" s="1"/>
  <c r="S46" i="3"/>
  <c r="BY9" i="3"/>
  <c r="BY46" i="3" s="1"/>
  <c r="AS23" i="3"/>
  <c r="Y80" i="3"/>
  <c r="Y93" i="3" s="1"/>
  <c r="D80" i="3"/>
  <c r="D93" i="3" s="1"/>
  <c r="AR109" i="3"/>
  <c r="J9" i="3"/>
  <c r="J46" i="3" s="1"/>
  <c r="AH46" i="3"/>
  <c r="AY46" i="3"/>
  <c r="K9" i="3"/>
  <c r="K46" i="3" s="1"/>
  <c r="AI9" i="3"/>
  <c r="AI46" i="3" s="1"/>
  <c r="AZ46" i="3"/>
  <c r="BM46" i="3"/>
  <c r="AN102" i="3"/>
  <c r="M23" i="3"/>
  <c r="AK23" i="3"/>
  <c r="Q80" i="3"/>
  <c r="Q93" i="3" s="1"/>
  <c r="AO80" i="3"/>
  <c r="AO93" i="3" s="1"/>
  <c r="BM80" i="3"/>
  <c r="BM93" i="3" s="1"/>
  <c r="V80" i="3"/>
  <c r="V93" i="3" s="1"/>
  <c r="AT80" i="3"/>
  <c r="AT93" i="3" s="1"/>
  <c r="L113" i="3"/>
  <c r="BH113" i="3"/>
  <c r="AP102" i="3"/>
  <c r="AY36" i="6"/>
  <c r="CL47" i="6"/>
  <c r="CL36" i="6" s="1"/>
  <c r="BN36" i="6"/>
  <c r="CG36" i="6"/>
  <c r="CN39" i="6"/>
  <c r="S36" i="6"/>
  <c r="AS36" i="6"/>
  <c r="CM20" i="6"/>
  <c r="Y20" i="6"/>
  <c r="CM25" i="6"/>
  <c r="CL25" i="6"/>
  <c r="AH36" i="6"/>
  <c r="BF36" i="6"/>
  <c r="CI36" i="6"/>
  <c r="CM47" i="6"/>
  <c r="CM36" i="6" s="1"/>
  <c r="CN20" i="6"/>
  <c r="CN25" i="6"/>
  <c r="BW36" i="6"/>
  <c r="U36" i="6"/>
  <c r="AI36" i="6"/>
  <c r="BG36" i="6"/>
  <c r="CF9" i="6"/>
  <c r="X36" i="6"/>
  <c r="CH25" i="6"/>
  <c r="AA38" i="6"/>
  <c r="Z36" i="6"/>
  <c r="AA47" i="6"/>
  <c r="BA36" i="6"/>
  <c r="CD36" i="6"/>
  <c r="AC36" i="6"/>
  <c r="AP36" i="6"/>
  <c r="BO36" i="6"/>
  <c r="CE36" i="6"/>
  <c r="AQ36" i="6"/>
  <c r="BM36" i="6"/>
  <c r="CG9" i="6"/>
  <c r="AE20" i="6"/>
  <c r="BQ36" i="6"/>
  <c r="BM25" i="6"/>
  <c r="AK36" i="6"/>
  <c r="BI36" i="6"/>
  <c r="AV32" i="7"/>
  <c r="AR56" i="7"/>
  <c r="AR58" i="7" s="1"/>
  <c r="AD70" i="7"/>
  <c r="AG28" i="7"/>
  <c r="AG32" i="7" s="1"/>
  <c r="BQ32" i="7"/>
  <c r="AA41" i="7"/>
  <c r="AC66" i="7"/>
  <c r="AC70" i="7" s="1"/>
  <c r="AC77" i="7" s="1"/>
  <c r="BO32" i="7"/>
  <c r="BO39" i="7" s="1"/>
  <c r="CA28" i="7"/>
  <c r="CA32" i="7" s="1"/>
  <c r="CA39" i="7" s="1"/>
  <c r="BK70" i="7"/>
  <c r="BK74" i="7" s="1"/>
  <c r="AG66" i="7"/>
  <c r="AG70" i="7" s="1"/>
  <c r="AG77" i="7" s="1"/>
  <c r="G74" i="7"/>
  <c r="AZ32" i="7"/>
  <c r="AF66" i="7"/>
  <c r="AF70" i="7" s="1"/>
  <c r="AF77" i="7" s="1"/>
  <c r="AN32" i="7"/>
  <c r="AM28" i="7"/>
  <c r="CE32" i="7"/>
  <c r="BG41" i="7"/>
  <c r="AV66" i="7"/>
  <c r="BN32" i="7"/>
  <c r="BN39" i="7" s="1"/>
  <c r="X32" i="7"/>
  <c r="X36" i="7" s="1"/>
  <c r="AL28" i="7"/>
  <c r="AL32" i="7" s="1"/>
  <c r="AL39" i="7" s="1"/>
  <c r="BM32" i="7"/>
  <c r="BM39" i="7" s="1"/>
  <c r="AW28" i="7"/>
  <c r="AW32" i="7" s="1"/>
  <c r="BA36" i="7" s="1"/>
  <c r="AI70" i="7"/>
  <c r="AI77" i="7" s="1"/>
  <c r="AW66" i="7"/>
  <c r="AW70" i="7" s="1"/>
  <c r="BQ70" i="7"/>
  <c r="BR70" i="7"/>
  <c r="BR77" i="7" s="1"/>
  <c r="AB32" i="7"/>
  <c r="AJ28" i="7"/>
  <c r="AJ32" i="7" s="1"/>
  <c r="AJ39" i="7" s="1"/>
  <c r="CD70" i="7"/>
  <c r="CD74" i="7" s="1"/>
  <c r="AX28" i="7"/>
  <c r="AX32" i="7" s="1"/>
  <c r="AX39" i="7" s="1"/>
  <c r="AS52" i="7"/>
  <c r="AS56" i="7" s="1"/>
  <c r="AS58" i="7" s="1"/>
  <c r="AZ66" i="7"/>
  <c r="AZ70" i="7" s="1"/>
  <c r="AE32" i="7"/>
  <c r="AE39" i="7" s="1"/>
  <c r="BC70" i="7"/>
  <c r="BC77" i="7" s="1"/>
  <c r="BW70" i="7"/>
  <c r="BW77" i="7" s="1"/>
  <c r="BB70" i="7"/>
  <c r="G20" i="6"/>
  <c r="CG20" i="6"/>
  <c r="BN107" i="3"/>
  <c r="E25" i="1"/>
  <c r="CH113" i="3"/>
  <c r="E20" i="6"/>
  <c r="AC20" i="6"/>
  <c r="CE20" i="6"/>
  <c r="S20" i="6"/>
  <c r="AQ20" i="6"/>
  <c r="I20" i="6"/>
  <c r="AG20" i="6"/>
  <c r="AJ109" i="3"/>
  <c r="AZ109" i="3"/>
  <c r="CA109" i="3"/>
  <c r="AR20" i="6"/>
  <c r="U20" i="6"/>
  <c r="BW20" i="6"/>
  <c r="K20" i="6"/>
  <c r="AI20" i="6"/>
  <c r="L20" i="6"/>
  <c r="AJ20" i="6"/>
  <c r="Z109" i="3"/>
  <c r="AR113" i="3"/>
  <c r="AM20" i="6"/>
  <c r="J109" i="3"/>
  <c r="AA109" i="3"/>
  <c r="BH109" i="3"/>
  <c r="BX113" i="3"/>
  <c r="BO113" i="3"/>
  <c r="CM113" i="3" s="1"/>
  <c r="AH109" i="3"/>
  <c r="K109" i="3"/>
  <c r="M20" i="6"/>
  <c r="AK20" i="6"/>
  <c r="AA20" i="6"/>
  <c r="CC20" i="6"/>
  <c r="Q20" i="6"/>
  <c r="AO20" i="6"/>
  <c r="BT107" i="3"/>
  <c r="BT103" i="3"/>
  <c r="G109" i="3"/>
  <c r="R113" i="3"/>
  <c r="AP113" i="3"/>
  <c r="BF113" i="3"/>
  <c r="BN103" i="3"/>
  <c r="BZ109" i="3"/>
  <c r="S113" i="3"/>
  <c r="AI113" i="3"/>
  <c r="AQ113" i="3"/>
  <c r="T20" i="6"/>
  <c r="BS104" i="3"/>
  <c r="BT47" i="1"/>
  <c r="BO47" i="1"/>
  <c r="BR104" i="3"/>
  <c r="BR107" i="3"/>
  <c r="F20" i="6"/>
  <c r="N20" i="6"/>
  <c r="V20" i="6"/>
  <c r="AD20" i="6"/>
  <c r="AL20" i="6"/>
  <c r="BX20" i="6"/>
  <c r="CF20" i="6"/>
  <c r="J20" i="6"/>
  <c r="R20" i="6"/>
  <c r="Z20" i="6"/>
  <c r="AH20" i="6"/>
  <c r="AP20" i="6"/>
  <c r="O109" i="3"/>
  <c r="AE109" i="3"/>
  <c r="AU109" i="3"/>
  <c r="BP104" i="3"/>
  <c r="BO104" i="3"/>
  <c r="CM104" i="3" s="1"/>
  <c r="BQ104" i="3"/>
  <c r="BQ107" i="3" s="1"/>
  <c r="BS47" i="1"/>
  <c r="BC109" i="3"/>
  <c r="O113" i="3"/>
  <c r="W113" i="3"/>
  <c r="AM113" i="3"/>
  <c r="BK113" i="3"/>
  <c r="H20" i="6"/>
  <c r="P20" i="6"/>
  <c r="X20" i="6"/>
  <c r="AF20" i="6"/>
  <c r="AN20" i="6"/>
  <c r="BZ20" i="6"/>
  <c r="CH20" i="6"/>
  <c r="BK15" i="1"/>
  <c r="BK50" i="1" s="1"/>
  <c r="C105" i="3"/>
  <c r="C109" i="3" s="1"/>
  <c r="BK109" i="3"/>
  <c r="BB48" i="5"/>
  <c r="BB78" i="5" s="1"/>
  <c r="CL48" i="5"/>
  <c r="N48" i="5"/>
  <c r="V48" i="5"/>
  <c r="B6" i="1"/>
  <c r="B6" i="7"/>
  <c r="B6" i="3"/>
  <c r="B6" i="5"/>
  <c r="BO77" i="7"/>
  <c r="BS74" i="7"/>
  <c r="BE36" i="7"/>
  <c r="BE39" i="7"/>
  <c r="CG32" i="7"/>
  <c r="CH36" i="7" s="1"/>
  <c r="AI41" i="7"/>
  <c r="BG70" i="7"/>
  <c r="BG74" i="7" s="1"/>
  <c r="AJ66" i="7"/>
  <c r="AJ70" i="7" s="1"/>
  <c r="P74" i="7"/>
  <c r="BD79" i="7"/>
  <c r="CG74" i="7"/>
  <c r="CH74" i="7"/>
  <c r="Y28" i="7"/>
  <c r="Y32" i="7" s="1"/>
  <c r="Y36" i="7" s="1"/>
  <c r="AO28" i="7"/>
  <c r="AO32" i="7" s="1"/>
  <c r="AO39" i="7" s="1"/>
  <c r="BD28" i="7"/>
  <c r="BD32" i="7" s="1"/>
  <c r="BD36" i="7" s="1"/>
  <c r="BX70" i="7"/>
  <c r="BX77" i="7" s="1"/>
  <c r="AK66" i="7"/>
  <c r="AK70" i="7" s="1"/>
  <c r="AK77" i="7" s="1"/>
  <c r="W74" i="7"/>
  <c r="BG79" i="7"/>
  <c r="BL28" i="7"/>
  <c r="BL32" i="7" s="1"/>
  <c r="AP28" i="7"/>
  <c r="AP32" i="7" s="1"/>
  <c r="AP39" i="7" s="1"/>
  <c r="BF28" i="7"/>
  <c r="BF32" i="7" s="1"/>
  <c r="BF39" i="7" s="1"/>
  <c r="AQ41" i="7"/>
  <c r="AY70" i="7"/>
  <c r="X66" i="7"/>
  <c r="X70" i="7" s="1"/>
  <c r="X77" i="7" s="1"/>
  <c r="AN66" i="7"/>
  <c r="AN70" i="7" s="1"/>
  <c r="AN77" i="7" s="1"/>
  <c r="BE66" i="7"/>
  <c r="BE70" i="7" s="1"/>
  <c r="BE74" i="7" s="1"/>
  <c r="BY66" i="7"/>
  <c r="BY70" i="7" s="1"/>
  <c r="BY77" i="7" s="1"/>
  <c r="BL79" i="7"/>
  <c r="L74" i="7"/>
  <c r="AT32" i="7"/>
  <c r="BB32" i="7"/>
  <c r="BB39" i="7" s="1"/>
  <c r="BJ32" i="7"/>
  <c r="AD28" i="7"/>
  <c r="AD32" i="7" s="1"/>
  <c r="AD39" i="7" s="1"/>
  <c r="AR28" i="7"/>
  <c r="AR32" i="7" s="1"/>
  <c r="AR39" i="7" s="1"/>
  <c r="AU41" i="7"/>
  <c r="Y66" i="7"/>
  <c r="Y70" i="7" s="1"/>
  <c r="Y74" i="7" s="1"/>
  <c r="AO66" i="7"/>
  <c r="AO70" i="7" s="1"/>
  <c r="AO77" i="7" s="1"/>
  <c r="BJ66" i="7"/>
  <c r="BJ70" i="7" s="1"/>
  <c r="BJ77" i="7" s="1"/>
  <c r="CC66" i="7"/>
  <c r="CC70" i="7" s="1"/>
  <c r="K77" i="7"/>
  <c r="D74" i="7"/>
  <c r="BH28" i="7"/>
  <c r="BH32" i="7" s="1"/>
  <c r="BZ28" i="7"/>
  <c r="BZ32" i="7" s="1"/>
  <c r="BZ39" i="7" s="1"/>
  <c r="AY41" i="7"/>
  <c r="AB66" i="7"/>
  <c r="AB70" i="7" s="1"/>
  <c r="AB77" i="7" s="1"/>
  <c r="AU66" i="7"/>
  <c r="AU70" i="7" s="1"/>
  <c r="AY74" i="7" s="1"/>
  <c r="C74" i="7"/>
  <c r="O77" i="7"/>
  <c r="CD41" i="7"/>
  <c r="AV70" i="7"/>
  <c r="AV74" i="7" s="1"/>
  <c r="BM66" i="7"/>
  <c r="BM70" i="7" s="1"/>
  <c r="BM77" i="7" s="1"/>
  <c r="AV46" i="3"/>
  <c r="AI109" i="3"/>
  <c r="AI102" i="3"/>
  <c r="BG109" i="3"/>
  <c r="CK108" i="3"/>
  <c r="CK109" i="3" s="1"/>
  <c r="AU102" i="3"/>
  <c r="CM48" i="3"/>
  <c r="BO80" i="3"/>
  <c r="BI102" i="3"/>
  <c r="M46" i="3"/>
  <c r="U46" i="3"/>
  <c r="AC46" i="3"/>
  <c r="AK46" i="3"/>
  <c r="AS46" i="3"/>
  <c r="BA46" i="3"/>
  <c r="BI46" i="3"/>
  <c r="BQ46" i="3"/>
  <c r="CB46" i="3"/>
  <c r="CJ9" i="3"/>
  <c r="CG25" i="3"/>
  <c r="BS46" i="3"/>
  <c r="CN46" i="3" s="1"/>
  <c r="AZ80" i="3"/>
  <c r="AZ93" i="3" s="1"/>
  <c r="BH80" i="3"/>
  <c r="BH93" i="3" s="1"/>
  <c r="BP80" i="3"/>
  <c r="BP93" i="3" s="1"/>
  <c r="AU91" i="3"/>
  <c r="CH86" i="3"/>
  <c r="CH91" i="3" s="1"/>
  <c r="J102" i="3"/>
  <c r="BB102" i="3"/>
  <c r="BJ102" i="3"/>
  <c r="BR102" i="3"/>
  <c r="CC102" i="3"/>
  <c r="BG113" i="3"/>
  <c r="CK112" i="3"/>
  <c r="CK25" i="3"/>
  <c r="CI9" i="3"/>
  <c r="CI46" i="3" s="1"/>
  <c r="AY80" i="3"/>
  <c r="AY93" i="3" s="1"/>
  <c r="CI48" i="3"/>
  <c r="CI80" i="3" s="1"/>
  <c r="CI93" i="3" s="1"/>
  <c r="BG80" i="3"/>
  <c r="CK48" i="3"/>
  <c r="CA80" i="3"/>
  <c r="CA93" i="3" s="1"/>
  <c r="CN95" i="3"/>
  <c r="BS96" i="3"/>
  <c r="CN96" i="3" s="1"/>
  <c r="BA102" i="3"/>
  <c r="BQ102" i="3"/>
  <c r="CB102" i="3"/>
  <c r="AL9" i="3"/>
  <c r="AL46" i="3" s="1"/>
  <c r="BJ9" i="3"/>
  <c r="BJ46" i="3" s="1"/>
  <c r="CK9" i="3"/>
  <c r="AY23" i="3"/>
  <c r="CI23" i="3" s="1"/>
  <c r="BO23" i="3"/>
  <c r="CM23" i="3" s="1"/>
  <c r="BQ95" i="3"/>
  <c r="BQ96" i="3" s="1"/>
  <c r="BQ48" i="3"/>
  <c r="BQ80" i="3" s="1"/>
  <c r="BQ93" i="3" s="1"/>
  <c r="CG68" i="3"/>
  <c r="K102" i="3"/>
  <c r="AH102" i="3"/>
  <c r="BZ102" i="3"/>
  <c r="I102" i="3"/>
  <c r="Q102" i="3"/>
  <c r="Y102" i="3"/>
  <c r="AG102" i="3"/>
  <c r="BP109" i="3"/>
  <c r="AS102" i="3"/>
  <c r="BC102" i="3"/>
  <c r="CJ102" i="3" s="1"/>
  <c r="BK102" i="3"/>
  <c r="CL102" i="3" s="1"/>
  <c r="CN110" i="3"/>
  <c r="BS102" i="3"/>
  <c r="CD102" i="3"/>
  <c r="AJ113" i="3"/>
  <c r="AU9" i="3"/>
  <c r="AU46" i="3" s="1"/>
  <c r="CL9" i="3"/>
  <c r="CH14" i="3"/>
  <c r="CL109" i="3"/>
  <c r="U102" i="3"/>
  <c r="AC102" i="3"/>
  <c r="AN9" i="3"/>
  <c r="AN46" i="3" s="1"/>
  <c r="BW9" i="3"/>
  <c r="BW46" i="3" s="1"/>
  <c r="CE9" i="3"/>
  <c r="CE46" i="3" s="1"/>
  <c r="CM9" i="3"/>
  <c r="AK102" i="3"/>
  <c r="BW93" i="3"/>
  <c r="CH95" i="3"/>
  <c r="CH96" i="3" s="1"/>
  <c r="CG115" i="3"/>
  <c r="BS93" i="3"/>
  <c r="CN93" i="3" s="1"/>
  <c r="AJ102" i="3"/>
  <c r="BG102" i="3"/>
  <c r="CK102" i="3" s="1"/>
  <c r="CF102" i="3"/>
  <c r="C102" i="3"/>
  <c r="N102" i="3"/>
  <c r="V102" i="3"/>
  <c r="AD102" i="3"/>
  <c r="M102" i="3"/>
  <c r="AO9" i="3"/>
  <c r="AO46" i="3" s="1"/>
  <c r="AW9" i="3"/>
  <c r="L109" i="3"/>
  <c r="T109" i="3"/>
  <c r="AB109" i="3"/>
  <c r="AW102" i="3"/>
  <c r="BE102" i="3"/>
  <c r="BM102" i="3"/>
  <c r="BX109" i="3"/>
  <c r="O102" i="3"/>
  <c r="W102" i="3"/>
  <c r="AE102" i="3"/>
  <c r="AM102" i="3"/>
  <c r="AY109" i="3"/>
  <c r="CI108" i="3"/>
  <c r="CI102" i="3" s="1"/>
  <c r="CH76" i="3"/>
  <c r="CH68" i="3" s="1"/>
  <c r="AU68" i="3"/>
  <c r="AU80" i="3" s="1"/>
  <c r="AU93" i="3" s="1"/>
  <c r="CG114" i="3"/>
  <c r="BC23" i="3"/>
  <c r="CJ23" i="3" s="1"/>
  <c r="BS23" i="3"/>
  <c r="CN23" i="3" s="1"/>
  <c r="I93" i="3"/>
  <c r="AG93" i="3"/>
  <c r="CG48" i="3"/>
  <c r="CJ95" i="3"/>
  <c r="AV102" i="3"/>
  <c r="CM106" i="3"/>
  <c r="BS109" i="3"/>
  <c r="CN109" i="3" s="1"/>
  <c r="CM110" i="3"/>
  <c r="BC113" i="3"/>
  <c r="CF109" i="3"/>
  <c r="CJ108" i="3"/>
  <c r="CJ109" i="3" s="1"/>
  <c r="I113" i="3"/>
  <c r="Y113" i="3"/>
  <c r="J113" i="3"/>
  <c r="R109" i="3"/>
  <c r="Z113" i="3"/>
  <c r="AP109" i="3"/>
  <c r="AX113" i="3"/>
  <c r="BF109" i="3"/>
  <c r="BN113" i="3"/>
  <c r="BZ113" i="3"/>
  <c r="CL112" i="3"/>
  <c r="CL113" i="3" s="1"/>
  <c r="K113" i="3"/>
  <c r="S109" i="3"/>
  <c r="AA113" i="3"/>
  <c r="AQ109" i="3"/>
  <c r="AY113" i="3"/>
  <c r="AT50" i="1"/>
  <c r="AT20" i="1"/>
  <c r="P104" i="3"/>
  <c r="M47" i="1"/>
  <c r="M15" i="1"/>
  <c r="X104" i="3"/>
  <c r="U47" i="1"/>
  <c r="U15" i="1"/>
  <c r="AF104" i="3"/>
  <c r="AC47" i="1"/>
  <c r="AC15" i="1"/>
  <c r="AN104" i="3"/>
  <c r="AK47" i="1"/>
  <c r="AK15" i="1"/>
  <c r="AV104" i="3"/>
  <c r="AS47" i="1"/>
  <c r="AS15" i="1"/>
  <c r="BD104" i="3"/>
  <c r="BA47" i="1"/>
  <c r="BA15" i="1"/>
  <c r="BL104" i="3"/>
  <c r="BI47" i="1"/>
  <c r="BM47" i="1"/>
  <c r="BI15" i="1"/>
  <c r="BJ50" i="1"/>
  <c r="BJ20" i="1"/>
  <c r="CG104" i="3"/>
  <c r="CG15" i="1"/>
  <c r="CG47" i="1"/>
  <c r="L50" i="1"/>
  <c r="L20" i="1"/>
  <c r="CL50" i="1"/>
  <c r="CL20" i="1"/>
  <c r="CD104" i="3"/>
  <c r="CD47" i="1"/>
  <c r="CD15" i="1"/>
  <c r="K104" i="3"/>
  <c r="H47" i="1"/>
  <c r="H15" i="1"/>
  <c r="AA104" i="3"/>
  <c r="X47" i="1"/>
  <c r="X15" i="1"/>
  <c r="AI104" i="3"/>
  <c r="AF47" i="1"/>
  <c r="AF15" i="1"/>
  <c r="BG104" i="3"/>
  <c r="BD47" i="1"/>
  <c r="BD15" i="1"/>
  <c r="CH104" i="3"/>
  <c r="CH47" i="1"/>
  <c r="CH15" i="1"/>
  <c r="BP15" i="1"/>
  <c r="BP47" i="1"/>
  <c r="AQ104" i="3"/>
  <c r="AN47" i="1"/>
  <c r="AN15" i="1"/>
  <c r="T104" i="3"/>
  <c r="Q47" i="1"/>
  <c r="Q15" i="1"/>
  <c r="AJ104" i="3"/>
  <c r="AG47" i="1"/>
  <c r="AG15" i="1"/>
  <c r="AR104" i="3"/>
  <c r="AO47" i="1"/>
  <c r="AO15" i="1"/>
  <c r="AZ104" i="3"/>
  <c r="AW47" i="1"/>
  <c r="AW15" i="1"/>
  <c r="BH104" i="3"/>
  <c r="BE47" i="1"/>
  <c r="BE15" i="1"/>
  <c r="CA104" i="3"/>
  <c r="CA47" i="1"/>
  <c r="CA15" i="1"/>
  <c r="CI15" i="1"/>
  <c r="CI47" i="1"/>
  <c r="AY104" i="3"/>
  <c r="AV47" i="1"/>
  <c r="AV15" i="1"/>
  <c r="L104" i="3"/>
  <c r="I47" i="1"/>
  <c r="I15" i="1"/>
  <c r="BN15" i="1"/>
  <c r="BN47" i="1"/>
  <c r="CJ47" i="1"/>
  <c r="CJ15" i="1"/>
  <c r="D50" i="1"/>
  <c r="D20" i="1"/>
  <c r="W50" i="1"/>
  <c r="W20" i="1"/>
  <c r="S104" i="3"/>
  <c r="P47" i="1"/>
  <c r="P15" i="1"/>
  <c r="BZ104" i="3"/>
  <c r="BZ47" i="1"/>
  <c r="BZ15" i="1"/>
  <c r="AB104" i="3"/>
  <c r="Y47" i="1"/>
  <c r="Y15" i="1"/>
  <c r="CB104" i="3"/>
  <c r="CB47" i="1"/>
  <c r="CB15" i="1"/>
  <c r="CK47" i="1"/>
  <c r="CK15" i="1"/>
  <c r="BX6" i="5"/>
  <c r="BX6" i="6"/>
  <c r="M104" i="3"/>
  <c r="J47" i="1"/>
  <c r="J15" i="1"/>
  <c r="BA104" i="3"/>
  <c r="AX47" i="1"/>
  <c r="AX15" i="1"/>
  <c r="CC104" i="3"/>
  <c r="CC47" i="1"/>
  <c r="BC50" i="1"/>
  <c r="BC20" i="1"/>
  <c r="BY6" i="6"/>
  <c r="BY6" i="5"/>
  <c r="N104" i="3"/>
  <c r="K47" i="1"/>
  <c r="V104" i="3"/>
  <c r="S47" i="1"/>
  <c r="AA47" i="1"/>
  <c r="AD104" i="3"/>
  <c r="AL104" i="3"/>
  <c r="AI47" i="1"/>
  <c r="AT104" i="3"/>
  <c r="AQ47" i="1"/>
  <c r="AY47" i="1"/>
  <c r="BB104" i="3"/>
  <c r="BG47" i="1"/>
  <c r="BJ104" i="3"/>
  <c r="BR47" i="1"/>
  <c r="CM47" i="1"/>
  <c r="K15" i="1"/>
  <c r="AE50" i="1"/>
  <c r="AE20" i="1"/>
  <c r="AQ15" i="1"/>
  <c r="BS15" i="1"/>
  <c r="E29" i="1"/>
  <c r="AC104" i="3"/>
  <c r="Z47" i="1"/>
  <c r="Z15" i="1"/>
  <c r="BQ47" i="1"/>
  <c r="BQ15" i="1"/>
  <c r="AD50" i="1"/>
  <c r="AD20" i="1"/>
  <c r="BZ6" i="6"/>
  <c r="BZ6" i="5"/>
  <c r="AM104" i="3"/>
  <c r="BC104" i="3"/>
  <c r="AZ47" i="1"/>
  <c r="AZ15" i="1"/>
  <c r="BK104" i="3"/>
  <c r="BL47" i="1"/>
  <c r="BH47" i="1"/>
  <c r="BH15" i="1"/>
  <c r="CE104" i="3"/>
  <c r="CE47" i="1"/>
  <c r="BW20" i="1"/>
  <c r="CA6" i="6"/>
  <c r="CA6" i="5"/>
  <c r="BZ7" i="6"/>
  <c r="BZ7" i="5"/>
  <c r="BW104" i="3"/>
  <c r="BW47" i="1"/>
  <c r="AI15" i="1"/>
  <c r="BG20" i="1"/>
  <c r="U104" i="3"/>
  <c r="R15" i="1"/>
  <c r="AE104" i="3"/>
  <c r="AB47" i="1"/>
  <c r="CB6" i="6"/>
  <c r="CB6" i="5"/>
  <c r="CA7" i="6"/>
  <c r="CA7" i="5"/>
  <c r="Q104" i="3"/>
  <c r="N47" i="1"/>
  <c r="Y104" i="3"/>
  <c r="V47" i="1"/>
  <c r="AG104" i="3"/>
  <c r="AD47" i="1"/>
  <c r="AO104" i="3"/>
  <c r="AL47" i="1"/>
  <c r="AW104" i="3"/>
  <c r="AT47" i="1"/>
  <c r="BE104" i="3"/>
  <c r="BB47" i="1"/>
  <c r="BM104" i="3"/>
  <c r="BJ47" i="1"/>
  <c r="BY104" i="3"/>
  <c r="BY47" i="1"/>
  <c r="BY15" i="1"/>
  <c r="N15" i="1"/>
  <c r="AJ15" i="1"/>
  <c r="AU50" i="1"/>
  <c r="AU20" i="1"/>
  <c r="CC15" i="1"/>
  <c r="R47" i="1"/>
  <c r="AK104" i="3"/>
  <c r="AH47" i="1"/>
  <c r="AH15" i="1"/>
  <c r="CL47" i="1"/>
  <c r="AU104" i="3"/>
  <c r="AR47" i="1"/>
  <c r="CC6" i="6"/>
  <c r="CC6" i="5"/>
  <c r="R104" i="3"/>
  <c r="O47" i="1"/>
  <c r="Z104" i="3"/>
  <c r="W47" i="1"/>
  <c r="AH104" i="3"/>
  <c r="AE47" i="1"/>
  <c r="AP104" i="3"/>
  <c r="AM47" i="1"/>
  <c r="AX104" i="3"/>
  <c r="AU47" i="1"/>
  <c r="BF104" i="3"/>
  <c r="BC47" i="1"/>
  <c r="O15" i="1"/>
  <c r="AA15" i="1"/>
  <c r="AJ47" i="1"/>
  <c r="CD6" i="5"/>
  <c r="CD6" i="6"/>
  <c r="BX104" i="3"/>
  <c r="BX47" i="1"/>
  <c r="BX15" i="1"/>
  <c r="CF104" i="3"/>
  <c r="CF47" i="1"/>
  <c r="CF15" i="1"/>
  <c r="CN47" i="1"/>
  <c r="CN15" i="1"/>
  <c r="F15" i="1"/>
  <c r="F20" i="1" s="1"/>
  <c r="F25" i="1" s="1"/>
  <c r="F29" i="1" s="1"/>
  <c r="AB15" i="1"/>
  <c r="AL15" i="1"/>
  <c r="AY15" i="1"/>
  <c r="CE15" i="1"/>
  <c r="BL20" i="1"/>
  <c r="AS104" i="3"/>
  <c r="AP47" i="1"/>
  <c r="AP15" i="1"/>
  <c r="BI104" i="3"/>
  <c r="BF47" i="1"/>
  <c r="BF15" i="1"/>
  <c r="BR50" i="1"/>
  <c r="BR20" i="1"/>
  <c r="T20" i="1"/>
  <c r="L47" i="1"/>
  <c r="O104" i="3"/>
  <c r="W104" i="3"/>
  <c r="T47" i="1"/>
  <c r="V50" i="1"/>
  <c r="V20" i="1"/>
  <c r="AR15" i="1"/>
  <c r="CM20" i="1"/>
  <c r="BW6" i="5"/>
  <c r="BW6" i="6"/>
  <c r="CE6" i="5"/>
  <c r="CE6" i="6"/>
  <c r="G10" i="1"/>
  <c r="G13" i="1" s="1"/>
  <c r="I104" i="3" s="1"/>
  <c r="BK47" i="1"/>
  <c r="S15" i="1"/>
  <c r="AM15" i="1"/>
  <c r="BB15" i="1"/>
  <c r="BO15" i="1"/>
  <c r="BM20" i="1"/>
  <c r="Q109" i="3"/>
  <c r="Q113" i="3"/>
  <c r="AG109" i="3"/>
  <c r="AG113" i="3"/>
  <c r="AO113" i="3"/>
  <c r="AO109" i="3"/>
  <c r="AW113" i="3"/>
  <c r="BE109" i="3"/>
  <c r="BE113" i="3"/>
  <c r="BM113" i="3"/>
  <c r="BM109" i="3"/>
  <c r="BY113" i="3"/>
  <c r="BY109" i="3"/>
  <c r="CG113" i="3"/>
  <c r="Y109" i="3"/>
  <c r="CF113" i="3"/>
  <c r="CA20" i="6"/>
  <c r="N113" i="3"/>
  <c r="N109" i="3"/>
  <c r="V113" i="3"/>
  <c r="V109" i="3"/>
  <c r="AD113" i="3"/>
  <c r="AD109" i="3"/>
  <c r="AL113" i="3"/>
  <c r="AL109" i="3"/>
  <c r="AT113" i="3"/>
  <c r="AT109" i="3"/>
  <c r="BB113" i="3"/>
  <c r="BB109" i="3"/>
  <c r="BJ113" i="3"/>
  <c r="BJ109" i="3"/>
  <c r="BR113" i="3"/>
  <c r="BR109" i="3"/>
  <c r="CD113" i="3"/>
  <c r="CD109" i="3"/>
  <c r="CJ113" i="3"/>
  <c r="H113" i="3"/>
  <c r="H109" i="3"/>
  <c r="P113" i="3"/>
  <c r="P109" i="3"/>
  <c r="X113" i="3"/>
  <c r="X109" i="3"/>
  <c r="AF113" i="3"/>
  <c r="AF109" i="3"/>
  <c r="AN113" i="3"/>
  <c r="AN109" i="3"/>
  <c r="AV113" i="3"/>
  <c r="AV109" i="3"/>
  <c r="BD113" i="3"/>
  <c r="BD109" i="3"/>
  <c r="BL113" i="3"/>
  <c r="BL109" i="3"/>
  <c r="CI20" i="6"/>
  <c r="BN109" i="3"/>
  <c r="CK113" i="3"/>
  <c r="CI105" i="3"/>
  <c r="BO109" i="3"/>
  <c r="CM109" i="3" s="1"/>
  <c r="O20" i="6"/>
  <c r="BY20" i="6"/>
  <c r="BW109" i="3"/>
  <c r="CE109" i="3"/>
  <c r="M109" i="3"/>
  <c r="U109" i="3"/>
  <c r="AC109" i="3"/>
  <c r="AK109" i="3"/>
  <c r="AS109" i="3"/>
  <c r="BA109" i="3"/>
  <c r="BI109" i="3"/>
  <c r="BQ109" i="3"/>
  <c r="CB109" i="3"/>
  <c r="CC109" i="3"/>
  <c r="AF36" i="6"/>
  <c r="AA36" i="6"/>
  <c r="H48" i="5"/>
  <c r="H78" i="5" s="1"/>
  <c r="P48" i="5"/>
  <c r="P78" i="5" s="1"/>
  <c r="X48" i="5"/>
  <c r="X78" i="5" s="1"/>
  <c r="AF48" i="5"/>
  <c r="AF78" i="5" s="1"/>
  <c r="AN48" i="5"/>
  <c r="AV48" i="5"/>
  <c r="BD48" i="5"/>
  <c r="BD78" i="5" s="1"/>
  <c r="BD80" i="5" s="1"/>
  <c r="BH48" i="5"/>
  <c r="BH78" i="5" s="1"/>
  <c r="BP48" i="5"/>
  <c r="BP78" i="5" s="1"/>
  <c r="CB48" i="5"/>
  <c r="CB78" i="5" s="1"/>
  <c r="CJ48" i="5"/>
  <c r="I48" i="5"/>
  <c r="I78" i="5" s="1"/>
  <c r="Q48" i="5"/>
  <c r="Q78" i="5" s="1"/>
  <c r="Y48" i="5"/>
  <c r="Y78" i="5" s="1"/>
  <c r="AG48" i="5"/>
  <c r="AG78" i="5" s="1"/>
  <c r="AO48" i="5"/>
  <c r="AO78" i="5" s="1"/>
  <c r="AW48" i="5"/>
  <c r="BY48" i="5"/>
  <c r="CG48" i="5"/>
  <c r="BA48" i="5"/>
  <c r="BI48" i="5"/>
  <c r="BQ48" i="5"/>
  <c r="BQ78" i="5" s="1"/>
  <c r="BQ80" i="5" s="1"/>
  <c r="BR79" i="5" s="1"/>
  <c r="CC48" i="5"/>
  <c r="CC78" i="5" s="1"/>
  <c r="CK48" i="5"/>
  <c r="CK78" i="5" s="1"/>
  <c r="BR48" i="5"/>
  <c r="BR78" i="5" s="1"/>
  <c r="C48" i="5"/>
  <c r="K48" i="5"/>
  <c r="K78" i="5" s="1"/>
  <c r="S48" i="5"/>
  <c r="S78" i="5" s="1"/>
  <c r="AA48" i="5"/>
  <c r="AI48" i="5"/>
  <c r="AI78" i="5" s="1"/>
  <c r="AQ48" i="5"/>
  <c r="AQ78" i="5" s="1"/>
  <c r="BE48" i="5"/>
  <c r="BE78" i="5" s="1"/>
  <c r="BE80" i="5" s="1"/>
  <c r="BF79" i="5" s="1"/>
  <c r="BM48" i="5"/>
  <c r="BM78" i="5" s="1"/>
  <c r="BM80" i="5" s="1"/>
  <c r="BN79" i="5" s="1"/>
  <c r="F48" i="5"/>
  <c r="AD48" i="5"/>
  <c r="AL48" i="5"/>
  <c r="AL78" i="5" s="1"/>
  <c r="BJ48" i="5"/>
  <c r="BJ78" i="5" s="1"/>
  <c r="BS39" i="7"/>
  <c r="AG39" i="7"/>
  <c r="BP36" i="7"/>
  <c r="BP39" i="7"/>
  <c r="AZ36" i="7"/>
  <c r="AZ39" i="7"/>
  <c r="AQ66" i="7"/>
  <c r="AQ70" i="7" s="1"/>
  <c r="AQ79" i="7"/>
  <c r="CE74" i="7"/>
  <c r="AR79" i="7"/>
  <c r="AR66" i="7"/>
  <c r="AR70" i="7" s="1"/>
  <c r="AD77" i="7"/>
  <c r="AL77" i="7"/>
  <c r="BX74" i="7"/>
  <c r="BY39" i="7"/>
  <c r="AT39" i="7"/>
  <c r="Z79" i="7"/>
  <c r="Z66" i="7"/>
  <c r="Z70" i="7" s="1"/>
  <c r="AD74" i="7" s="1"/>
  <c r="AH79" i="7"/>
  <c r="AH66" i="7"/>
  <c r="AH70" i="7" s="1"/>
  <c r="AL74" i="7" s="1"/>
  <c r="AP79" i="7"/>
  <c r="AP66" i="7"/>
  <c r="AP70" i="7" s="1"/>
  <c r="BD70" i="7"/>
  <c r="BQ77" i="7"/>
  <c r="BQ74" i="7"/>
  <c r="X39" i="7"/>
  <c r="AF39" i="7"/>
  <c r="AF36" i="7"/>
  <c r="AN39" i="7"/>
  <c r="AV39" i="7"/>
  <c r="BZ36" i="7"/>
  <c r="AT41" i="7"/>
  <c r="AS78" i="7"/>
  <c r="AS75" i="7"/>
  <c r="AW75" i="7"/>
  <c r="AA74" i="7"/>
  <c r="AA77" i="7"/>
  <c r="AA79" i="7"/>
  <c r="BX79" i="7"/>
  <c r="CD32" i="7"/>
  <c r="BG39" i="7"/>
  <c r="BB36" i="7"/>
  <c r="AB39" i="7"/>
  <c r="BQ39" i="7"/>
  <c r="AE66" i="7"/>
  <c r="AE70" i="7" s="1"/>
  <c r="AI74" i="7" s="1"/>
  <c r="BI66" i="7"/>
  <c r="BI70" i="7" s="1"/>
  <c r="N77" i="7"/>
  <c r="N74" i="7"/>
  <c r="AH28" i="7"/>
  <c r="AH32" i="7" s="1"/>
  <c r="AU32" i="7"/>
  <c r="BW28" i="7"/>
  <c r="BW32" i="7" s="1"/>
  <c r="AV75" i="7"/>
  <c r="AR78" i="7"/>
  <c r="AT66" i="7"/>
  <c r="AT70" i="7" s="1"/>
  <c r="AT79" i="7"/>
  <c r="AR76" i="7"/>
  <c r="AI79" i="7"/>
  <c r="AA32" i="7"/>
  <c r="AI32" i="7"/>
  <c r="AQ32" i="7"/>
  <c r="AY32" i="7"/>
  <c r="BX32" i="7"/>
  <c r="BK32" i="7"/>
  <c r="BB41" i="7"/>
  <c r="BG77" i="7"/>
  <c r="BL70" i="7"/>
  <c r="CC77" i="7"/>
  <c r="BW74" i="7"/>
  <c r="AR75" i="7"/>
  <c r="BL39" i="7"/>
  <c r="AX79" i="7"/>
  <c r="AX66" i="7"/>
  <c r="AX70" i="7" s="1"/>
  <c r="BB74" i="7" s="1"/>
  <c r="BH79" i="7"/>
  <c r="BH66" i="7"/>
  <c r="BH70" i="7" s="1"/>
  <c r="AJ77" i="7"/>
  <c r="AJ74" i="7"/>
  <c r="AW77" i="7"/>
  <c r="CG77" i="7"/>
  <c r="CA36" i="7"/>
  <c r="AC41" i="7"/>
  <c r="AC28" i="7"/>
  <c r="AC32" i="7" s="1"/>
  <c r="AG36" i="7" s="1"/>
  <c r="AK41" i="7"/>
  <c r="AK28" i="7"/>
  <c r="AK32" i="7" s="1"/>
  <c r="AS41" i="7"/>
  <c r="AS28" i="7"/>
  <c r="AS32" i="7" s="1"/>
  <c r="BI41" i="7"/>
  <c r="BI28" i="7"/>
  <c r="BI32" i="7" s="1"/>
  <c r="Z28" i="7"/>
  <c r="Z32" i="7" s="1"/>
  <c r="AM32" i="7"/>
  <c r="CE39" i="7"/>
  <c r="CE36" i="7"/>
  <c r="BN36" i="7"/>
  <c r="AY77" i="7"/>
  <c r="J77" i="7"/>
  <c r="J74" i="7"/>
  <c r="V77" i="7"/>
  <c r="BB77" i="7"/>
  <c r="CB40" i="7"/>
  <c r="CC37" i="7"/>
  <c r="CB37" i="7"/>
  <c r="BC32" i="7"/>
  <c r="BG36" i="7" s="1"/>
  <c r="CF32" i="7"/>
  <c r="BJ41" i="7"/>
  <c r="AM66" i="7"/>
  <c r="AM70" i="7" s="1"/>
  <c r="BP77" i="7"/>
  <c r="R74" i="7"/>
  <c r="Y77" i="7"/>
  <c r="AY79" i="7"/>
  <c r="CB28" i="7"/>
  <c r="CB32" i="7" s="1"/>
  <c r="X41" i="7"/>
  <c r="AF41" i="7"/>
  <c r="AN41" i="7"/>
  <c r="AV41" i="7"/>
  <c r="BX41" i="7"/>
  <c r="BF66" i="7"/>
  <c r="BF70" i="7" s="1"/>
  <c r="BN66" i="7"/>
  <c r="BN70" i="7" s="1"/>
  <c r="BR74" i="7" s="1"/>
  <c r="BZ66" i="7"/>
  <c r="BZ70" i="7" s="1"/>
  <c r="H74" i="7"/>
  <c r="S74" i="7"/>
  <c r="CC28" i="7"/>
  <c r="CC32" i="7" s="1"/>
  <c r="BE41" i="7"/>
  <c r="BM41" i="7"/>
  <c r="BY41" i="7"/>
  <c r="CA66" i="7"/>
  <c r="CA70" i="7" s="1"/>
  <c r="T74" i="7"/>
  <c r="BA74" i="7"/>
  <c r="AD79" i="7"/>
  <c r="AL79" i="7"/>
  <c r="CD79" i="7"/>
  <c r="CB66" i="7"/>
  <c r="CB70" i="7" s="1"/>
  <c r="CC74" i="7" s="1"/>
  <c r="BC79" i="7"/>
  <c r="BK79" i="7"/>
  <c r="BW79" i="7"/>
  <c r="CF74" i="7"/>
  <c r="CG78" i="5"/>
  <c r="J48" i="5"/>
  <c r="J78" i="5" s="1"/>
  <c r="R48" i="5"/>
  <c r="R78" i="5" s="1"/>
  <c r="Z48" i="5"/>
  <c r="Z78" i="5" s="1"/>
  <c r="AH48" i="5"/>
  <c r="AH78" i="5" s="1"/>
  <c r="AP48" i="5"/>
  <c r="AP78" i="5" s="1"/>
  <c r="AX48" i="5"/>
  <c r="AX78" i="5" s="1"/>
  <c r="AW78" i="5"/>
  <c r="AY48" i="5"/>
  <c r="AY78" i="5" s="1"/>
  <c r="BG48" i="5"/>
  <c r="BO48" i="5"/>
  <c r="BO78" i="5" s="1"/>
  <c r="CA48" i="5"/>
  <c r="CA78" i="5" s="1"/>
  <c r="CI48" i="5"/>
  <c r="BC48" i="5"/>
  <c r="BC78" i="5" s="1"/>
  <c r="BK48" i="5"/>
  <c r="BK78" i="5" s="1"/>
  <c r="BW48" i="5"/>
  <c r="BW78" i="5" s="1"/>
  <c r="CE48" i="5"/>
  <c r="CE78" i="5" s="1"/>
  <c r="CM48" i="5"/>
  <c r="CM78" i="5" s="1"/>
  <c r="AV78" i="5"/>
  <c r="CL78" i="5"/>
  <c r="CL80" i="5" s="1"/>
  <c r="CM79" i="5" s="1"/>
  <c r="CM80" i="5" s="1"/>
  <c r="CN79" i="5" s="1"/>
  <c r="CN80" i="5" s="1"/>
  <c r="D48" i="5"/>
  <c r="D78" i="5" s="1"/>
  <c r="L48" i="5"/>
  <c r="L78" i="5" s="1"/>
  <c r="T48" i="5"/>
  <c r="T78" i="5" s="1"/>
  <c r="AB48" i="5"/>
  <c r="AB78" i="5" s="1"/>
  <c r="AJ48" i="5"/>
  <c r="AJ78" i="5" s="1"/>
  <c r="AR48" i="5"/>
  <c r="AR78" i="5" s="1"/>
  <c r="E48" i="5"/>
  <c r="M48" i="5"/>
  <c r="M78" i="5" s="1"/>
  <c r="U48" i="5"/>
  <c r="U78" i="5" s="1"/>
  <c r="AC48" i="5"/>
  <c r="AC78" i="5" s="1"/>
  <c r="AK48" i="5"/>
  <c r="AK78" i="5" s="1"/>
  <c r="AS48" i="5"/>
  <c r="AS78" i="5" s="1"/>
  <c r="CD78" i="5"/>
  <c r="BF48" i="5"/>
  <c r="BF78" i="5" s="1"/>
  <c r="BN48" i="5"/>
  <c r="BN78" i="5" s="1"/>
  <c r="BZ48" i="5"/>
  <c r="BZ78" i="5" s="1"/>
  <c r="CH48" i="5"/>
  <c r="G48" i="5"/>
  <c r="G78" i="5" s="1"/>
  <c r="W48" i="5"/>
  <c r="W78" i="5" s="1"/>
  <c r="AE48" i="5"/>
  <c r="AE78" i="5" s="1"/>
  <c r="AM48" i="5"/>
  <c r="AM78" i="5" s="1"/>
  <c r="AU48" i="5"/>
  <c r="AU78" i="5" s="1"/>
  <c r="E78" i="5"/>
  <c r="O48" i="5"/>
  <c r="O78" i="5" s="1"/>
  <c r="BL48" i="5"/>
  <c r="BX48" i="5"/>
  <c r="BX78" i="5" s="1"/>
  <c r="CF48" i="5"/>
  <c r="CF78" i="5" s="1"/>
  <c r="AZ48" i="5"/>
  <c r="AZ78" i="5" s="1"/>
  <c r="CJ78" i="5"/>
  <c r="F78" i="5"/>
  <c r="N78" i="5"/>
  <c r="V78" i="5"/>
  <c r="AD78" i="5"/>
  <c r="AT78" i="5"/>
  <c r="BY78" i="5"/>
  <c r="AN78" i="5"/>
  <c r="BG78" i="5"/>
  <c r="BG80" i="5" s="1"/>
  <c r="BH79" i="5" s="1"/>
  <c r="CI78" i="5"/>
  <c r="C78" i="5"/>
  <c r="AA78" i="5"/>
  <c r="BA78" i="5"/>
  <c r="BI78" i="5"/>
  <c r="CH78" i="5"/>
  <c r="BL78" i="5"/>
  <c r="BS47" i="6"/>
  <c r="BS36" i="6" s="1"/>
  <c r="CN47" i="6"/>
  <c r="CN38" i="6"/>
  <c r="CH80" i="3" l="1"/>
  <c r="CH93" i="3" s="1"/>
  <c r="AW46" i="3"/>
  <c r="CJ80" i="3"/>
  <c r="CG80" i="3"/>
  <c r="CG93" i="3" s="1"/>
  <c r="BO103" i="3"/>
  <c r="CM103" i="3" s="1"/>
  <c r="CM111" i="3"/>
  <c r="CG102" i="3"/>
  <c r="CG103" i="3" s="1"/>
  <c r="AX109" i="3"/>
  <c r="CL80" i="3"/>
  <c r="CG23" i="3"/>
  <c r="AG74" i="7"/>
  <c r="AX36" i="7"/>
  <c r="BR36" i="7"/>
  <c r="AN36" i="7"/>
  <c r="AB74" i="7"/>
  <c r="BD39" i="7"/>
  <c r="AB36" i="7"/>
  <c r="BC74" i="7"/>
  <c r="AE36" i="7"/>
  <c r="AF74" i="7"/>
  <c r="AK74" i="7"/>
  <c r="BQ36" i="7"/>
  <c r="CG39" i="7"/>
  <c r="AL36" i="7"/>
  <c r="AO74" i="7"/>
  <c r="AN74" i="7"/>
  <c r="AV77" i="7"/>
  <c r="AC74" i="7"/>
  <c r="BO36" i="7"/>
  <c r="BO74" i="7"/>
  <c r="CD77" i="7"/>
  <c r="BS36" i="7"/>
  <c r="BK77" i="7"/>
  <c r="BE77" i="7"/>
  <c r="AJ36" i="7"/>
  <c r="X74" i="7"/>
  <c r="AW39" i="7"/>
  <c r="BF80" i="5"/>
  <c r="C113" i="3"/>
  <c r="BK20" i="1"/>
  <c r="BP107" i="3"/>
  <c r="BQ103" i="3"/>
  <c r="BP103" i="3"/>
  <c r="BO107" i="3"/>
  <c r="CM107" i="3" s="1"/>
  <c r="CN104" i="3"/>
  <c r="CN111" i="3"/>
  <c r="BS107" i="3"/>
  <c r="CN107" i="3" s="1"/>
  <c r="G104" i="3"/>
  <c r="G107" i="3" s="1"/>
  <c r="BR103" i="3"/>
  <c r="BH36" i="7"/>
  <c r="BH39" i="7"/>
  <c r="BL36" i="7"/>
  <c r="AR36" i="7"/>
  <c r="BY74" i="7"/>
  <c r="Y39" i="7"/>
  <c r="AT36" i="7"/>
  <c r="BJ39" i="7"/>
  <c r="BJ36" i="7"/>
  <c r="AO36" i="7"/>
  <c r="AP36" i="7"/>
  <c r="BF36" i="7"/>
  <c r="AV36" i="7"/>
  <c r="CH108" i="3"/>
  <c r="CH9" i="3"/>
  <c r="CH46" i="3" s="1"/>
  <c r="CG46" i="3"/>
  <c r="CN102" i="3"/>
  <c r="BS103" i="3"/>
  <c r="CN103" i="3" s="1"/>
  <c r="CM80" i="3"/>
  <c r="BO93" i="3"/>
  <c r="CM93" i="3" s="1"/>
  <c r="BG93" i="3"/>
  <c r="CK93" i="3" s="1"/>
  <c r="CK80" i="3"/>
  <c r="I107" i="3"/>
  <c r="I103" i="3"/>
  <c r="BF50" i="1"/>
  <c r="BF20" i="1"/>
  <c r="AH107" i="3"/>
  <c r="AH103" i="3"/>
  <c r="BW49" i="1"/>
  <c r="BW52" i="1"/>
  <c r="BW25" i="1"/>
  <c r="BW29" i="1" s="1"/>
  <c r="AX50" i="1"/>
  <c r="AX20" i="1"/>
  <c r="BZ50" i="1"/>
  <c r="BZ20" i="1"/>
  <c r="CA103" i="3"/>
  <c r="CA111" i="3"/>
  <c r="CA107" i="3"/>
  <c r="AN50" i="1"/>
  <c r="AN20" i="1"/>
  <c r="BI50" i="1"/>
  <c r="BI20" i="1"/>
  <c r="BM49" i="1" s="1"/>
  <c r="U50" i="1"/>
  <c r="U20" i="1"/>
  <c r="AY50" i="1"/>
  <c r="AY20" i="1"/>
  <c r="BC49" i="1" s="1"/>
  <c r="O50" i="1"/>
  <c r="O20" i="1"/>
  <c r="AU103" i="3"/>
  <c r="AU107" i="3"/>
  <c r="AI50" i="1"/>
  <c r="AI20" i="1"/>
  <c r="CK50" i="1"/>
  <c r="CK20" i="1"/>
  <c r="CL49" i="1" s="1"/>
  <c r="D52" i="1"/>
  <c r="D25" i="1"/>
  <c r="D29" i="1" s="1"/>
  <c r="L103" i="3"/>
  <c r="L107" i="3"/>
  <c r="BD50" i="1"/>
  <c r="BD20" i="1"/>
  <c r="AA107" i="3"/>
  <c r="AA103" i="3"/>
  <c r="BM52" i="1"/>
  <c r="BM25" i="1"/>
  <c r="BM29" i="1" s="1"/>
  <c r="W103" i="3"/>
  <c r="W107" i="3"/>
  <c r="AL50" i="1"/>
  <c r="AL20" i="1"/>
  <c r="BX50" i="1"/>
  <c r="BX20" i="1"/>
  <c r="AU52" i="1"/>
  <c r="AU25" i="1"/>
  <c r="AU29" i="1" s="1"/>
  <c r="BM103" i="3"/>
  <c r="BM107" i="3"/>
  <c r="AG107" i="3"/>
  <c r="AG103" i="3"/>
  <c r="BC103" i="3"/>
  <c r="BC107" i="3"/>
  <c r="CJ104" i="3"/>
  <c r="Z50" i="1"/>
  <c r="Z20" i="1"/>
  <c r="K50" i="1"/>
  <c r="K20" i="1"/>
  <c r="AT107" i="3"/>
  <c r="AT103" i="3"/>
  <c r="N107" i="3"/>
  <c r="N103" i="3"/>
  <c r="AV50" i="1"/>
  <c r="AV20" i="1"/>
  <c r="BE50" i="1"/>
  <c r="BE20" i="1"/>
  <c r="AR103" i="3"/>
  <c r="AR107" i="3"/>
  <c r="H50" i="1"/>
  <c r="H20" i="1"/>
  <c r="L49" i="1"/>
  <c r="L52" i="1"/>
  <c r="L25" i="1"/>
  <c r="L29" i="1" s="1"/>
  <c r="AV107" i="3"/>
  <c r="AV103" i="3"/>
  <c r="CF111" i="3"/>
  <c r="CF107" i="3"/>
  <c r="CF103" i="3"/>
  <c r="BO50" i="1"/>
  <c r="BO20" i="1"/>
  <c r="BI107" i="3"/>
  <c r="BI103" i="3"/>
  <c r="Z103" i="3"/>
  <c r="Z107" i="3"/>
  <c r="AH50" i="1"/>
  <c r="AH20" i="1"/>
  <c r="BW111" i="3"/>
  <c r="BW107" i="3"/>
  <c r="BW103" i="3"/>
  <c r="C104" i="3"/>
  <c r="AM103" i="3"/>
  <c r="AM107" i="3"/>
  <c r="BA107" i="3"/>
  <c r="BA103" i="3"/>
  <c r="CB50" i="1"/>
  <c r="CB20" i="1"/>
  <c r="BZ103" i="3"/>
  <c r="BZ111" i="3"/>
  <c r="BZ107" i="3"/>
  <c r="CJ50" i="1"/>
  <c r="CJ20" i="1"/>
  <c r="AG50" i="1"/>
  <c r="AG20" i="1"/>
  <c r="AQ103" i="3"/>
  <c r="AQ107" i="3"/>
  <c r="BG107" i="3"/>
  <c r="CK104" i="3"/>
  <c r="BG103" i="3"/>
  <c r="AK50" i="1"/>
  <c r="AK20" i="1"/>
  <c r="X107" i="3"/>
  <c r="X103" i="3"/>
  <c r="O103" i="3"/>
  <c r="O107" i="3"/>
  <c r="AB50" i="1"/>
  <c r="AB20" i="1"/>
  <c r="BF103" i="3"/>
  <c r="BF107" i="3"/>
  <c r="CE111" i="3"/>
  <c r="CE107" i="3"/>
  <c r="CE103" i="3"/>
  <c r="CI113" i="3"/>
  <c r="CI109" i="3"/>
  <c r="BB50" i="1"/>
  <c r="BB20" i="1"/>
  <c r="AP50" i="1"/>
  <c r="AP20" i="1"/>
  <c r="F30" i="1"/>
  <c r="F31" i="1"/>
  <c r="BX107" i="3"/>
  <c r="BX103" i="3"/>
  <c r="BX111" i="3"/>
  <c r="AJ50" i="1"/>
  <c r="AJ20" i="1"/>
  <c r="BE103" i="3"/>
  <c r="BE107" i="3"/>
  <c r="Y107" i="3"/>
  <c r="Y103" i="3"/>
  <c r="H104" i="3"/>
  <c r="BH50" i="1"/>
  <c r="BH20" i="1"/>
  <c r="BL49" i="1" s="1"/>
  <c r="AC107" i="3"/>
  <c r="AC103" i="3"/>
  <c r="AL107" i="3"/>
  <c r="AL103" i="3"/>
  <c r="J50" i="1"/>
  <c r="J20" i="1"/>
  <c r="P50" i="1"/>
  <c r="P20" i="1"/>
  <c r="AY103" i="3"/>
  <c r="AY107" i="3"/>
  <c r="CI104" i="3"/>
  <c r="BH107" i="3"/>
  <c r="BH103" i="3"/>
  <c r="AF50" i="1"/>
  <c r="AF20" i="1"/>
  <c r="K107" i="3"/>
  <c r="K103" i="3"/>
  <c r="BL107" i="3"/>
  <c r="BL103" i="3"/>
  <c r="M50" i="1"/>
  <c r="M20" i="1"/>
  <c r="AK107" i="3"/>
  <c r="AK103" i="3"/>
  <c r="N50" i="1"/>
  <c r="N20" i="1"/>
  <c r="AE103" i="3"/>
  <c r="AE107" i="3"/>
  <c r="E31" i="1"/>
  <c r="E30" i="1"/>
  <c r="BJ107" i="3"/>
  <c r="BJ103" i="3"/>
  <c r="AD107" i="3"/>
  <c r="AD103" i="3"/>
  <c r="BC52" i="1"/>
  <c r="BC25" i="1"/>
  <c r="BC29" i="1" s="1"/>
  <c r="CB111" i="3"/>
  <c r="CB107" i="3"/>
  <c r="CB103" i="3"/>
  <c r="AW50" i="1"/>
  <c r="AW20" i="1"/>
  <c r="AJ107" i="3"/>
  <c r="AJ103" i="3"/>
  <c r="BP50" i="1"/>
  <c r="BP20" i="1"/>
  <c r="BT49" i="1" s="1"/>
  <c r="CD50" i="1"/>
  <c r="CD20" i="1"/>
  <c r="CG50" i="1"/>
  <c r="CG20" i="1"/>
  <c r="BA50" i="1"/>
  <c r="BA20" i="1"/>
  <c r="AN107" i="3"/>
  <c r="AN103" i="3"/>
  <c r="BY50" i="1"/>
  <c r="BY20" i="1"/>
  <c r="AW107" i="3"/>
  <c r="AW103" i="3"/>
  <c r="Q103" i="3"/>
  <c r="Q107" i="3"/>
  <c r="R50" i="1"/>
  <c r="R20" i="1"/>
  <c r="V49" i="1" s="1"/>
  <c r="AD49" i="1"/>
  <c r="AD52" i="1"/>
  <c r="AD25" i="1"/>
  <c r="AD29" i="1" s="1"/>
  <c r="BS50" i="1"/>
  <c r="BS20" i="1"/>
  <c r="M107" i="3"/>
  <c r="M103" i="3"/>
  <c r="Y50" i="1"/>
  <c r="Y20" i="1"/>
  <c r="S107" i="3"/>
  <c r="S103" i="3"/>
  <c r="BN50" i="1"/>
  <c r="BN20" i="1"/>
  <c r="BR49" i="1" s="1"/>
  <c r="CI50" i="1"/>
  <c r="CI20" i="1"/>
  <c r="Q50" i="1"/>
  <c r="Q20" i="1"/>
  <c r="CH50" i="1"/>
  <c r="CH20" i="1"/>
  <c r="AI107" i="3"/>
  <c r="AI103" i="3"/>
  <c r="CG107" i="3"/>
  <c r="CG111" i="3"/>
  <c r="AC50" i="1"/>
  <c r="AC20" i="1"/>
  <c r="P107" i="3"/>
  <c r="P103" i="3"/>
  <c r="AX107" i="3"/>
  <c r="AX103" i="3"/>
  <c r="R103" i="3"/>
  <c r="R107" i="3"/>
  <c r="S50" i="1"/>
  <c r="S20" i="1"/>
  <c r="AR50" i="1"/>
  <c r="AR20" i="1"/>
  <c r="T52" i="1"/>
  <c r="T49" i="1"/>
  <c r="T25" i="1"/>
  <c r="T29" i="1" s="1"/>
  <c r="AS107" i="3"/>
  <c r="AS103" i="3"/>
  <c r="V52" i="1"/>
  <c r="V25" i="1"/>
  <c r="V29" i="1" s="1"/>
  <c r="BR25" i="1"/>
  <c r="BR29" i="1" s="1"/>
  <c r="BR52" i="1"/>
  <c r="BL52" i="1"/>
  <c r="BL25" i="1"/>
  <c r="BL29" i="1" s="1"/>
  <c r="CF50" i="1"/>
  <c r="CF20" i="1"/>
  <c r="AP103" i="3"/>
  <c r="AP107" i="3"/>
  <c r="CC50" i="1"/>
  <c r="CC20" i="1"/>
  <c r="U107" i="3"/>
  <c r="U103" i="3"/>
  <c r="BK103" i="3"/>
  <c r="BK107" i="3"/>
  <c r="CL104" i="3"/>
  <c r="AQ50" i="1"/>
  <c r="AQ20" i="1"/>
  <c r="BB107" i="3"/>
  <c r="BB103" i="3"/>
  <c r="W52" i="1"/>
  <c r="W25" i="1"/>
  <c r="W29" i="1" s="1"/>
  <c r="I50" i="1"/>
  <c r="I20" i="1"/>
  <c r="CA50" i="1"/>
  <c r="CA20" i="1"/>
  <c r="AZ103" i="3"/>
  <c r="AZ107" i="3"/>
  <c r="X50" i="1"/>
  <c r="X20" i="1"/>
  <c r="CD103" i="3"/>
  <c r="CD111" i="3"/>
  <c r="CD107" i="3"/>
  <c r="BJ52" i="1"/>
  <c r="BJ49" i="1"/>
  <c r="BJ25" i="1"/>
  <c r="BJ29" i="1" s="1"/>
  <c r="BD107" i="3"/>
  <c r="BD103" i="3"/>
  <c r="AT49" i="1"/>
  <c r="AT52" i="1"/>
  <c r="AT25" i="1"/>
  <c r="AT29" i="1" s="1"/>
  <c r="AM50" i="1"/>
  <c r="AM20" i="1"/>
  <c r="CM49" i="1"/>
  <c r="CM52" i="1"/>
  <c r="CM25" i="1"/>
  <c r="CM29" i="1" s="1"/>
  <c r="CN50" i="1"/>
  <c r="CN20" i="1"/>
  <c r="J104" i="3"/>
  <c r="G15" i="1"/>
  <c r="CE50" i="1"/>
  <c r="CE20" i="1"/>
  <c r="AA50" i="1"/>
  <c r="AA20" i="1"/>
  <c r="BK52" i="1"/>
  <c r="BK49" i="1"/>
  <c r="BK25" i="1"/>
  <c r="BK29" i="1" s="1"/>
  <c r="BY103" i="3"/>
  <c r="BY107" i="3"/>
  <c r="BY111" i="3"/>
  <c r="AO107" i="3"/>
  <c r="AO103" i="3"/>
  <c r="BG52" i="1"/>
  <c r="BG49" i="1"/>
  <c r="BG25" i="1"/>
  <c r="BG29" i="1" s="1"/>
  <c r="AZ50" i="1"/>
  <c r="AZ20" i="1"/>
  <c r="BQ50" i="1"/>
  <c r="BQ20" i="1"/>
  <c r="AE52" i="1"/>
  <c r="AE25" i="1"/>
  <c r="AE29" i="1" s="1"/>
  <c r="V107" i="3"/>
  <c r="V103" i="3"/>
  <c r="CC111" i="3"/>
  <c r="CC107" i="3"/>
  <c r="CC103" i="3"/>
  <c r="AB107" i="3"/>
  <c r="AB103" i="3"/>
  <c r="AO50" i="1"/>
  <c r="AO20" i="1"/>
  <c r="T107" i="3"/>
  <c r="T103" i="3"/>
  <c r="CH107" i="3"/>
  <c r="CH111" i="3"/>
  <c r="CL52" i="1"/>
  <c r="CL25" i="1"/>
  <c r="CL29" i="1" s="1"/>
  <c r="AS50" i="1"/>
  <c r="AS20" i="1"/>
  <c r="AF107" i="3"/>
  <c r="AF103" i="3"/>
  <c r="BR80" i="5"/>
  <c r="BS79" i="5" s="1"/>
  <c r="BH80" i="5"/>
  <c r="BI79" i="5" s="1"/>
  <c r="BI80" i="5" s="1"/>
  <c r="BJ79" i="5" s="1"/>
  <c r="BJ80" i="5" s="1"/>
  <c r="BK79" i="5" s="1"/>
  <c r="BK80" i="5" s="1"/>
  <c r="BL79" i="5" s="1"/>
  <c r="Z39" i="7"/>
  <c r="Z36" i="7"/>
  <c r="BH77" i="7"/>
  <c r="BH74" i="7"/>
  <c r="CB77" i="7"/>
  <c r="CB74" i="7"/>
  <c r="CF39" i="7"/>
  <c r="CF36" i="7"/>
  <c r="BK39" i="7"/>
  <c r="BK36" i="7"/>
  <c r="BF77" i="7"/>
  <c r="BF74" i="7"/>
  <c r="AS36" i="7"/>
  <c r="AS39" i="7"/>
  <c r="AX77" i="7"/>
  <c r="AX74" i="7"/>
  <c r="BL77" i="7"/>
  <c r="BL74" i="7"/>
  <c r="BX39" i="7"/>
  <c r="BX36" i="7"/>
  <c r="BJ74" i="7"/>
  <c r="BI39" i="7"/>
  <c r="BI36" i="7"/>
  <c r="CC39" i="7"/>
  <c r="CC36" i="7"/>
  <c r="AY39" i="7"/>
  <c r="AY36" i="7"/>
  <c r="AU77" i="7"/>
  <c r="AU74" i="7"/>
  <c r="BI77" i="7"/>
  <c r="BI74" i="7"/>
  <c r="AP77" i="7"/>
  <c r="AP74" i="7"/>
  <c r="AR77" i="7"/>
  <c r="AR74" i="7"/>
  <c r="AQ74" i="7"/>
  <c r="AQ77" i="7"/>
  <c r="CA77" i="7"/>
  <c r="CA74" i="7"/>
  <c r="BP74" i="7"/>
  <c r="BC39" i="7"/>
  <c r="BC36" i="7"/>
  <c r="AZ77" i="7"/>
  <c r="AZ74" i="7"/>
  <c r="AK39" i="7"/>
  <c r="AK36" i="7"/>
  <c r="AQ39" i="7"/>
  <c r="AQ36" i="7"/>
  <c r="BW39" i="7"/>
  <c r="BW36" i="7"/>
  <c r="AE77" i="7"/>
  <c r="AE74" i="7"/>
  <c r="CD39" i="7"/>
  <c r="CD36" i="7"/>
  <c r="AD36" i="7"/>
  <c r="BD77" i="7"/>
  <c r="BD74" i="7"/>
  <c r="BY36" i="7"/>
  <c r="AT74" i="7"/>
  <c r="AT77" i="7"/>
  <c r="AI39" i="7"/>
  <c r="AI36" i="7"/>
  <c r="AU39" i="7"/>
  <c r="AU36" i="7"/>
  <c r="AW36" i="7"/>
  <c r="AH77" i="7"/>
  <c r="AH74" i="7"/>
  <c r="BZ77" i="7"/>
  <c r="BZ74" i="7"/>
  <c r="CB36" i="7"/>
  <c r="CB39" i="7"/>
  <c r="AM77" i="7"/>
  <c r="AM74" i="7"/>
  <c r="AM39" i="7"/>
  <c r="AM36" i="7"/>
  <c r="AC39" i="7"/>
  <c r="AC36" i="7"/>
  <c r="AA39" i="7"/>
  <c r="AA36" i="7"/>
  <c r="AH39" i="7"/>
  <c r="AH36" i="7"/>
  <c r="AS66" i="7"/>
  <c r="AS70" i="7" s="1"/>
  <c r="AS79" i="7"/>
  <c r="CG36" i="7"/>
  <c r="BN77" i="7"/>
  <c r="BN74" i="7"/>
  <c r="Z77" i="7"/>
  <c r="Z74" i="7"/>
  <c r="BM36" i="7"/>
  <c r="BM74" i="7"/>
  <c r="BN80" i="5"/>
  <c r="BO79" i="5" s="1"/>
  <c r="BO80" i="5" s="1"/>
  <c r="BP79" i="5" s="1"/>
  <c r="CN36" i="6"/>
  <c r="G103" i="3" l="1"/>
  <c r="CH102" i="3"/>
  <c r="CH103" i="3" s="1"/>
  <c r="CH109" i="3"/>
  <c r="AA52" i="1"/>
  <c r="AA49" i="1"/>
  <c r="AA25" i="1"/>
  <c r="AA29" i="1" s="1"/>
  <c r="CA52" i="1"/>
  <c r="CA49" i="1"/>
  <c r="CA25" i="1"/>
  <c r="CA29" i="1" s="1"/>
  <c r="CF49" i="1"/>
  <c r="CF52" i="1"/>
  <c r="CF25" i="1"/>
  <c r="CF29" i="1" s="1"/>
  <c r="V53" i="1"/>
  <c r="V30" i="1"/>
  <c r="V31" i="1"/>
  <c r="V36" i="1"/>
  <c r="V40" i="1" s="1"/>
  <c r="Q49" i="1"/>
  <c r="Q52" i="1"/>
  <c r="Q25" i="1"/>
  <c r="Q29" i="1" s="1"/>
  <c r="AD53" i="1"/>
  <c r="AD30" i="1"/>
  <c r="AD31" i="1"/>
  <c r="AD36" i="1"/>
  <c r="AD40" i="1" s="1"/>
  <c r="BA49" i="1"/>
  <c r="BA52" i="1"/>
  <c r="BA25" i="1"/>
  <c r="BA29" i="1" s="1"/>
  <c r="BC53" i="1"/>
  <c r="BC30" i="1"/>
  <c r="BC36" i="1"/>
  <c r="BC40" i="1" s="1"/>
  <c r="BC31" i="1"/>
  <c r="CI107" i="3"/>
  <c r="CI103" i="3"/>
  <c r="CI111" i="3"/>
  <c r="H107" i="3"/>
  <c r="H103" i="3"/>
  <c r="BB52" i="1"/>
  <c r="BB49" i="1"/>
  <c r="BB25" i="1"/>
  <c r="BB29" i="1" s="1"/>
  <c r="AV49" i="1"/>
  <c r="AV52" i="1"/>
  <c r="AV25" i="1"/>
  <c r="AV29" i="1" s="1"/>
  <c r="K52" i="1"/>
  <c r="K25" i="1"/>
  <c r="K29" i="1" s="1"/>
  <c r="BM53" i="1"/>
  <c r="BM31" i="1"/>
  <c r="BM36" i="1"/>
  <c r="BM40" i="1" s="1"/>
  <c r="BM30" i="1"/>
  <c r="U49" i="1"/>
  <c r="U52" i="1"/>
  <c r="U25" i="1"/>
  <c r="U29" i="1" s="1"/>
  <c r="AO49" i="1"/>
  <c r="AO52" i="1"/>
  <c r="AO25" i="1"/>
  <c r="AO29" i="1" s="1"/>
  <c r="AZ52" i="1"/>
  <c r="AZ49" i="1"/>
  <c r="AZ25" i="1"/>
  <c r="AZ29" i="1" s="1"/>
  <c r="CE49" i="1"/>
  <c r="CE52" i="1"/>
  <c r="CE25" i="1"/>
  <c r="CE29" i="1" s="1"/>
  <c r="AR52" i="1"/>
  <c r="AR49" i="1"/>
  <c r="AR25" i="1"/>
  <c r="AR29" i="1" s="1"/>
  <c r="Y52" i="1"/>
  <c r="Y49" i="1"/>
  <c r="Y25" i="1"/>
  <c r="Y29" i="1" s="1"/>
  <c r="H49" i="1"/>
  <c r="H52" i="1"/>
  <c r="H25" i="1"/>
  <c r="H29" i="1" s="1"/>
  <c r="BX49" i="1"/>
  <c r="BX25" i="1"/>
  <c r="BX29" i="1" s="1"/>
  <c r="BX52" i="1"/>
  <c r="BZ52" i="1"/>
  <c r="BZ49" i="1"/>
  <c r="BZ25" i="1"/>
  <c r="BZ29" i="1" s="1"/>
  <c r="I49" i="1"/>
  <c r="I52" i="1"/>
  <c r="I25" i="1"/>
  <c r="I29" i="1" s="1"/>
  <c r="CG52" i="1"/>
  <c r="CG49" i="1"/>
  <c r="CG25" i="1"/>
  <c r="CG29" i="1" s="1"/>
  <c r="AB52" i="1"/>
  <c r="AB49" i="1"/>
  <c r="AB25" i="1"/>
  <c r="AB29" i="1" s="1"/>
  <c r="CB52" i="1"/>
  <c r="CB49" i="1"/>
  <c r="CB25" i="1"/>
  <c r="CB29" i="1" s="1"/>
  <c r="Z52" i="1"/>
  <c r="Z49" i="1"/>
  <c r="Z25" i="1"/>
  <c r="Z29" i="1" s="1"/>
  <c r="BG53" i="1"/>
  <c r="BG36" i="1"/>
  <c r="BG40" i="1" s="1"/>
  <c r="BG31" i="1"/>
  <c r="BG30" i="1"/>
  <c r="CC49" i="1"/>
  <c r="CC52" i="1"/>
  <c r="CC25" i="1"/>
  <c r="CC29" i="1" s="1"/>
  <c r="AW49" i="1"/>
  <c r="AW52" i="1"/>
  <c r="AW25" i="1"/>
  <c r="AW29" i="1" s="1"/>
  <c r="BQ52" i="1"/>
  <c r="BQ49" i="1"/>
  <c r="BQ25" i="1"/>
  <c r="BQ29" i="1" s="1"/>
  <c r="CM53" i="1"/>
  <c r="CM31" i="1"/>
  <c r="CM30" i="1"/>
  <c r="CM36" i="1"/>
  <c r="CM40" i="1" s="1"/>
  <c r="AQ52" i="1"/>
  <c r="AQ49" i="1"/>
  <c r="AQ25" i="1"/>
  <c r="AQ29" i="1" s="1"/>
  <c r="BL53" i="1"/>
  <c r="BL31" i="1"/>
  <c r="BL30" i="1"/>
  <c r="BL36" i="1"/>
  <c r="BL40" i="1" s="1"/>
  <c r="AK52" i="1"/>
  <c r="AK49" i="1"/>
  <c r="AK25" i="1"/>
  <c r="AK29" i="1" s="1"/>
  <c r="C107" i="3"/>
  <c r="C103" i="3"/>
  <c r="BI52" i="1"/>
  <c r="BI25" i="1"/>
  <c r="BI29" i="1" s="1"/>
  <c r="BI49" i="1"/>
  <c r="M52" i="1"/>
  <c r="M49" i="1"/>
  <c r="M25" i="1"/>
  <c r="M29" i="1" s="1"/>
  <c r="AG49" i="1"/>
  <c r="AG52" i="1"/>
  <c r="AG25" i="1"/>
  <c r="AG29" i="1" s="1"/>
  <c r="AL49" i="1"/>
  <c r="AL52" i="1"/>
  <c r="AL25" i="1"/>
  <c r="AL29" i="1" s="1"/>
  <c r="D53" i="1"/>
  <c r="D31" i="1"/>
  <c r="D30" i="1"/>
  <c r="D36" i="1"/>
  <c r="D40" i="1" s="1"/>
  <c r="AX52" i="1"/>
  <c r="AX49" i="1"/>
  <c r="AX25" i="1"/>
  <c r="AX29" i="1" s="1"/>
  <c r="BF52" i="1"/>
  <c r="BF49" i="1"/>
  <c r="BF25" i="1"/>
  <c r="BF29" i="1" s="1"/>
  <c r="AE30" i="1"/>
  <c r="AE36" i="1"/>
  <c r="AE40" i="1" s="1"/>
  <c r="AE53" i="1"/>
  <c r="AE31" i="1"/>
  <c r="BK53" i="1"/>
  <c r="BK30" i="1"/>
  <c r="BK36" i="1"/>
  <c r="BK40" i="1" s="1"/>
  <c r="BK31" i="1"/>
  <c r="J107" i="3"/>
  <c r="J103" i="3"/>
  <c r="W53" i="1"/>
  <c r="W30" i="1"/>
  <c r="W36" i="1"/>
  <c r="W40" i="1" s="1"/>
  <c r="W31" i="1"/>
  <c r="BN52" i="1"/>
  <c r="BN49" i="1"/>
  <c r="BN25" i="1"/>
  <c r="BN29" i="1" s="1"/>
  <c r="CD52" i="1"/>
  <c r="CD49" i="1"/>
  <c r="CD25" i="1"/>
  <c r="CD29" i="1" s="1"/>
  <c r="P52" i="1"/>
  <c r="P49" i="1"/>
  <c r="P25" i="1"/>
  <c r="P29" i="1" s="1"/>
  <c r="CJ111" i="3"/>
  <c r="CJ107" i="3"/>
  <c r="CJ103" i="3"/>
  <c r="O52" i="1"/>
  <c r="O49" i="1"/>
  <c r="O25" i="1"/>
  <c r="O29" i="1" s="1"/>
  <c r="AN49" i="1"/>
  <c r="AN52" i="1"/>
  <c r="AN25" i="1"/>
  <c r="AN29" i="1" s="1"/>
  <c r="AT53" i="1"/>
  <c r="AT30" i="1"/>
  <c r="AT31" i="1"/>
  <c r="AT36" i="1"/>
  <c r="AT40" i="1" s="1"/>
  <c r="CI52" i="1"/>
  <c r="CI49" i="1"/>
  <c r="CI25" i="1"/>
  <c r="CI29" i="1" s="1"/>
  <c r="G50" i="1"/>
  <c r="G20" i="1"/>
  <c r="X52" i="1"/>
  <c r="X49" i="1"/>
  <c r="X25" i="1"/>
  <c r="X29" i="1" s="1"/>
  <c r="S52" i="1"/>
  <c r="S49" i="1"/>
  <c r="S25" i="1"/>
  <c r="S29" i="1" s="1"/>
  <c r="R52" i="1"/>
  <c r="R49" i="1"/>
  <c r="R25" i="1"/>
  <c r="R29" i="1" s="1"/>
  <c r="BY52" i="1"/>
  <c r="BY49" i="1"/>
  <c r="BY25" i="1"/>
  <c r="BY29" i="1" s="1"/>
  <c r="AF49" i="1"/>
  <c r="AF25" i="1"/>
  <c r="AF29" i="1" s="1"/>
  <c r="AF52" i="1"/>
  <c r="AE49" i="1"/>
  <c r="CN49" i="1"/>
  <c r="CN52" i="1"/>
  <c r="CN25" i="1"/>
  <c r="CN29" i="1" s="1"/>
  <c r="AM52" i="1"/>
  <c r="AM49" i="1"/>
  <c r="AM25" i="1"/>
  <c r="AM29" i="1" s="1"/>
  <c r="BJ53" i="1"/>
  <c r="BJ30" i="1"/>
  <c r="BJ31" i="1"/>
  <c r="BJ36" i="1"/>
  <c r="BJ40" i="1" s="1"/>
  <c r="W49" i="1"/>
  <c r="CL103" i="3"/>
  <c r="CL111" i="3"/>
  <c r="CL107" i="3"/>
  <c r="CJ52" i="1"/>
  <c r="CJ49" i="1"/>
  <c r="CJ25" i="1"/>
  <c r="CJ29" i="1" s="1"/>
  <c r="CK52" i="1"/>
  <c r="CK49" i="1"/>
  <c r="CK25" i="1"/>
  <c r="CK29" i="1" s="1"/>
  <c r="BW53" i="1"/>
  <c r="BW31" i="1"/>
  <c r="BW30" i="1"/>
  <c r="BW36" i="1"/>
  <c r="BW40" i="1" s="1"/>
  <c r="CL53" i="1"/>
  <c r="CL30" i="1"/>
  <c r="CL36" i="1"/>
  <c r="CL40" i="1" s="1"/>
  <c r="CL31" i="1"/>
  <c r="AS52" i="1"/>
  <c r="AS49" i="1"/>
  <c r="AS25" i="1"/>
  <c r="AS29" i="1" s="1"/>
  <c r="BR53" i="1"/>
  <c r="BR30" i="1"/>
  <c r="BR31" i="1"/>
  <c r="BR36" i="1"/>
  <c r="BR40" i="1" s="1"/>
  <c r="T53" i="1"/>
  <c r="T36" i="1"/>
  <c r="T40" i="1" s="1"/>
  <c r="T31" i="1"/>
  <c r="T30" i="1"/>
  <c r="AC49" i="1"/>
  <c r="AC25" i="1"/>
  <c r="AC29" i="1" s="1"/>
  <c r="AC52" i="1"/>
  <c r="CH52" i="1"/>
  <c r="CH49" i="1"/>
  <c r="CH25" i="1"/>
  <c r="CH29" i="1" s="1"/>
  <c r="BS52" i="1"/>
  <c r="BS49" i="1"/>
  <c r="BS25" i="1"/>
  <c r="BS29" i="1" s="1"/>
  <c r="BP52" i="1"/>
  <c r="BP49" i="1"/>
  <c r="BP25" i="1"/>
  <c r="BP29" i="1" s="1"/>
  <c r="N49" i="1"/>
  <c r="N52" i="1"/>
  <c r="N25" i="1"/>
  <c r="N29" i="1" s="1"/>
  <c r="J52" i="1"/>
  <c r="J49" i="1"/>
  <c r="J25" i="1"/>
  <c r="J29" i="1" s="1"/>
  <c r="BH52" i="1"/>
  <c r="BH49" i="1"/>
  <c r="BH25" i="1"/>
  <c r="BH29" i="1" s="1"/>
  <c r="AP52" i="1"/>
  <c r="AP49" i="1"/>
  <c r="AP25" i="1"/>
  <c r="AP29" i="1" s="1"/>
  <c r="CK111" i="3"/>
  <c r="CK107" i="3"/>
  <c r="CK103" i="3"/>
  <c r="AH52" i="1"/>
  <c r="AH49" i="1"/>
  <c r="AH25" i="1"/>
  <c r="AH29" i="1" s="1"/>
  <c r="BO52" i="1"/>
  <c r="BO49" i="1"/>
  <c r="BO25" i="1"/>
  <c r="BO29" i="1" s="1"/>
  <c r="L53" i="1"/>
  <c r="L36" i="1"/>
  <c r="L40" i="1" s="1"/>
  <c r="L31" i="1"/>
  <c r="L30" i="1"/>
  <c r="BE49" i="1"/>
  <c r="BE52" i="1"/>
  <c r="BE25" i="1"/>
  <c r="BE29" i="1" s="1"/>
  <c r="AU53" i="1"/>
  <c r="AU30" i="1"/>
  <c r="AU36" i="1"/>
  <c r="AU40" i="1" s="1"/>
  <c r="AU31" i="1"/>
  <c r="BD49" i="1"/>
  <c r="BD52" i="1"/>
  <c r="BD25" i="1"/>
  <c r="BD29" i="1" s="1"/>
  <c r="AY52" i="1"/>
  <c r="AY49" i="1"/>
  <c r="AY25" i="1"/>
  <c r="AY29" i="1" s="1"/>
  <c r="AJ52" i="1"/>
  <c r="AJ49" i="1"/>
  <c r="AJ25" i="1"/>
  <c r="AJ29" i="1" s="1"/>
  <c r="AU49" i="1"/>
  <c r="AI52" i="1"/>
  <c r="AI49" i="1"/>
  <c r="AI25" i="1"/>
  <c r="AI29" i="1" s="1"/>
  <c r="AS77" i="7"/>
  <c r="AS74" i="7"/>
  <c r="AW74" i="7"/>
  <c r="BI53" i="1" l="1"/>
  <c r="BI31" i="1"/>
  <c r="BI30" i="1"/>
  <c r="BI36" i="1"/>
  <c r="BI40" i="1" s="1"/>
  <c r="BL51" i="1"/>
  <c r="BL43" i="1"/>
  <c r="Z36" i="1"/>
  <c r="Z40" i="1" s="1"/>
  <c r="AD48" i="1" s="1"/>
  <c r="Z31" i="1"/>
  <c r="Z30" i="1"/>
  <c r="Z53" i="1"/>
  <c r="Y53" i="1"/>
  <c r="Y31" i="1"/>
  <c r="Y36" i="1"/>
  <c r="Y40" i="1" s="1"/>
  <c r="Y30" i="1"/>
  <c r="Q53" i="1"/>
  <c r="Q31" i="1"/>
  <c r="Q36" i="1"/>
  <c r="Q40" i="1" s="1"/>
  <c r="Q30" i="1"/>
  <c r="AY53" i="1"/>
  <c r="AY36" i="1"/>
  <c r="AY40" i="1" s="1"/>
  <c r="BC48" i="1" s="1"/>
  <c r="AY31" i="1"/>
  <c r="AY30" i="1"/>
  <c r="J53" i="1"/>
  <c r="J36" i="1"/>
  <c r="J40" i="1" s="1"/>
  <c r="J31" i="1"/>
  <c r="J30" i="1"/>
  <c r="AC53" i="1"/>
  <c r="AC31" i="1"/>
  <c r="AC30" i="1"/>
  <c r="AC36" i="1"/>
  <c r="AC40" i="1" s="1"/>
  <c r="AD97" i="3" s="1"/>
  <c r="CJ53" i="1"/>
  <c r="CJ31" i="1"/>
  <c r="CJ30" i="1"/>
  <c r="CJ36" i="1"/>
  <c r="CJ40" i="1" s="1"/>
  <c r="R53" i="1"/>
  <c r="R36" i="1"/>
  <c r="R40" i="1" s="1"/>
  <c r="R31" i="1"/>
  <c r="R30" i="1"/>
  <c r="AG53" i="1"/>
  <c r="AG31" i="1"/>
  <c r="AG36" i="1"/>
  <c r="AG40" i="1" s="1"/>
  <c r="AG30" i="1"/>
  <c r="CC53" i="1"/>
  <c r="CC30" i="1"/>
  <c r="CC36" i="1"/>
  <c r="CC40" i="1" s="1"/>
  <c r="CC31" i="1"/>
  <c r="CG53" i="1"/>
  <c r="CG36" i="1"/>
  <c r="CG40" i="1" s="1"/>
  <c r="CG31" i="1"/>
  <c r="CG30" i="1"/>
  <c r="AZ53" i="1"/>
  <c r="AZ36" i="1"/>
  <c r="AZ40" i="1" s="1"/>
  <c r="AZ31" i="1"/>
  <c r="AZ30" i="1"/>
  <c r="AV53" i="1"/>
  <c r="AV31" i="1"/>
  <c r="AV36" i="1"/>
  <c r="AV40" i="1" s="1"/>
  <c r="AV30" i="1"/>
  <c r="BA53" i="1"/>
  <c r="BA36" i="1"/>
  <c r="BA40" i="1" s="1"/>
  <c r="BA31" i="1"/>
  <c r="BA30" i="1"/>
  <c r="AI53" i="1"/>
  <c r="AI36" i="1"/>
  <c r="AI40" i="1" s="1"/>
  <c r="AI31" i="1"/>
  <c r="AI30" i="1"/>
  <c r="AS53" i="1"/>
  <c r="AS36" i="1"/>
  <c r="AS40" i="1" s="1"/>
  <c r="AS31" i="1"/>
  <c r="AS30" i="1"/>
  <c r="AN53" i="1"/>
  <c r="AN31" i="1"/>
  <c r="AN36" i="1"/>
  <c r="AN40" i="1" s="1"/>
  <c r="AN30" i="1"/>
  <c r="BQ53" i="1"/>
  <c r="BQ31" i="1"/>
  <c r="BQ30" i="1"/>
  <c r="BQ36" i="1"/>
  <c r="BQ40" i="1" s="1"/>
  <c r="CB53" i="1"/>
  <c r="CB31" i="1"/>
  <c r="CB36" i="1"/>
  <c r="CB40" i="1" s="1"/>
  <c r="CB30" i="1"/>
  <c r="BX53" i="1"/>
  <c r="BX31" i="1"/>
  <c r="BX36" i="1"/>
  <c r="BX40" i="1" s="1"/>
  <c r="BX30" i="1"/>
  <c r="AR53" i="1"/>
  <c r="AR36" i="1"/>
  <c r="AR40" i="1" s="1"/>
  <c r="AR31" i="1"/>
  <c r="AR30" i="1"/>
  <c r="BM51" i="1"/>
  <c r="BM48" i="1"/>
  <c r="BM43" i="1"/>
  <c r="V51" i="1"/>
  <c r="V43" i="1"/>
  <c r="AU51" i="1"/>
  <c r="AU43" i="1"/>
  <c r="BW51" i="1"/>
  <c r="BW97" i="3"/>
  <c r="BW48" i="1"/>
  <c r="BW43" i="1"/>
  <c r="D51" i="1"/>
  <c r="D43" i="1"/>
  <c r="AP53" i="1"/>
  <c r="AP36" i="1"/>
  <c r="AP40" i="1" s="1"/>
  <c r="AP31" i="1"/>
  <c r="AP30" i="1"/>
  <c r="AM30" i="1"/>
  <c r="AM53" i="1"/>
  <c r="AM36" i="1"/>
  <c r="AM40" i="1" s="1"/>
  <c r="AM31" i="1"/>
  <c r="S53" i="1"/>
  <c r="S36" i="1"/>
  <c r="S40" i="1" s="1"/>
  <c r="S31" i="1"/>
  <c r="S30" i="1"/>
  <c r="P53" i="1"/>
  <c r="P31" i="1"/>
  <c r="P36" i="1"/>
  <c r="P40" i="1" s="1"/>
  <c r="P30" i="1"/>
  <c r="BF53" i="1"/>
  <c r="BF36" i="1"/>
  <c r="BF40" i="1" s="1"/>
  <c r="BF31" i="1"/>
  <c r="BF30" i="1"/>
  <c r="M53" i="1"/>
  <c r="M36" i="1"/>
  <c r="M40" i="1" s="1"/>
  <c r="M31" i="1"/>
  <c r="M30" i="1"/>
  <c r="AQ53" i="1"/>
  <c r="AQ36" i="1"/>
  <c r="AQ40" i="1" s="1"/>
  <c r="AQ31" i="1"/>
  <c r="AQ30" i="1"/>
  <c r="I31" i="1"/>
  <c r="I53" i="1"/>
  <c r="I36" i="1"/>
  <c r="I40" i="1" s="1"/>
  <c r="I30" i="1"/>
  <c r="AO53" i="1"/>
  <c r="AO31" i="1"/>
  <c r="AO36" i="1"/>
  <c r="AO40" i="1" s="1"/>
  <c r="AO30" i="1"/>
  <c r="BB53" i="1"/>
  <c r="BB30" i="1"/>
  <c r="BB36" i="1"/>
  <c r="BB40" i="1" s="1"/>
  <c r="BB31" i="1"/>
  <c r="AD51" i="1"/>
  <c r="AD43" i="1"/>
  <c r="L51" i="1"/>
  <c r="L43" i="1"/>
  <c r="BO53" i="1"/>
  <c r="BO36" i="1"/>
  <c r="BO40" i="1" s="1"/>
  <c r="BO31" i="1"/>
  <c r="BO30" i="1"/>
  <c r="BN53" i="1"/>
  <c r="BN36" i="1"/>
  <c r="BN40" i="1" s="1"/>
  <c r="BR48" i="1" s="1"/>
  <c r="BN31" i="1"/>
  <c r="BN30" i="1"/>
  <c r="BD53" i="1"/>
  <c r="BD31" i="1"/>
  <c r="BD36" i="1"/>
  <c r="BD40" i="1" s="1"/>
  <c r="BD30" i="1"/>
  <c r="N53" i="1"/>
  <c r="N30" i="1"/>
  <c r="N31" i="1"/>
  <c r="N36" i="1"/>
  <c r="N40" i="1" s="1"/>
  <c r="AF53" i="1"/>
  <c r="AF31" i="1"/>
  <c r="AF30" i="1"/>
  <c r="AF36" i="1"/>
  <c r="AF40" i="1" s="1"/>
  <c r="CI53" i="1"/>
  <c r="CI36" i="1"/>
  <c r="CI40" i="1" s="1"/>
  <c r="CI30" i="1"/>
  <c r="CI31" i="1"/>
  <c r="AH36" i="1"/>
  <c r="AH40" i="1" s="1"/>
  <c r="AH53" i="1"/>
  <c r="AH31" i="1"/>
  <c r="AH30" i="1"/>
  <c r="CH36" i="1"/>
  <c r="CH40" i="1" s="1"/>
  <c r="CH53" i="1"/>
  <c r="CH30" i="1"/>
  <c r="CH31" i="1"/>
  <c r="T51" i="1"/>
  <c r="T43" i="1"/>
  <c r="BK51" i="1"/>
  <c r="BK43" i="1"/>
  <c r="BK48" i="1"/>
  <c r="AK53" i="1"/>
  <c r="AK31" i="1"/>
  <c r="AK30" i="1"/>
  <c r="AK36" i="1"/>
  <c r="AK40" i="1" s="1"/>
  <c r="H53" i="1"/>
  <c r="H31" i="1"/>
  <c r="H30" i="1"/>
  <c r="H36" i="1"/>
  <c r="H40" i="1" s="1"/>
  <c r="L48" i="1" s="1"/>
  <c r="AA53" i="1"/>
  <c r="AA36" i="1"/>
  <c r="AA40" i="1" s="1"/>
  <c r="AA31" i="1"/>
  <c r="AA30" i="1"/>
  <c r="BM97" i="3"/>
  <c r="BJ51" i="1"/>
  <c r="BJ43" i="1"/>
  <c r="CA53" i="1"/>
  <c r="CA36" i="1"/>
  <c r="CA40" i="1" s="1"/>
  <c r="CA31" i="1"/>
  <c r="CA30" i="1"/>
  <c r="AJ53" i="1"/>
  <c r="AJ36" i="1"/>
  <c r="AJ40" i="1" s="1"/>
  <c r="AJ31" i="1"/>
  <c r="AJ30" i="1"/>
  <c r="BH53" i="1"/>
  <c r="BH36" i="1"/>
  <c r="BH40" i="1" s="1"/>
  <c r="BH31" i="1"/>
  <c r="BH30" i="1"/>
  <c r="CK53" i="1"/>
  <c r="CK30" i="1"/>
  <c r="CK31" i="1"/>
  <c r="CK36" i="1"/>
  <c r="CK40" i="1" s="1"/>
  <c r="CL48" i="1" s="1"/>
  <c r="BY36" i="1"/>
  <c r="BY40" i="1" s="1"/>
  <c r="BY53" i="1"/>
  <c r="BY31" i="1"/>
  <c r="BY30" i="1"/>
  <c r="O53" i="1"/>
  <c r="O30" i="1"/>
  <c r="O36" i="1"/>
  <c r="O40" i="1" s="1"/>
  <c r="O31" i="1"/>
  <c r="W51" i="1"/>
  <c r="W43" i="1"/>
  <c r="AL53" i="1"/>
  <c r="AL30" i="1"/>
  <c r="AL36" i="1"/>
  <c r="AL40" i="1" s="1"/>
  <c r="AL31" i="1"/>
  <c r="AW31" i="1"/>
  <c r="AW53" i="1"/>
  <c r="AW36" i="1"/>
  <c r="AW40" i="1" s="1"/>
  <c r="AW30" i="1"/>
  <c r="BG48" i="1"/>
  <c r="BG43" i="1"/>
  <c r="BG51" i="1"/>
  <c r="AB53" i="1"/>
  <c r="AB36" i="1"/>
  <c r="AB40" i="1" s="1"/>
  <c r="AE97" i="3" s="1"/>
  <c r="AB31" i="1"/>
  <c r="AB30" i="1"/>
  <c r="CE31" i="1"/>
  <c r="CE36" i="1"/>
  <c r="CE40" i="1" s="1"/>
  <c r="CE30" i="1"/>
  <c r="CE53" i="1"/>
  <c r="K53" i="1"/>
  <c r="K36" i="1"/>
  <c r="K40" i="1" s="1"/>
  <c r="K31" i="1"/>
  <c r="K30" i="1"/>
  <c r="BC51" i="1"/>
  <c r="BC43" i="1"/>
  <c r="BS53" i="1"/>
  <c r="BS30" i="1"/>
  <c r="BS36" i="1"/>
  <c r="BS40" i="1" s="1"/>
  <c r="BS31" i="1"/>
  <c r="G52" i="1"/>
  <c r="G25" i="1"/>
  <c r="G29" i="1" s="1"/>
  <c r="AE51" i="1"/>
  <c r="AE43" i="1"/>
  <c r="AE48" i="1"/>
  <c r="BE53" i="1"/>
  <c r="BE31" i="1"/>
  <c r="BE36" i="1"/>
  <c r="BE40" i="1" s="1"/>
  <c r="BE30" i="1"/>
  <c r="BP53" i="1"/>
  <c r="BP36" i="1"/>
  <c r="BP40" i="1" s="1"/>
  <c r="BT48" i="1" s="1"/>
  <c r="BP31" i="1"/>
  <c r="BP30" i="1"/>
  <c r="BR51" i="1"/>
  <c r="BR43" i="1"/>
  <c r="CL43" i="1"/>
  <c r="CL51" i="1"/>
  <c r="CN31" i="1"/>
  <c r="CN36" i="1"/>
  <c r="CN40" i="1" s="1"/>
  <c r="CN53" i="1"/>
  <c r="CN30" i="1"/>
  <c r="X53" i="1"/>
  <c r="X31" i="1"/>
  <c r="X30" i="1"/>
  <c r="X36" i="1"/>
  <c r="X40" i="1" s="1"/>
  <c r="AT51" i="1"/>
  <c r="AT43" i="1"/>
  <c r="CD53" i="1"/>
  <c r="CD30" i="1"/>
  <c r="CD36" i="1"/>
  <c r="CD40" i="1" s="1"/>
  <c r="CD31" i="1"/>
  <c r="AX53" i="1"/>
  <c r="AX36" i="1"/>
  <c r="AX40" i="1" s="1"/>
  <c r="AX31" i="1"/>
  <c r="AX30" i="1"/>
  <c r="CM51" i="1"/>
  <c r="CM48" i="1"/>
  <c r="CM43" i="1"/>
  <c r="BZ53" i="1"/>
  <c r="BZ36" i="1"/>
  <c r="BZ40" i="1" s="1"/>
  <c r="BZ31" i="1"/>
  <c r="BZ30" i="1"/>
  <c r="U53" i="1"/>
  <c r="U31" i="1"/>
  <c r="U30" i="1"/>
  <c r="U36" i="1"/>
  <c r="U40" i="1" s="1"/>
  <c r="W97" i="3" s="1"/>
  <c r="K49" i="1"/>
  <c r="CF53" i="1"/>
  <c r="CF31" i="1"/>
  <c r="CF36" i="1"/>
  <c r="CF40" i="1" s="1"/>
  <c r="CF30" i="1"/>
  <c r="BT97" i="3" l="1"/>
  <c r="BT99" i="3" s="1"/>
  <c r="AU97" i="3"/>
  <c r="AU100" i="3" s="1"/>
  <c r="BC97" i="3"/>
  <c r="BC100" i="3" s="1"/>
  <c r="CJ100" i="3" s="1"/>
  <c r="BN97" i="3"/>
  <c r="BN99" i="3" s="1"/>
  <c r="AT97" i="3"/>
  <c r="AT100" i="3" s="1"/>
  <c r="W100" i="3"/>
  <c r="W99" i="3"/>
  <c r="AW97" i="3"/>
  <c r="AW51" i="1"/>
  <c r="AW48" i="1"/>
  <c r="AW43" i="1"/>
  <c r="AE100" i="3"/>
  <c r="AE99" i="3"/>
  <c r="K97" i="3"/>
  <c r="K51" i="1"/>
  <c r="K43" i="1"/>
  <c r="AB97" i="3"/>
  <c r="AB51" i="1"/>
  <c r="AB43" i="1"/>
  <c r="AB48" i="1"/>
  <c r="BK97" i="3"/>
  <c r="BH48" i="1"/>
  <c r="BH43" i="1"/>
  <c r="BH51" i="1"/>
  <c r="CA97" i="3"/>
  <c r="CA48" i="1"/>
  <c r="CA51" i="1"/>
  <c r="CA43" i="1"/>
  <c r="AA97" i="3"/>
  <c r="AA48" i="1"/>
  <c r="AA51" i="1"/>
  <c r="AA43" i="1"/>
  <c r="BO48" i="1"/>
  <c r="BO51" i="1"/>
  <c r="BR97" i="3"/>
  <c r="BO43" i="1"/>
  <c r="AQ97" i="3"/>
  <c r="AQ48" i="1"/>
  <c r="AQ51" i="1"/>
  <c r="AQ43" i="1"/>
  <c r="BI97" i="3"/>
  <c r="BF51" i="1"/>
  <c r="BF43" i="1"/>
  <c r="BF48" i="1"/>
  <c r="S97" i="3"/>
  <c r="S48" i="1"/>
  <c r="S51" i="1"/>
  <c r="S43" i="1"/>
  <c r="AP97" i="3"/>
  <c r="AP43" i="1"/>
  <c r="AP51" i="1"/>
  <c r="AP48" i="1"/>
  <c r="AU48" i="1"/>
  <c r="BQ43" i="1"/>
  <c r="BQ48" i="1"/>
  <c r="BQ51" i="1"/>
  <c r="AC97" i="3"/>
  <c r="AC43" i="1"/>
  <c r="AC48" i="1"/>
  <c r="AC51" i="1"/>
  <c r="X97" i="3"/>
  <c r="X51" i="1"/>
  <c r="X48" i="1"/>
  <c r="X43" i="1"/>
  <c r="BP48" i="1"/>
  <c r="BP43" i="1"/>
  <c r="BS97" i="3"/>
  <c r="BP51" i="1"/>
  <c r="BY97" i="3"/>
  <c r="BY51" i="1"/>
  <c r="BY43" i="1"/>
  <c r="BY48" i="1"/>
  <c r="T97" i="3"/>
  <c r="AH97" i="3"/>
  <c r="AH48" i="1"/>
  <c r="AH51" i="1"/>
  <c r="AH43" i="1"/>
  <c r="BX97" i="3"/>
  <c r="BX51" i="1"/>
  <c r="BX48" i="1"/>
  <c r="BX43" i="1"/>
  <c r="CC97" i="3"/>
  <c r="CC48" i="1"/>
  <c r="CC51" i="1"/>
  <c r="CC43" i="1"/>
  <c r="Y51" i="1"/>
  <c r="Y97" i="3"/>
  <c r="Y48" i="1"/>
  <c r="Y43" i="1"/>
  <c r="BL48" i="1"/>
  <c r="AT99" i="3"/>
  <c r="AD100" i="3"/>
  <c r="AD99" i="3"/>
  <c r="CK48" i="1"/>
  <c r="CK51" i="1"/>
  <c r="CK43" i="1"/>
  <c r="AS48" i="1"/>
  <c r="AS43" i="1"/>
  <c r="AS97" i="3"/>
  <c r="AS51" i="1"/>
  <c r="BA97" i="3"/>
  <c r="BA43" i="1"/>
  <c r="BA51" i="1"/>
  <c r="BA48" i="1"/>
  <c r="AZ97" i="3"/>
  <c r="AZ48" i="1"/>
  <c r="AZ51" i="1"/>
  <c r="AZ43" i="1"/>
  <c r="R97" i="3"/>
  <c r="R48" i="1"/>
  <c r="R51" i="1"/>
  <c r="R43" i="1"/>
  <c r="AY97" i="3"/>
  <c r="AY48" i="1"/>
  <c r="AY51" i="1"/>
  <c r="AY43" i="1"/>
  <c r="BG97" i="3"/>
  <c r="BD51" i="1"/>
  <c r="BD48" i="1"/>
  <c r="BD97" i="3"/>
  <c r="BD43" i="1"/>
  <c r="Z97" i="3"/>
  <c r="Z48" i="1"/>
  <c r="Z43" i="1"/>
  <c r="Z51" i="1"/>
  <c r="CD97" i="3"/>
  <c r="CD51" i="1"/>
  <c r="CD48" i="1"/>
  <c r="CD43" i="1"/>
  <c r="G53" i="1"/>
  <c r="G30" i="1"/>
  <c r="G36" i="1"/>
  <c r="G40" i="1" s="1"/>
  <c r="J97" i="3" s="1"/>
  <c r="G31" i="1"/>
  <c r="O51" i="1"/>
  <c r="O97" i="3"/>
  <c r="O43" i="1"/>
  <c r="O48" i="1"/>
  <c r="I51" i="1"/>
  <c r="I48" i="1"/>
  <c r="I43" i="1"/>
  <c r="AM51" i="1"/>
  <c r="AM97" i="3"/>
  <c r="AM43" i="1"/>
  <c r="AM48" i="1"/>
  <c r="BP97" i="3"/>
  <c r="BO97" i="3"/>
  <c r="BH97" i="3"/>
  <c r="BE97" i="3"/>
  <c r="BE51" i="1"/>
  <c r="BE48" i="1"/>
  <c r="BE43" i="1"/>
  <c r="CE51" i="1"/>
  <c r="CE97" i="3"/>
  <c r="CE48" i="1"/>
  <c r="CE43" i="1"/>
  <c r="AJ97" i="3"/>
  <c r="AJ51" i="1"/>
  <c r="AJ48" i="1"/>
  <c r="AJ43" i="1"/>
  <c r="BJ48" i="1"/>
  <c r="CI97" i="3"/>
  <c r="CI48" i="1"/>
  <c r="CI43" i="1"/>
  <c r="CI51" i="1"/>
  <c r="BQ97" i="3"/>
  <c r="BN43" i="1"/>
  <c r="BN51" i="1"/>
  <c r="BN48" i="1"/>
  <c r="M97" i="3"/>
  <c r="M43" i="1"/>
  <c r="M48" i="1"/>
  <c r="M51" i="1"/>
  <c r="CJ51" i="1"/>
  <c r="CJ48" i="1"/>
  <c r="CJ43" i="1"/>
  <c r="BI51" i="1"/>
  <c r="BI43" i="1"/>
  <c r="BI48" i="1"/>
  <c r="BL97" i="3"/>
  <c r="AX97" i="3"/>
  <c r="AX51" i="1"/>
  <c r="AX43" i="1"/>
  <c r="AX48" i="1"/>
  <c r="AO51" i="1"/>
  <c r="AO48" i="1"/>
  <c r="AO97" i="3"/>
  <c r="AO43" i="1"/>
  <c r="BZ97" i="3"/>
  <c r="BZ48" i="1"/>
  <c r="BZ51" i="1"/>
  <c r="BZ43" i="1"/>
  <c r="P97" i="3"/>
  <c r="P48" i="1"/>
  <c r="P43" i="1"/>
  <c r="P51" i="1"/>
  <c r="BF97" i="3"/>
  <c r="BJ97" i="3"/>
  <c r="BM99" i="3"/>
  <c r="BM100" i="3"/>
  <c r="BN100" i="3"/>
  <c r="CH97" i="3"/>
  <c r="CH51" i="1"/>
  <c r="CH48" i="1"/>
  <c r="CH43" i="1"/>
  <c r="L97" i="3"/>
  <c r="V48" i="1"/>
  <c r="CB97" i="3"/>
  <c r="CB43" i="1"/>
  <c r="CB51" i="1"/>
  <c r="CB48" i="1"/>
  <c r="AN97" i="3"/>
  <c r="AN51" i="1"/>
  <c r="AN48" i="1"/>
  <c r="AN43" i="1"/>
  <c r="AV97" i="3"/>
  <c r="AV48" i="1"/>
  <c r="AV51" i="1"/>
  <c r="AV43" i="1"/>
  <c r="AG97" i="3"/>
  <c r="AG51" i="1"/>
  <c r="AG43" i="1"/>
  <c r="AG48" i="1"/>
  <c r="Q51" i="1"/>
  <c r="Q97" i="3"/>
  <c r="Q48" i="1"/>
  <c r="Q43" i="1"/>
  <c r="CN51" i="1"/>
  <c r="CN48" i="1"/>
  <c r="CN43" i="1"/>
  <c r="U97" i="3"/>
  <c r="U43" i="1"/>
  <c r="U51" i="1"/>
  <c r="U48" i="1"/>
  <c r="H51" i="1"/>
  <c r="H48" i="1"/>
  <c r="H43" i="1"/>
  <c r="N51" i="1"/>
  <c r="N97" i="3"/>
  <c r="N48" i="1"/>
  <c r="N43" i="1"/>
  <c r="AL97" i="3"/>
  <c r="AL51" i="1"/>
  <c r="AL48" i="1"/>
  <c r="AL43" i="1"/>
  <c r="BB51" i="1"/>
  <c r="BB97" i="3"/>
  <c r="BB48" i="1"/>
  <c r="BB43" i="1"/>
  <c r="CF97" i="3"/>
  <c r="CF48" i="1"/>
  <c r="CF43" i="1"/>
  <c r="CF51" i="1"/>
  <c r="AT48" i="1"/>
  <c r="BS48" i="1"/>
  <c r="BS51" i="1"/>
  <c r="BS43" i="1"/>
  <c r="W48" i="1"/>
  <c r="AK97" i="3"/>
  <c r="AK43" i="1"/>
  <c r="AK51" i="1"/>
  <c r="AK48" i="1"/>
  <c r="T48" i="1"/>
  <c r="AF97" i="3"/>
  <c r="AF48" i="1"/>
  <c r="AF51" i="1"/>
  <c r="AF43" i="1"/>
  <c r="BW100" i="3"/>
  <c r="BW99" i="3"/>
  <c r="C97" i="3"/>
  <c r="V97" i="3"/>
  <c r="AR97" i="3"/>
  <c r="AR51" i="1"/>
  <c r="AR48" i="1"/>
  <c r="AR43" i="1"/>
  <c r="AI97" i="3"/>
  <c r="AI48" i="1"/>
  <c r="AI51" i="1"/>
  <c r="AI43" i="1"/>
  <c r="CG97" i="3"/>
  <c r="CG51" i="1"/>
  <c r="CG48" i="1"/>
  <c r="CG43" i="1"/>
  <c r="J48" i="1"/>
  <c r="J43" i="1"/>
  <c r="J51" i="1"/>
  <c r="AU99" i="3" l="1"/>
  <c r="BT100" i="3"/>
  <c r="CJ97" i="3"/>
  <c r="BC99" i="3"/>
  <c r="CJ99" i="3" s="1"/>
  <c r="H97" i="3"/>
  <c r="I97" i="3"/>
  <c r="I99" i="3" s="1"/>
  <c r="BJ100" i="3"/>
  <c r="BJ99" i="3"/>
  <c r="AX99" i="3"/>
  <c r="AX100" i="3"/>
  <c r="CN97" i="3"/>
  <c r="BS100" i="3"/>
  <c r="CN100" i="3" s="1"/>
  <c r="BS99" i="3"/>
  <c r="CN99" i="3" s="1"/>
  <c r="CF100" i="3"/>
  <c r="CF99" i="3"/>
  <c r="AL100" i="3"/>
  <c r="AL99" i="3"/>
  <c r="H100" i="3"/>
  <c r="H99" i="3"/>
  <c r="BL99" i="3"/>
  <c r="BL100" i="3"/>
  <c r="BH100" i="3"/>
  <c r="BH99" i="3"/>
  <c r="G51" i="1"/>
  <c r="G97" i="3"/>
  <c r="G43" i="1"/>
  <c r="CC100" i="3"/>
  <c r="CC99" i="3"/>
  <c r="AH99" i="3"/>
  <c r="AH100" i="3"/>
  <c r="AI99" i="3"/>
  <c r="AI100" i="3"/>
  <c r="BQ100" i="3"/>
  <c r="BQ99" i="3"/>
  <c r="BE99" i="3"/>
  <c r="BE100" i="3"/>
  <c r="CH99" i="3"/>
  <c r="CH100" i="3"/>
  <c r="AO99" i="3"/>
  <c r="AO100" i="3"/>
  <c r="BO99" i="3"/>
  <c r="CM99" i="3" s="1"/>
  <c r="BO100" i="3"/>
  <c r="CM100" i="3" s="1"/>
  <c r="CM97" i="3"/>
  <c r="AS100" i="3"/>
  <c r="AS99" i="3"/>
  <c r="T100" i="3"/>
  <c r="T99" i="3"/>
  <c r="AC100" i="3"/>
  <c r="AC99" i="3"/>
  <c r="AP99" i="3"/>
  <c r="AP100" i="3"/>
  <c r="BI100" i="3"/>
  <c r="BI99" i="3"/>
  <c r="CA99" i="3"/>
  <c r="CA100" i="3"/>
  <c r="AB100" i="3"/>
  <c r="AB99" i="3"/>
  <c r="CD100" i="3"/>
  <c r="CD99" i="3"/>
  <c r="BF99" i="3"/>
  <c r="BF100" i="3"/>
  <c r="BR100" i="3"/>
  <c r="BR99" i="3"/>
  <c r="AF99" i="3"/>
  <c r="AF100" i="3"/>
  <c r="Q99" i="3"/>
  <c r="Q100" i="3"/>
  <c r="M100" i="3"/>
  <c r="M99" i="3"/>
  <c r="CI100" i="3"/>
  <c r="CI99" i="3"/>
  <c r="CE99" i="3"/>
  <c r="CE100" i="3"/>
  <c r="BP100" i="3"/>
  <c r="BP99" i="3"/>
  <c r="Z99" i="3"/>
  <c r="Z100" i="3"/>
  <c r="AK100" i="3"/>
  <c r="AK99" i="3"/>
  <c r="AN100" i="3"/>
  <c r="AN99" i="3"/>
  <c r="BZ99" i="3"/>
  <c r="BZ100" i="3"/>
  <c r="BG99" i="3"/>
  <c r="CK99" i="3" s="1"/>
  <c r="BG100" i="3"/>
  <c r="CK100" i="3" s="1"/>
  <c r="CK97" i="3"/>
  <c r="CG99" i="3"/>
  <c r="CG100" i="3"/>
  <c r="V100" i="3"/>
  <c r="V99" i="3"/>
  <c r="N100" i="3"/>
  <c r="N99" i="3"/>
  <c r="AV99" i="3"/>
  <c r="AV100" i="3"/>
  <c r="CB100" i="3"/>
  <c r="CB99" i="3"/>
  <c r="P99" i="3"/>
  <c r="P100" i="3"/>
  <c r="AY99" i="3"/>
  <c r="AY100" i="3"/>
  <c r="AZ99" i="3"/>
  <c r="AZ100" i="3"/>
  <c r="Y99" i="3"/>
  <c r="Y100" i="3"/>
  <c r="AW100" i="3"/>
  <c r="AW99" i="3"/>
  <c r="AG99" i="3"/>
  <c r="AG100" i="3"/>
  <c r="BA100" i="3"/>
  <c r="BA99" i="3"/>
  <c r="AR100" i="3"/>
  <c r="AR99" i="3"/>
  <c r="BB100" i="3"/>
  <c r="BB99" i="3"/>
  <c r="C100" i="3"/>
  <c r="C99" i="3"/>
  <c r="U100" i="3"/>
  <c r="U99" i="3"/>
  <c r="BD99" i="3"/>
  <c r="BD100" i="3"/>
  <c r="BX100" i="3"/>
  <c r="BX99" i="3"/>
  <c r="K48" i="1"/>
  <c r="J99" i="3"/>
  <c r="J100" i="3"/>
  <c r="AJ100" i="3"/>
  <c r="AJ99" i="3"/>
  <c r="R99" i="3"/>
  <c r="R100" i="3"/>
  <c r="L100" i="3"/>
  <c r="L99" i="3"/>
  <c r="AM100" i="3"/>
  <c r="AM99" i="3"/>
  <c r="O100" i="3"/>
  <c r="O99" i="3"/>
  <c r="BY99" i="3"/>
  <c r="BY100" i="3"/>
  <c r="X99" i="3"/>
  <c r="X100" i="3"/>
  <c r="S99" i="3"/>
  <c r="S100" i="3"/>
  <c r="AQ99" i="3"/>
  <c r="AQ100" i="3"/>
  <c r="AA99" i="3"/>
  <c r="AA100" i="3"/>
  <c r="BK100" i="3"/>
  <c r="CL100" i="3" s="1"/>
  <c r="BK99" i="3"/>
  <c r="CL99" i="3" s="1"/>
  <c r="CL97" i="3"/>
  <c r="K99" i="3"/>
  <c r="K100" i="3"/>
  <c r="I100" i="3" l="1"/>
  <c r="G100" i="3"/>
  <c r="G99" i="3"/>
</calcChain>
</file>

<file path=xl/sharedStrings.xml><?xml version="1.0" encoding="utf-8"?>
<sst xmlns="http://schemas.openxmlformats.org/spreadsheetml/2006/main" count="1879" uniqueCount="28">
  <si>
    <t>Camil Alimentos S.A.</t>
  </si>
  <si>
    <t>R$</t>
  </si>
  <si>
    <t>n.a.</t>
  </si>
  <si>
    <t>n.a</t>
  </si>
  <si>
    <t xml:space="preserve">--  </t>
  </si>
  <si>
    <t>12M16</t>
  </si>
  <si>
    <t>2T08</t>
  </si>
  <si>
    <t>3T08</t>
  </si>
  <si>
    <t>12M17</t>
  </si>
  <si>
    <t>2T18</t>
  </si>
  <si>
    <t>12M18</t>
  </si>
  <si>
    <t>12M19</t>
  </si>
  <si>
    <t>12M20</t>
  </si>
  <si>
    <t>4T20</t>
  </si>
  <si>
    <r>
      <rPr>
        <b/>
        <sz val="11"/>
        <rFont val="Calibri"/>
        <family val="2"/>
        <scheme val="minor"/>
      </rPr>
      <t>Relações com Investidores Camil/IR</t>
    </r>
    <r>
      <rPr>
        <sz val="11"/>
        <rFont val="Calibri"/>
        <family val="2"/>
        <scheme val="minor"/>
      </rPr>
      <t xml:space="preserve">
Ph.: +55 11 3039-9200
E-mail: ri@camil.com.br</t>
    </r>
  </si>
  <si>
    <t>12M21</t>
  </si>
  <si>
    <t>12M22</t>
  </si>
  <si>
    <t>-</t>
  </si>
  <si>
    <t># Total de Ações Ajustado</t>
  </si>
  <si>
    <t>Lucro Líquido / ação Ajustado</t>
  </si>
  <si>
    <t>12M23</t>
  </si>
  <si>
    <t>4T23</t>
  </si>
  <si>
    <t>1T24</t>
  </si>
  <si>
    <t>2T24</t>
  </si>
  <si>
    <t>3T24</t>
  </si>
  <si>
    <t>Contraprestações de combinação de negócios</t>
  </si>
  <si>
    <t>Adiantamento para Aquisição</t>
  </si>
  <si>
    <t>12M24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</si>
</sst>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-* #,##0.00_-;\-* #,##0.00_-;_-* &quot;-&quot;??_-;_-@_-"/>
    <numFmt numFmtId="164" formatCode="_(* #,##0.00_);_(* \(#,##0.00\);_(* &quot;-&quot;??_);_(@_)"/>
    <numFmt numFmtId="165" formatCode="#,##0.0_);\(#,##0.0\)"/>
    <numFmt numFmtId="166" formatCode="#,##0.0%_);\(#,##0.0%\)"/>
    <numFmt numFmtId="167" formatCode="mm/dd/yy;@"/>
    <numFmt numFmtId="168" formatCode="#,##0.0000_);\(#,##0.0000\)"/>
    <numFmt numFmtId="169" formatCode="[$-409]d\-mmm\-yy;@"/>
    <numFmt numFmtId="170" formatCode="#,##0.000_);\(#,##0.000\)"/>
    <numFmt numFmtId="171" formatCode="#,##0.00000_);\(#,##0.00000\)"/>
    <numFmt numFmtId="172" formatCode="#,##0.0_x;&quot;NM&quot;_x"/>
    <numFmt numFmtId="173" formatCode="&quot;R$&quot;#,##0.0_);\(&quot;R$&quot;#,##0.0\)"/>
    <numFmt numFmtId="174" formatCode="_-* #,##0.0_-;\-* #,##0.0_-;_-* &quot;-&quot;??_-;_-@_-"/>
    <numFmt numFmtId="175" formatCode="_(* #,##0.0_);_(* \(#,##0.0\);_(* &quot;-&quot;??_);_(@_)"/>
    <numFmt numFmtId="176" formatCode="0.0%"/>
    <numFmt numFmtId="177" formatCode="_-* #,##0.0_-;\-* #,##0.0_-;_-* &quot;-&quot;?_-;_-@_-"/>
    <numFmt numFmtId="178" formatCode="_(* #,##0_);_(* \(#,##0\);_(* &quot;-&quot;??_);_(@_)"/>
    <numFmt numFmtId="179" formatCode="0.0"/>
    <numFmt numFmtId="180" formatCode="0.0000"/>
    <numFmt numFmtId="181" formatCode="_-* #,##0.000_-;\-* #,##0.000_-;_-* &quot;-&quot;?_-;_-@_-"/>
    <numFmt numFmtId="182" formatCode="_-* #,##0.000_-;\-* #,##0.000_-;_-* &quot;-&quot;???_-;_-@_-"/>
    <numFmt numFmtId="183" formatCode="0.00\x"/>
    <numFmt numFmtId="184" formatCode="_-* #,##0_-;\-* #,##0_-;_-* &quot;-&quot;??_-;_-@_-"/>
    <numFmt numFmtId="185" formatCode="_(* #,##0.000_);_(* \(#,##0.000\);_(* &quot;-&quot;??_);_(@_)"/>
    <numFmt numFmtId="186" formatCode="0.0\x"/>
    <numFmt numFmtId="187" formatCode="_(* #,##0.00000000000_);_(* \(#,##0.00000000000\);_(* &quot;-&quot;??_);_(@_)"/>
    <numFmt numFmtId="188" formatCode="_-* #,##0.0000_-;\-* #,##0.0000_-;_-* &quot;-&quot;?_-;_-@_-"/>
    <numFmt numFmtId="189" formatCode="[$-416]d\-mmm\-yy;@"/>
    <numFmt numFmtId="190" formatCode="[$-416]dd\-mmm\-yy;@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name val="Calibri"/>
      <family val="2"/>
      <scheme val="minor"/>
    </font>
    <font>
      <sz val="10"/>
      <name val="Trebuchet MS"/>
      <family val="2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432FF"/>
      <name val="Calibri"/>
      <family val="2"/>
      <scheme val="minor"/>
    </font>
    <font>
      <sz val="11"/>
      <color rgb="FF0532FF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1"/>
      <name val="Calibri"/>
      <family val="2"/>
    </font>
    <font>
      <sz val="16"/>
      <color rgb="FFFF0000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1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55"/>
      </bottom>
      <diagonal/>
    </border>
    <border>
      <left/>
      <right/>
      <top style="hair">
        <color rgb="FF4472C4"/>
      </top>
      <bottom/>
      <diagonal/>
    </border>
    <border>
      <left/>
      <right/>
      <top style="thin">
        <color rgb="FF5B9BD5"/>
      </top>
      <bottom style="thin">
        <color rgb="FF5B9BD5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theme="0" tint="-0.14996795556505021"/>
      </top>
      <bottom/>
      <diagonal/>
    </border>
    <border>
      <left style="hair">
        <color theme="0" tint="-0.14993743705557422"/>
      </left>
      <right/>
      <top style="hair">
        <color theme="0" tint="-0.14996795556505021"/>
      </top>
      <bottom/>
      <diagonal/>
    </border>
    <border>
      <left/>
      <right style="hair">
        <color theme="0" tint="-0.14993743705557422"/>
      </right>
      <top style="hair">
        <color theme="0" tint="-0.14996795556505021"/>
      </top>
      <bottom/>
      <diagonal/>
    </border>
    <border>
      <left style="hair">
        <color theme="0" tint="-0.14993743705557422"/>
      </left>
      <right/>
      <top/>
      <bottom/>
      <diagonal/>
    </border>
    <border>
      <left/>
      <right style="hair">
        <color theme="0" tint="-0.14993743705557422"/>
      </right>
      <top/>
      <bottom/>
      <diagonal/>
    </border>
    <border>
      <left style="hair">
        <color theme="0" tint="-0.14993743705557422"/>
      </left>
      <right/>
      <top/>
      <bottom style="hair">
        <color theme="0" tint="-0.14990691854609822"/>
      </bottom>
      <diagonal/>
    </border>
    <border>
      <left/>
      <right/>
      <top/>
      <bottom style="hair">
        <color theme="0" tint="-0.14990691854609822"/>
      </bottom>
      <diagonal/>
    </border>
    <border>
      <left/>
      <right style="hair">
        <color theme="0" tint="-0.14993743705557422"/>
      </right>
      <top/>
      <bottom style="hair">
        <color theme="0" tint="-0.14990691854609822"/>
      </bottom>
      <diagonal/>
    </border>
    <border>
      <left/>
      <right/>
      <top/>
      <bottom style="thin">
        <color rgb="FFB6B6B6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0" fillId="0" borderId="0"/>
    <xf numFmtId="164" fontId="18" fillId="0" borderId="0" applyFont="0" applyFill="0" applyBorder="0" applyAlignment="0" applyProtection="0"/>
    <xf numFmtId="0" fontId="1" fillId="4" borderId="15" applyNumberFormat="0" applyFont="0" applyFill="0" applyAlignment="0" applyProtection="0"/>
    <xf numFmtId="0" fontId="3" fillId="4" borderId="16" applyNumberFormat="0" applyFill="0" applyAlignment="0" applyProtection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6" fillId="0" borderId="0" xfId="2" applyFont="1"/>
    <xf numFmtId="0" fontId="7" fillId="0" borderId="1" xfId="2" applyFont="1" applyBorder="1"/>
    <xf numFmtId="0" fontId="6" fillId="0" borderId="1" xfId="2" applyFont="1" applyBorder="1"/>
    <xf numFmtId="165" fontId="6" fillId="0" borderId="1" xfId="2" applyNumberFormat="1" applyFont="1" applyBorder="1"/>
    <xf numFmtId="0" fontId="9" fillId="0" borderId="0" xfId="2" applyFont="1"/>
    <xf numFmtId="0" fontId="11" fillId="0" borderId="0" xfId="2" applyFont="1"/>
    <xf numFmtId="0" fontId="2" fillId="2" borderId="2" xfId="2" applyFont="1" applyFill="1" applyBorder="1"/>
    <xf numFmtId="0" fontId="4" fillId="2" borderId="3" xfId="2" applyFont="1" applyFill="1" applyBorder="1"/>
    <xf numFmtId="0" fontId="4" fillId="2" borderId="4" xfId="2" applyFont="1" applyFill="1" applyBorder="1"/>
    <xf numFmtId="0" fontId="12" fillId="0" borderId="0" xfId="2" applyFont="1"/>
    <xf numFmtId="167" fontId="15" fillId="0" borderId="0" xfId="2" applyNumberFormat="1" applyFont="1"/>
    <xf numFmtId="0" fontId="2" fillId="2" borderId="10" xfId="3" applyFont="1" applyFill="1" applyBorder="1" applyAlignment="1">
      <alignment vertical="center"/>
    </xf>
    <xf numFmtId="0" fontId="16" fillId="2" borderId="11" xfId="3" applyFont="1" applyFill="1" applyBorder="1" applyAlignment="1">
      <alignment vertical="center"/>
    </xf>
    <xf numFmtId="0" fontId="19" fillId="0" borderId="0" xfId="2" applyFont="1"/>
    <xf numFmtId="0" fontId="20" fillId="0" borderId="1" xfId="2" applyFont="1" applyBorder="1"/>
    <xf numFmtId="0" fontId="19" fillId="0" borderId="1" xfId="2" applyFont="1" applyBorder="1"/>
    <xf numFmtId="165" fontId="11" fillId="0" borderId="0" xfId="2" applyNumberFormat="1" applyFont="1"/>
    <xf numFmtId="165" fontId="9" fillId="0" borderId="0" xfId="2" applyNumberFormat="1" applyFont="1"/>
    <xf numFmtId="37" fontId="9" fillId="0" borderId="0" xfId="2" applyNumberFormat="1" applyFont="1"/>
    <xf numFmtId="166" fontId="9" fillId="0" borderId="0" xfId="2" applyNumberFormat="1" applyFont="1"/>
    <xf numFmtId="0" fontId="22" fillId="0" borderId="0" xfId="2" applyFont="1"/>
    <xf numFmtId="0" fontId="2" fillId="2" borderId="0" xfId="2" applyFont="1" applyFill="1"/>
    <xf numFmtId="165" fontId="17" fillId="0" borderId="0" xfId="2" applyNumberFormat="1" applyFont="1"/>
    <xf numFmtId="165" fontId="12" fillId="0" borderId="0" xfId="2" quotePrefix="1" applyNumberFormat="1" applyFont="1" applyAlignment="1">
      <alignment horizontal="left"/>
    </xf>
    <xf numFmtId="165" fontId="12" fillId="0" borderId="0" xfId="2" applyNumberFormat="1" applyFont="1"/>
    <xf numFmtId="37" fontId="12" fillId="0" borderId="0" xfId="2" applyNumberFormat="1" applyFont="1"/>
    <xf numFmtId="37" fontId="14" fillId="0" borderId="0" xfId="2" applyNumberFormat="1" applyFont="1"/>
    <xf numFmtId="0" fontId="17" fillId="0" borderId="0" xfId="2" applyFont="1"/>
    <xf numFmtId="165" fontId="12" fillId="0" borderId="0" xfId="2" quotePrefix="1" applyNumberFormat="1" applyFont="1"/>
    <xf numFmtId="165" fontId="12" fillId="0" borderId="0" xfId="2" quotePrefix="1" applyNumberFormat="1" applyFont="1" applyAlignment="1">
      <alignment horizontal="left" indent="1"/>
    </xf>
    <xf numFmtId="0" fontId="17" fillId="0" borderId="1" xfId="2" applyFont="1" applyBorder="1"/>
    <xf numFmtId="0" fontId="17" fillId="0" borderId="12" xfId="2" applyFont="1" applyBorder="1"/>
    <xf numFmtId="0" fontId="17" fillId="0" borderId="13" xfId="2" applyFont="1" applyBorder="1"/>
    <xf numFmtId="166" fontId="12" fillId="0" borderId="0" xfId="2" applyNumberFormat="1" applyFont="1"/>
    <xf numFmtId="166" fontId="12" fillId="0" borderId="0" xfId="2" applyNumberFormat="1" applyFont="1" applyAlignment="1">
      <alignment horizontal="right"/>
    </xf>
    <xf numFmtId="0" fontId="12" fillId="0" borderId="14" xfId="2" applyFont="1" applyBorder="1"/>
    <xf numFmtId="166" fontId="12" fillId="0" borderId="14" xfId="2" applyNumberFormat="1" applyFont="1" applyBorder="1" applyAlignment="1">
      <alignment horizontal="right"/>
    </xf>
    <xf numFmtId="173" fontId="11" fillId="0" borderId="0" xfId="2" applyNumberFormat="1" applyFont="1"/>
    <xf numFmtId="165" fontId="21" fillId="0" borderId="0" xfId="2" applyNumberFormat="1" applyFont="1"/>
    <xf numFmtId="0" fontId="12" fillId="0" borderId="0" xfId="2" applyFont="1" applyAlignment="1">
      <alignment horizontal="left" indent="1"/>
    </xf>
    <xf numFmtId="0" fontId="17" fillId="0" borderId="12" xfId="2" applyFont="1" applyBorder="1" applyAlignment="1">
      <alignment horizontal="left"/>
    </xf>
    <xf numFmtId="0" fontId="2" fillId="3" borderId="12" xfId="2" applyFont="1" applyFill="1" applyBorder="1"/>
    <xf numFmtId="175" fontId="12" fillId="0" borderId="0" xfId="1" applyNumberFormat="1" applyFont="1" applyFill="1"/>
    <xf numFmtId="175" fontId="12" fillId="0" borderId="0" xfId="4" applyNumberFormat="1" applyFont="1" applyFill="1" applyAlignment="1">
      <alignment horizontal="right"/>
    </xf>
    <xf numFmtId="0" fontId="12" fillId="0" borderId="0" xfId="2" applyFont="1" applyAlignment="1">
      <alignment horizontal="left"/>
    </xf>
    <xf numFmtId="37" fontId="12" fillId="0" borderId="0" xfId="2" quotePrefix="1" applyNumberFormat="1" applyFont="1" applyAlignment="1">
      <alignment horizontal="left" indent="1"/>
    </xf>
    <xf numFmtId="0" fontId="4" fillId="0" borderId="0" xfId="2" applyFont="1"/>
    <xf numFmtId="37" fontId="25" fillId="0" borderId="0" xfId="2" applyNumberFormat="1" applyFont="1"/>
    <xf numFmtId="175" fontId="1" fillId="0" borderId="0" xfId="1" applyNumberFormat="1" applyFont="1" applyFill="1"/>
    <xf numFmtId="170" fontId="19" fillId="0" borderId="0" xfId="2" applyNumberFormat="1" applyFont="1"/>
    <xf numFmtId="175" fontId="12" fillId="0" borderId="0" xfId="4" applyNumberFormat="1" applyFont="1" applyFill="1" applyBorder="1" applyAlignment="1">
      <alignment horizontal="right"/>
    </xf>
    <xf numFmtId="175" fontId="0" fillId="0" borderId="0" xfId="1" applyNumberFormat="1" applyFont="1" applyFill="1" applyAlignment="1">
      <alignment horizontal="right"/>
    </xf>
    <xf numFmtId="0" fontId="19" fillId="0" borderId="0" xfId="2" applyFont="1" applyAlignment="1">
      <alignment horizontal="right"/>
    </xf>
    <xf numFmtId="0" fontId="19" fillId="0" borderId="1" xfId="2" applyFont="1" applyBorder="1" applyAlignment="1">
      <alignment horizontal="right"/>
    </xf>
    <xf numFmtId="170" fontId="19" fillId="0" borderId="0" xfId="2" applyNumberFormat="1" applyFont="1" applyAlignment="1">
      <alignment horizontal="right"/>
    </xf>
    <xf numFmtId="169" fontId="2" fillId="2" borderId="0" xfId="2" applyNumberFormat="1" applyFont="1" applyFill="1" applyAlignment="1">
      <alignment horizontal="right"/>
    </xf>
    <xf numFmtId="37" fontId="12" fillId="0" borderId="0" xfId="2" applyNumberFormat="1" applyFont="1" applyAlignment="1">
      <alignment horizontal="right"/>
    </xf>
    <xf numFmtId="175" fontId="1" fillId="0" borderId="0" xfId="1" applyNumberFormat="1" applyFont="1" applyFill="1" applyAlignment="1">
      <alignment horizontal="right"/>
    </xf>
    <xf numFmtId="0" fontId="12" fillId="0" borderId="0" xfId="2" applyFont="1" applyAlignment="1">
      <alignment horizontal="right"/>
    </xf>
    <xf numFmtId="0" fontId="9" fillId="0" borderId="0" xfId="2" applyFont="1" applyAlignment="1">
      <alignment horizontal="right"/>
    </xf>
    <xf numFmtId="0" fontId="26" fillId="0" borderId="0" xfId="2" applyFont="1"/>
    <xf numFmtId="0" fontId="20" fillId="0" borderId="1" xfId="2" applyFont="1" applyBorder="1" applyAlignment="1">
      <alignment horizontal="right"/>
    </xf>
    <xf numFmtId="37" fontId="14" fillId="0" borderId="0" xfId="2" applyNumberFormat="1" applyFont="1" applyAlignment="1">
      <alignment horizontal="right"/>
    </xf>
    <xf numFmtId="175" fontId="17" fillId="0" borderId="0" xfId="1" applyNumberFormat="1" applyFont="1" applyAlignment="1">
      <alignment horizontal="right"/>
    </xf>
    <xf numFmtId="175" fontId="17" fillId="0" borderId="1" xfId="1" applyNumberFormat="1" applyFont="1" applyFill="1" applyBorder="1" applyAlignment="1">
      <alignment horizontal="right"/>
    </xf>
    <xf numFmtId="175" fontId="12" fillId="0" borderId="0" xfId="1" applyNumberFormat="1" applyFont="1" applyAlignment="1">
      <alignment horizontal="right"/>
    </xf>
    <xf numFmtId="175" fontId="12" fillId="0" borderId="0" xfId="2" applyNumberFormat="1" applyFont="1" applyAlignment="1">
      <alignment horizontal="right"/>
    </xf>
    <xf numFmtId="0" fontId="17" fillId="0" borderId="13" xfId="2" applyFont="1" applyBorder="1" applyAlignment="1">
      <alignment horizontal="right"/>
    </xf>
    <xf numFmtId="175" fontId="0" fillId="0" borderId="0" xfId="1" applyNumberFormat="1" applyFont="1" applyFill="1" applyAlignment="1">
      <alignment horizontal="right" vertical="center"/>
    </xf>
    <xf numFmtId="175" fontId="17" fillId="0" borderId="0" xfId="1" applyNumberFormat="1" applyFont="1" applyFill="1" applyAlignment="1">
      <alignment horizontal="right"/>
    </xf>
    <xf numFmtId="175" fontId="12" fillId="0" borderId="0" xfId="1" applyNumberFormat="1" applyFont="1" applyFill="1" applyAlignment="1">
      <alignment horizontal="right"/>
    </xf>
    <xf numFmtId="175" fontId="12" fillId="0" borderId="0" xfId="1" applyNumberFormat="1" applyFont="1" applyFill="1" applyAlignment="1">
      <alignment horizontal="right" vertical="center"/>
    </xf>
    <xf numFmtId="0" fontId="8" fillId="0" borderId="17" xfId="2" applyFont="1" applyBorder="1"/>
    <xf numFmtId="0" fontId="12" fillId="5" borderId="5" xfId="2" applyFont="1" applyFill="1" applyBorder="1"/>
    <xf numFmtId="0" fontId="12" fillId="5" borderId="0" xfId="2" applyFont="1" applyFill="1"/>
    <xf numFmtId="0" fontId="13" fillId="5" borderId="6" xfId="2" applyFont="1" applyFill="1" applyBorder="1" applyAlignment="1">
      <alignment horizontal="left"/>
    </xf>
    <xf numFmtId="0" fontId="4" fillId="5" borderId="0" xfId="2" applyFont="1" applyFill="1" applyAlignment="1">
      <alignment horizontal="left"/>
    </xf>
    <xf numFmtId="0" fontId="1" fillId="5" borderId="6" xfId="2" applyFont="1" applyFill="1" applyBorder="1" applyAlignment="1">
      <alignment horizontal="left"/>
    </xf>
    <xf numFmtId="0" fontId="12" fillId="5" borderId="7" xfId="2" applyFont="1" applyFill="1" applyBorder="1"/>
    <xf numFmtId="0" fontId="12" fillId="5" borderId="8" xfId="2" applyFont="1" applyFill="1" applyBorder="1"/>
    <xf numFmtId="169" fontId="2" fillId="2" borderId="0" xfId="2" applyNumberFormat="1" applyFont="1" applyFill="1" applyAlignment="1">
      <alignment horizontal="center"/>
    </xf>
    <xf numFmtId="0" fontId="2" fillId="2" borderId="0" xfId="2" applyFont="1" applyFill="1" applyAlignment="1">
      <alignment horizontal="center"/>
    </xf>
    <xf numFmtId="0" fontId="6" fillId="0" borderId="0" xfId="2" applyFont="1" applyAlignment="1">
      <alignment horizontal="right"/>
    </xf>
    <xf numFmtId="0" fontId="22" fillId="0" borderId="0" xfId="2" applyFont="1" applyAlignment="1">
      <alignment horizontal="right"/>
    </xf>
    <xf numFmtId="175" fontId="17" fillId="0" borderId="0" xfId="1" applyNumberFormat="1" applyFont="1" applyBorder="1" applyAlignment="1">
      <alignment horizontal="right"/>
    </xf>
    <xf numFmtId="175" fontId="12" fillId="0" borderId="0" xfId="1" applyNumberFormat="1" applyFont="1" applyBorder="1" applyAlignment="1">
      <alignment horizontal="right"/>
    </xf>
    <xf numFmtId="175" fontId="12" fillId="0" borderId="0" xfId="1" applyNumberFormat="1" applyFont="1" applyFill="1" applyBorder="1" applyAlignment="1">
      <alignment horizontal="right"/>
    </xf>
    <xf numFmtId="172" fontId="9" fillId="0" borderId="0" xfId="2" applyNumberFormat="1" applyFont="1" applyAlignment="1">
      <alignment horizontal="right"/>
    </xf>
    <xf numFmtId="37" fontId="9" fillId="0" borderId="0" xfId="2" applyNumberFormat="1" applyFont="1" applyAlignment="1">
      <alignment horizontal="right"/>
    </xf>
    <xf numFmtId="175" fontId="3" fillId="0" borderId="0" xfId="1" applyNumberFormat="1" applyFont="1" applyFill="1" applyAlignment="1">
      <alignment horizontal="right"/>
    </xf>
    <xf numFmtId="168" fontId="9" fillId="0" borderId="0" xfId="2" applyNumberFormat="1" applyFont="1"/>
    <xf numFmtId="175" fontId="17" fillId="0" borderId="1" xfId="2" applyNumberFormat="1" applyFont="1" applyBorder="1" applyAlignment="1">
      <alignment horizontal="right"/>
    </xf>
    <xf numFmtId="166" fontId="12" fillId="0" borderId="1" xfId="2" applyNumberFormat="1" applyFont="1" applyBorder="1" applyAlignment="1">
      <alignment horizontal="right"/>
    </xf>
    <xf numFmtId="180" fontId="9" fillId="0" borderId="0" xfId="2" applyNumberFormat="1" applyFont="1" applyAlignment="1">
      <alignment horizontal="right"/>
    </xf>
    <xf numFmtId="0" fontId="3" fillId="0" borderId="0" xfId="1" applyNumberFormat="1" applyFont="1" applyFill="1" applyAlignment="1">
      <alignment horizontal="right"/>
    </xf>
    <xf numFmtId="181" fontId="9" fillId="0" borderId="0" xfId="2" applyNumberFormat="1" applyFont="1" applyAlignment="1">
      <alignment horizontal="right"/>
    </xf>
    <xf numFmtId="182" fontId="9" fillId="0" borderId="0" xfId="2" applyNumberFormat="1" applyFont="1" applyAlignment="1">
      <alignment horizontal="right"/>
    </xf>
    <xf numFmtId="175" fontId="3" fillId="0" borderId="0" xfId="1" applyNumberFormat="1" applyFont="1" applyFill="1"/>
    <xf numFmtId="175" fontId="17" fillId="0" borderId="0" xfId="1" applyNumberFormat="1" applyFont="1" applyFill="1"/>
    <xf numFmtId="165" fontId="12" fillId="0" borderId="0" xfId="2" applyNumberFormat="1" applyFont="1" applyAlignment="1">
      <alignment horizontal="left"/>
    </xf>
    <xf numFmtId="175" fontId="0" fillId="0" borderId="0" xfId="1" applyNumberFormat="1" applyFont="1" applyFill="1"/>
    <xf numFmtId="0" fontId="24" fillId="0" borderId="0" xfId="2" applyFont="1" applyAlignment="1">
      <alignment horizontal="right"/>
    </xf>
    <xf numFmtId="0" fontId="23" fillId="0" borderId="0" xfId="2" applyFont="1"/>
    <xf numFmtId="0" fontId="17" fillId="0" borderId="0" xfId="2" applyFont="1" applyAlignment="1">
      <alignment horizontal="right"/>
    </xf>
    <xf numFmtId="175" fontId="12" fillId="0" borderId="0" xfId="1" applyNumberFormat="1" applyFont="1" applyFill="1" applyBorder="1"/>
    <xf numFmtId="175" fontId="3" fillId="0" borderId="12" xfId="1" applyNumberFormat="1" applyFont="1" applyBorder="1" applyAlignment="1">
      <alignment horizontal="right"/>
    </xf>
    <xf numFmtId="0" fontId="2" fillId="2" borderId="0" xfId="2" applyFont="1" applyFill="1" applyAlignment="1">
      <alignment horizontal="right"/>
    </xf>
    <xf numFmtId="174" fontId="1" fillId="0" borderId="0" xfId="1" applyNumberFormat="1" applyFont="1" applyAlignment="1">
      <alignment horizontal="right"/>
    </xf>
    <xf numFmtId="175" fontId="3" fillId="0" borderId="12" xfId="1" applyNumberFormat="1" applyFont="1" applyFill="1" applyBorder="1" applyAlignment="1">
      <alignment horizontal="right"/>
    </xf>
    <xf numFmtId="175" fontId="1" fillId="0" borderId="0" xfId="1" applyNumberFormat="1" applyFont="1" applyAlignment="1">
      <alignment horizontal="right"/>
    </xf>
    <xf numFmtId="175" fontId="0" fillId="0" borderId="0" xfId="1" applyNumberFormat="1" applyFont="1" applyAlignment="1">
      <alignment horizontal="right"/>
    </xf>
    <xf numFmtId="175" fontId="2" fillId="3" borderId="12" xfId="1" applyNumberFormat="1" applyFont="1" applyFill="1" applyBorder="1" applyAlignment="1">
      <alignment horizontal="right"/>
    </xf>
    <xf numFmtId="183" fontId="12" fillId="0" borderId="0" xfId="1" applyNumberFormat="1" applyFont="1" applyAlignment="1">
      <alignment horizontal="right"/>
    </xf>
    <xf numFmtId="175" fontId="17" fillId="0" borderId="0" xfId="1" applyNumberFormat="1" applyFont="1" applyFill="1" applyBorder="1" applyAlignment="1">
      <alignment horizontal="right"/>
    </xf>
    <xf numFmtId="175" fontId="17" fillId="0" borderId="12" xfId="1" applyNumberFormat="1" applyFont="1" applyFill="1" applyBorder="1" applyAlignment="1">
      <alignment horizontal="right"/>
    </xf>
    <xf numFmtId="0" fontId="29" fillId="0" borderId="0" xfId="2" applyFont="1" applyAlignment="1">
      <alignment horizontal="right"/>
    </xf>
    <xf numFmtId="0" fontId="7" fillId="0" borderId="1" xfId="2" applyFont="1" applyBorder="1" applyAlignment="1">
      <alignment horizontal="right"/>
    </xf>
    <xf numFmtId="0" fontId="6" fillId="0" borderId="1" xfId="2" applyFont="1" applyBorder="1" applyAlignment="1">
      <alignment horizontal="right"/>
    </xf>
    <xf numFmtId="170" fontId="6" fillId="0" borderId="0" xfId="2" applyNumberFormat="1" applyFont="1" applyAlignment="1">
      <alignment horizontal="right"/>
    </xf>
    <xf numFmtId="0" fontId="12" fillId="0" borderId="1" xfId="2" applyFont="1" applyBorder="1" applyAlignment="1">
      <alignment horizontal="right"/>
    </xf>
    <xf numFmtId="171" fontId="12" fillId="0" borderId="0" xfId="2" applyNumberFormat="1" applyFont="1" applyAlignment="1">
      <alignment horizontal="right"/>
    </xf>
    <xf numFmtId="179" fontId="27" fillId="0" borderId="0" xfId="2" applyNumberFormat="1" applyFont="1" applyAlignment="1">
      <alignment horizontal="right"/>
    </xf>
    <xf numFmtId="175" fontId="16" fillId="0" borderId="0" xfId="2" applyNumberFormat="1" applyFont="1" applyAlignment="1">
      <alignment horizontal="right"/>
    </xf>
    <xf numFmtId="175" fontId="16" fillId="0" borderId="0" xfId="4" applyNumberFormat="1" applyFont="1" applyFill="1" applyAlignment="1">
      <alignment horizontal="right"/>
    </xf>
    <xf numFmtId="175" fontId="16" fillId="0" borderId="0" xfId="4" applyNumberFormat="1" applyFont="1" applyFill="1" applyBorder="1" applyAlignment="1">
      <alignment horizontal="right"/>
    </xf>
    <xf numFmtId="179" fontId="9" fillId="0" borderId="0" xfId="2" applyNumberFormat="1" applyFont="1" applyAlignment="1">
      <alignment horizontal="right"/>
    </xf>
    <xf numFmtId="0" fontId="30" fillId="0" borderId="0" xfId="2" applyFont="1"/>
    <xf numFmtId="0" fontId="32" fillId="0" borderId="0" xfId="0" applyFont="1"/>
    <xf numFmtId="175" fontId="32" fillId="0" borderId="0" xfId="1" applyNumberFormat="1" applyFont="1" applyAlignment="1">
      <alignment horizontal="right"/>
    </xf>
    <xf numFmtId="37" fontId="31" fillId="0" borderId="0" xfId="2" applyNumberFormat="1" applyFont="1"/>
    <xf numFmtId="175" fontId="2" fillId="3" borderId="12" xfId="2" applyNumberFormat="1" applyFont="1" applyFill="1" applyBorder="1"/>
    <xf numFmtId="175" fontId="17" fillId="0" borderId="12" xfId="2" applyNumberFormat="1" applyFont="1" applyBorder="1"/>
    <xf numFmtId="175" fontId="12" fillId="0" borderId="0" xfId="2" applyNumberFormat="1" applyFont="1" applyAlignment="1">
      <alignment horizontal="left" indent="1"/>
    </xf>
    <xf numFmtId="0" fontId="12" fillId="0" borderId="1" xfId="2" applyFont="1" applyBorder="1"/>
    <xf numFmtId="176" fontId="9" fillId="0" borderId="0" xfId="7" applyNumberFormat="1" applyFont="1" applyFill="1" applyBorder="1"/>
    <xf numFmtId="175" fontId="28" fillId="0" borderId="0" xfId="0" applyNumberFormat="1" applyFont="1" applyAlignment="1">
      <alignment horizontal="right"/>
    </xf>
    <xf numFmtId="177" fontId="28" fillId="0" borderId="0" xfId="0" applyNumberFormat="1" applyFont="1" applyAlignment="1">
      <alignment horizontal="right"/>
    </xf>
    <xf numFmtId="0" fontId="17" fillId="0" borderId="1" xfId="2" applyFont="1" applyBorder="1" applyAlignment="1">
      <alignment horizontal="right"/>
    </xf>
    <xf numFmtId="175" fontId="16" fillId="0" borderId="0" xfId="1" applyNumberFormat="1" applyFont="1" applyFill="1" applyAlignment="1">
      <alignment horizontal="right"/>
    </xf>
    <xf numFmtId="0" fontId="17" fillId="0" borderId="12" xfId="2" applyFont="1" applyBorder="1" applyAlignment="1">
      <alignment horizontal="right"/>
    </xf>
    <xf numFmtId="0" fontId="12" fillId="0" borderId="14" xfId="2" applyFont="1" applyBorder="1" applyAlignment="1">
      <alignment horizontal="right"/>
    </xf>
    <xf numFmtId="166" fontId="12" fillId="0" borderId="1" xfId="2" applyNumberFormat="1" applyFont="1" applyBorder="1"/>
    <xf numFmtId="183" fontId="12" fillId="0" borderId="1" xfId="1" applyNumberFormat="1" applyFont="1" applyBorder="1" applyAlignment="1">
      <alignment horizontal="right"/>
    </xf>
    <xf numFmtId="0" fontId="12" fillId="5" borderId="19" xfId="3" applyFont="1" applyFill="1" applyBorder="1" applyAlignment="1">
      <alignment vertical="top" wrapText="1"/>
    </xf>
    <xf numFmtId="0" fontId="12" fillId="5" borderId="0" xfId="3" applyFont="1" applyFill="1" applyAlignment="1">
      <alignment vertical="top" wrapText="1"/>
    </xf>
    <xf numFmtId="0" fontId="12" fillId="5" borderId="22" xfId="3" applyFont="1" applyFill="1" applyBorder="1" applyAlignment="1">
      <alignment vertical="top" wrapText="1"/>
    </xf>
    <xf numFmtId="0" fontId="12" fillId="5" borderId="23" xfId="3" applyFont="1" applyFill="1" applyBorder="1" applyAlignment="1">
      <alignment vertical="top" wrapText="1"/>
    </xf>
    <xf numFmtId="0" fontId="12" fillId="5" borderId="24" xfId="3" applyFont="1" applyFill="1" applyBorder="1" applyAlignment="1">
      <alignment vertical="top" wrapText="1"/>
    </xf>
    <xf numFmtId="0" fontId="12" fillId="5" borderId="25" xfId="3" applyFont="1" applyFill="1" applyBorder="1" applyAlignment="1">
      <alignment vertical="top" wrapText="1"/>
    </xf>
    <xf numFmtId="0" fontId="12" fillId="0" borderId="1" xfId="2" applyFont="1" applyBorder="1" applyAlignment="1">
      <alignment horizontal="left"/>
    </xf>
    <xf numFmtId="175" fontId="1" fillId="0" borderId="1" xfId="1" applyNumberFormat="1" applyFont="1" applyBorder="1" applyAlignment="1">
      <alignment horizontal="right"/>
    </xf>
    <xf numFmtId="0" fontId="0" fillId="0" borderId="0" xfId="1" applyNumberFormat="1" applyFont="1" applyFill="1" applyAlignment="1">
      <alignment horizontal="right" vertical="center"/>
    </xf>
    <xf numFmtId="175" fontId="9" fillId="0" borderId="0" xfId="2" applyNumberFormat="1" applyFont="1" applyAlignment="1">
      <alignment horizontal="right"/>
    </xf>
    <xf numFmtId="175" fontId="2" fillId="3" borderId="12" xfId="2" applyNumberFormat="1" applyFont="1" applyFill="1" applyBorder="1" applyAlignment="1">
      <alignment horizontal="right"/>
    </xf>
    <xf numFmtId="175" fontId="34" fillId="0" borderId="12" xfId="2" applyNumberFormat="1" applyFont="1" applyBorder="1" applyAlignment="1">
      <alignment horizontal="right"/>
    </xf>
    <xf numFmtId="175" fontId="22" fillId="0" borderId="0" xfId="2" applyNumberFormat="1" applyFont="1" applyAlignment="1">
      <alignment horizontal="right"/>
    </xf>
    <xf numFmtId="175" fontId="32" fillId="0" borderId="1" xfId="1" applyNumberFormat="1" applyFont="1" applyBorder="1" applyAlignment="1">
      <alignment horizontal="right"/>
    </xf>
    <xf numFmtId="177" fontId="19" fillId="0" borderId="0" xfId="2" applyNumberFormat="1" applyFont="1" applyAlignment="1">
      <alignment horizontal="right"/>
    </xf>
    <xf numFmtId="175" fontId="1" fillId="0" borderId="0" xfId="1" applyNumberFormat="1" applyFont="1" applyFill="1" applyBorder="1" applyAlignment="1">
      <alignment horizontal="right"/>
    </xf>
    <xf numFmtId="164" fontId="17" fillId="0" borderId="0" xfId="1" applyNumberFormat="1" applyFont="1" applyFill="1" applyAlignment="1">
      <alignment horizontal="right"/>
    </xf>
    <xf numFmtId="0" fontId="36" fillId="0" borderId="0" xfId="2" applyFont="1"/>
    <xf numFmtId="0" fontId="22" fillId="0" borderId="26" xfId="2" applyFont="1" applyBorder="1" applyAlignment="1">
      <alignment horizontal="left" indent="1"/>
    </xf>
    <xf numFmtId="175" fontId="32" fillId="0" borderId="26" xfId="1" applyNumberFormat="1" applyFont="1" applyBorder="1" applyAlignment="1">
      <alignment horizontal="right"/>
    </xf>
    <xf numFmtId="170" fontId="37" fillId="0" borderId="0" xfId="2" applyNumberFormat="1" applyFont="1" applyAlignment="1">
      <alignment horizontal="right"/>
    </xf>
    <xf numFmtId="0" fontId="12" fillId="0" borderId="27" xfId="2" applyFont="1" applyBorder="1" applyAlignment="1">
      <alignment horizontal="left" indent="1"/>
    </xf>
    <xf numFmtId="175" fontId="12" fillId="0" borderId="27" xfId="2" applyNumberFormat="1" applyFont="1" applyBorder="1" applyAlignment="1">
      <alignment horizontal="left" indent="1"/>
    </xf>
    <xf numFmtId="175" fontId="22" fillId="0" borderId="27" xfId="2" applyNumberFormat="1" applyFont="1" applyBorder="1" applyAlignment="1">
      <alignment horizontal="right"/>
    </xf>
    <xf numFmtId="0" fontId="17" fillId="0" borderId="28" xfId="2" applyFont="1" applyBorder="1" applyAlignment="1">
      <alignment horizontal="left"/>
    </xf>
    <xf numFmtId="175" fontId="3" fillId="0" borderId="28" xfId="1" applyNumberFormat="1" applyFont="1" applyBorder="1" applyAlignment="1">
      <alignment horizontal="right"/>
    </xf>
    <xf numFmtId="175" fontId="35" fillId="0" borderId="28" xfId="1" applyNumberFormat="1" applyFont="1" applyBorder="1" applyAlignment="1">
      <alignment horizontal="right"/>
    </xf>
    <xf numFmtId="0" fontId="22" fillId="0" borderId="27" xfId="2" applyFont="1" applyBorder="1" applyAlignment="1">
      <alignment horizontal="left" indent="1"/>
    </xf>
    <xf numFmtId="175" fontId="32" fillId="0" borderId="27" xfId="1" applyNumberFormat="1" applyFont="1" applyBorder="1" applyAlignment="1">
      <alignment horizontal="right"/>
    </xf>
    <xf numFmtId="165" fontId="12" fillId="0" borderId="0" xfId="2" applyNumberFormat="1" applyFont="1" applyAlignment="1">
      <alignment horizontal="left" indent="1"/>
    </xf>
    <xf numFmtId="178" fontId="12" fillId="0" borderId="0" xfId="2" applyNumberFormat="1" applyFont="1" applyAlignment="1">
      <alignment horizontal="right"/>
    </xf>
    <xf numFmtId="178" fontId="12" fillId="0" borderId="0" xfId="1" applyNumberFormat="1" applyFont="1" applyFill="1" applyAlignment="1">
      <alignment horizontal="right"/>
    </xf>
    <xf numFmtId="178" fontId="9" fillId="0" borderId="0" xfId="2" applyNumberFormat="1" applyFont="1"/>
    <xf numFmtId="9" fontId="12" fillId="0" borderId="0" xfId="7" applyFont="1" applyFill="1" applyBorder="1" applyAlignment="1">
      <alignment horizontal="right"/>
    </xf>
    <xf numFmtId="175" fontId="1" fillId="0" borderId="0" xfId="1" applyNumberFormat="1" applyFont="1" applyFill="1" applyAlignment="1">
      <alignment horizontal="right" vertical="center"/>
    </xf>
    <xf numFmtId="0" fontId="17" fillId="0" borderId="12" xfId="2" applyFont="1" applyBorder="1" applyAlignment="1">
      <alignment horizontal="left" indent="1"/>
    </xf>
    <xf numFmtId="175" fontId="17" fillId="0" borderId="12" xfId="2" applyNumberFormat="1" applyFont="1" applyBorder="1" applyAlignment="1">
      <alignment horizontal="right"/>
    </xf>
    <xf numFmtId="175" fontId="17" fillId="0" borderId="0" xfId="2" applyNumberFormat="1" applyFont="1" applyAlignment="1">
      <alignment horizontal="right"/>
    </xf>
    <xf numFmtId="177" fontId="12" fillId="0" borderId="0" xfId="2" applyNumberFormat="1" applyFont="1" applyAlignment="1">
      <alignment horizontal="right"/>
    </xf>
    <xf numFmtId="0" fontId="1" fillId="0" borderId="0" xfId="2" applyFont="1"/>
    <xf numFmtId="0" fontId="12" fillId="0" borderId="0" xfId="2" quotePrefix="1" applyFont="1"/>
    <xf numFmtId="0" fontId="12" fillId="5" borderId="21" xfId="3" applyFont="1" applyFill="1" applyBorder="1" applyAlignment="1">
      <alignment vertical="top" wrapText="1"/>
    </xf>
    <xf numFmtId="175" fontId="38" fillId="0" borderId="0" xfId="2" applyNumberFormat="1" applyFont="1" applyAlignment="1">
      <alignment horizontal="right"/>
    </xf>
    <xf numFmtId="175" fontId="33" fillId="0" borderId="0" xfId="1" applyNumberFormat="1" applyFont="1" applyFill="1" applyAlignment="1">
      <alignment horizontal="right" vertical="center"/>
    </xf>
    <xf numFmtId="175" fontId="6" fillId="0" borderId="0" xfId="1" applyNumberFormat="1" applyFont="1" applyFill="1" applyAlignment="1">
      <alignment horizontal="right" vertical="center"/>
    </xf>
    <xf numFmtId="177" fontId="9" fillId="0" borderId="0" xfId="2" applyNumberFormat="1" applyFont="1" applyAlignment="1">
      <alignment horizontal="right"/>
    </xf>
    <xf numFmtId="175" fontId="39" fillId="0" borderId="0" xfId="1" applyNumberFormat="1" applyFont="1" applyFill="1" applyBorder="1" applyAlignment="1">
      <alignment horizontal="right" vertical="center"/>
    </xf>
    <xf numFmtId="170" fontId="12" fillId="0" borderId="0" xfId="2" applyNumberFormat="1" applyFont="1"/>
    <xf numFmtId="170" fontId="12" fillId="0" borderId="0" xfId="2" applyNumberFormat="1" applyFont="1" applyAlignment="1">
      <alignment horizontal="right"/>
    </xf>
    <xf numFmtId="177" fontId="12" fillId="0" borderId="0" xfId="2" applyNumberFormat="1" applyFont="1"/>
    <xf numFmtId="184" fontId="19" fillId="0" borderId="0" xfId="1" applyNumberFormat="1" applyFont="1" applyFill="1" applyBorder="1" applyAlignment="1">
      <alignment horizontal="right"/>
    </xf>
    <xf numFmtId="184" fontId="19" fillId="0" borderId="0" xfId="2" applyNumberFormat="1" applyFont="1" applyAlignment="1">
      <alignment horizontal="right"/>
    </xf>
    <xf numFmtId="178" fontId="1" fillId="0" borderId="0" xfId="1" applyNumberFormat="1" applyFont="1" applyFill="1" applyAlignment="1">
      <alignment horizontal="right"/>
    </xf>
    <xf numFmtId="176" fontId="11" fillId="0" borderId="0" xfId="7" applyNumberFormat="1" applyFont="1" applyFill="1"/>
    <xf numFmtId="43" fontId="0" fillId="0" borderId="0" xfId="0" applyNumberFormat="1"/>
    <xf numFmtId="175" fontId="6" fillId="0" borderId="0" xfId="1" applyNumberFormat="1" applyFont="1" applyFill="1" applyAlignment="1">
      <alignment horizontal="right"/>
    </xf>
    <xf numFmtId="175" fontId="33" fillId="0" borderId="0" xfId="1" applyNumberFormat="1" applyFont="1" applyFill="1" applyAlignment="1">
      <alignment horizontal="right"/>
    </xf>
    <xf numFmtId="175" fontId="6" fillId="0" borderId="0" xfId="1" applyNumberFormat="1" applyFont="1" applyFill="1" applyBorder="1" applyAlignment="1">
      <alignment horizontal="right"/>
    </xf>
    <xf numFmtId="177" fontId="17" fillId="0" borderId="0" xfId="2" applyNumberFormat="1" applyFont="1" applyAlignment="1">
      <alignment horizontal="right"/>
    </xf>
    <xf numFmtId="175" fontId="12" fillId="0" borderId="29" xfId="1" applyNumberFormat="1" applyFont="1" applyFill="1" applyBorder="1" applyAlignment="1">
      <alignment horizontal="right"/>
    </xf>
    <xf numFmtId="0" fontId="17" fillId="0" borderId="29" xfId="2" applyFont="1" applyBorder="1" applyAlignment="1">
      <alignment horizontal="right"/>
    </xf>
    <xf numFmtId="166" fontId="12" fillId="0" borderId="29" xfId="2" applyNumberFormat="1" applyFont="1" applyBorder="1" applyAlignment="1">
      <alignment horizontal="right"/>
    </xf>
    <xf numFmtId="175" fontId="11" fillId="0" borderId="0" xfId="2" applyNumberFormat="1" applyFont="1"/>
    <xf numFmtId="175" fontId="3" fillId="0" borderId="28" xfId="1" applyNumberFormat="1" applyFont="1" applyFill="1" applyBorder="1" applyAlignment="1">
      <alignment horizontal="right"/>
    </xf>
    <xf numFmtId="175" fontId="32" fillId="0" borderId="27" xfId="1" applyNumberFormat="1" applyFont="1" applyFill="1" applyBorder="1" applyAlignment="1">
      <alignment horizontal="right"/>
    </xf>
    <xf numFmtId="175" fontId="1" fillId="0" borderId="1" xfId="1" applyNumberFormat="1" applyFont="1" applyFill="1" applyBorder="1" applyAlignment="1">
      <alignment horizontal="right"/>
    </xf>
    <xf numFmtId="186" fontId="12" fillId="0" borderId="1" xfId="1" applyNumberFormat="1" applyFont="1" applyFill="1" applyBorder="1" applyAlignment="1">
      <alignment horizontal="right"/>
    </xf>
    <xf numFmtId="186" fontId="12" fillId="0" borderId="0" xfId="1" applyNumberFormat="1" applyFont="1" applyFill="1" applyBorder="1" applyAlignment="1">
      <alignment horizontal="right"/>
    </xf>
    <xf numFmtId="175" fontId="12" fillId="0" borderId="30" xfId="1" applyNumberFormat="1" applyFont="1" applyFill="1" applyBorder="1" applyAlignment="1">
      <alignment horizontal="right"/>
    </xf>
    <xf numFmtId="175" fontId="12" fillId="0" borderId="31" xfId="1" applyNumberFormat="1" applyFont="1" applyFill="1" applyBorder="1" applyAlignment="1">
      <alignment horizontal="right"/>
    </xf>
    <xf numFmtId="0" fontId="17" fillId="0" borderId="31" xfId="2" applyFont="1" applyBorder="1" applyAlignment="1">
      <alignment horizontal="right"/>
    </xf>
    <xf numFmtId="175" fontId="12" fillId="0" borderId="32" xfId="1" applyNumberFormat="1" applyFont="1" applyFill="1" applyBorder="1" applyAlignment="1">
      <alignment horizontal="right"/>
    </xf>
    <xf numFmtId="0" fontId="17" fillId="0" borderId="34" xfId="2" applyFont="1" applyBorder="1" applyAlignment="1">
      <alignment horizontal="right"/>
    </xf>
    <xf numFmtId="166" fontId="12" fillId="0" borderId="32" xfId="2" applyNumberFormat="1" applyFont="1" applyBorder="1" applyAlignment="1">
      <alignment horizontal="right"/>
    </xf>
    <xf numFmtId="0" fontId="19" fillId="0" borderId="33" xfId="2" applyFont="1" applyBorder="1" applyAlignment="1">
      <alignment horizontal="right"/>
    </xf>
    <xf numFmtId="164" fontId="12" fillId="0" borderId="0" xfId="1" applyNumberFormat="1" applyFont="1" applyFill="1" applyAlignment="1">
      <alignment horizontal="right"/>
    </xf>
    <xf numFmtId="187" fontId="12" fillId="0" borderId="0" xfId="1" applyNumberFormat="1" applyFont="1" applyFill="1" applyAlignment="1">
      <alignment horizontal="right"/>
    </xf>
    <xf numFmtId="185" fontId="40" fillId="0" borderId="0" xfId="1" applyNumberFormat="1" applyFont="1" applyAlignment="1">
      <alignment horizontal="right"/>
    </xf>
    <xf numFmtId="188" fontId="12" fillId="0" borderId="0" xfId="2" applyNumberFormat="1" applyFont="1" applyAlignment="1">
      <alignment horizontal="right"/>
    </xf>
    <xf numFmtId="175" fontId="0" fillId="0" borderId="0" xfId="0" applyNumberFormat="1"/>
    <xf numFmtId="175" fontId="3" fillId="0" borderId="1" xfId="1" applyNumberFormat="1" applyFont="1" applyFill="1" applyBorder="1" applyAlignment="1">
      <alignment horizontal="right"/>
    </xf>
    <xf numFmtId="185" fontId="12" fillId="0" borderId="0" xfId="1" applyNumberFormat="1" applyFont="1" applyFill="1" applyAlignment="1">
      <alignment horizontal="right"/>
    </xf>
    <xf numFmtId="175" fontId="12" fillId="6" borderId="0" xfId="1" applyNumberFormat="1" applyFont="1" applyFill="1" applyAlignment="1">
      <alignment horizontal="right"/>
    </xf>
    <xf numFmtId="164" fontId="17" fillId="0" borderId="0" xfId="1" applyNumberFormat="1" applyFont="1" applyFill="1" applyBorder="1" applyAlignment="1">
      <alignment horizontal="right"/>
    </xf>
    <xf numFmtId="43" fontId="11" fillId="0" borderId="0" xfId="1" applyFont="1" applyFill="1"/>
    <xf numFmtId="185" fontId="12" fillId="6" borderId="0" xfId="1" applyNumberFormat="1" applyFont="1" applyFill="1" applyAlignment="1">
      <alignment horizontal="right"/>
    </xf>
    <xf numFmtId="189" fontId="13" fillId="5" borderId="6" xfId="2" applyNumberFormat="1" applyFont="1" applyFill="1" applyBorder="1" applyAlignment="1">
      <alignment horizontal="left"/>
    </xf>
    <xf numFmtId="189" fontId="13" fillId="5" borderId="9" xfId="2" applyNumberFormat="1" applyFont="1" applyFill="1" applyBorder="1" applyAlignment="1">
      <alignment horizontal="left"/>
    </xf>
    <xf numFmtId="185" fontId="12" fillId="0" borderId="0" xfId="1" applyNumberFormat="1" applyFont="1" applyFill="1" applyBorder="1" applyAlignment="1">
      <alignment horizontal="right"/>
    </xf>
    <xf numFmtId="185" fontId="17" fillId="0" borderId="0" xfId="1" applyNumberFormat="1" applyFont="1" applyFill="1" applyAlignment="1">
      <alignment horizontal="right"/>
    </xf>
    <xf numFmtId="185" fontId="17" fillId="0" borderId="0" xfId="2" applyNumberFormat="1" applyFont="1" applyAlignment="1">
      <alignment horizontal="right"/>
    </xf>
    <xf numFmtId="185" fontId="17" fillId="0" borderId="31" xfId="2" applyNumberFormat="1" applyFont="1" applyBorder="1" applyAlignment="1">
      <alignment horizontal="right"/>
    </xf>
    <xf numFmtId="190" fontId="2" fillId="2" borderId="0" xfId="2" applyNumberFormat="1" applyFont="1" applyFill="1" applyAlignment="1">
      <alignment horizontal="right"/>
    </xf>
    <xf numFmtId="189" fontId="2" fillId="2" borderId="0" xfId="2" applyNumberFormat="1" applyFont="1" applyFill="1"/>
    <xf numFmtId="189" fontId="2" fillId="2" borderId="0" xfId="2" applyNumberFormat="1" applyFont="1" applyFill="1" applyAlignment="1">
      <alignment horizontal="right"/>
    </xf>
    <xf numFmtId="175" fontId="17" fillId="0" borderId="33" xfId="1" applyNumberFormat="1" applyFont="1" applyFill="1" applyBorder="1" applyAlignment="1">
      <alignment horizontal="right"/>
    </xf>
    <xf numFmtId="175" fontId="12" fillId="0" borderId="1" xfId="1" applyNumberFormat="1" applyFont="1" applyFill="1" applyBorder="1" applyAlignment="1">
      <alignment horizontal="right"/>
    </xf>
    <xf numFmtId="175" fontId="14" fillId="0" borderId="0" xfId="2" applyNumberFormat="1" applyFont="1" applyAlignment="1">
      <alignment horizontal="right"/>
    </xf>
    <xf numFmtId="175" fontId="17" fillId="0" borderId="34" xfId="2" applyNumberFormat="1" applyFont="1" applyBorder="1" applyAlignment="1">
      <alignment horizontal="right"/>
    </xf>
    <xf numFmtId="175" fontId="2" fillId="2" borderId="0" xfId="2" applyNumberFormat="1" applyFont="1" applyFill="1" applyAlignment="1">
      <alignment horizontal="right"/>
    </xf>
    <xf numFmtId="185" fontId="12" fillId="0" borderId="36" xfId="1" applyNumberFormat="1" applyFont="1" applyFill="1" applyBorder="1" applyAlignment="1">
      <alignment horizontal="right"/>
    </xf>
    <xf numFmtId="185" fontId="17" fillId="0" borderId="35" xfId="2" applyNumberFormat="1" applyFont="1" applyBorder="1" applyAlignment="1">
      <alignment horizontal="right"/>
    </xf>
    <xf numFmtId="175" fontId="3" fillId="0" borderId="33" xfId="1" applyNumberFormat="1" applyFont="1" applyFill="1" applyBorder="1" applyAlignment="1">
      <alignment horizontal="right"/>
    </xf>
    <xf numFmtId="175" fontId="12" fillId="0" borderId="36" xfId="1" applyNumberFormat="1" applyFont="1" applyFill="1" applyBorder="1" applyAlignment="1">
      <alignment horizontal="right"/>
    </xf>
    <xf numFmtId="0" fontId="12" fillId="5" borderId="19" xfId="3" applyFont="1" applyFill="1" applyBorder="1" applyAlignment="1">
      <alignment horizontal="left" vertical="top" wrapText="1"/>
    </xf>
    <xf numFmtId="0" fontId="12" fillId="5" borderId="18" xfId="3" applyFont="1" applyFill="1" applyBorder="1" applyAlignment="1">
      <alignment horizontal="left" vertical="top" wrapText="1"/>
    </xf>
    <xf numFmtId="0" fontId="12" fillId="5" borderId="20" xfId="3" applyFont="1" applyFill="1" applyBorder="1" applyAlignment="1">
      <alignment horizontal="left" vertical="top" wrapText="1"/>
    </xf>
    <xf numFmtId="0" fontId="12" fillId="5" borderId="21" xfId="3" applyFont="1" applyFill="1" applyBorder="1" applyAlignment="1">
      <alignment horizontal="left" vertical="top" wrapText="1"/>
    </xf>
    <xf numFmtId="0" fontId="12" fillId="5" borderId="0" xfId="3" applyFont="1" applyFill="1" applyAlignment="1">
      <alignment horizontal="left" vertical="top" wrapText="1"/>
    </xf>
    <xf numFmtId="0" fontId="12" fillId="5" borderId="22" xfId="3" applyFont="1" applyFill="1" applyBorder="1" applyAlignment="1">
      <alignment horizontal="left" vertical="top" wrapText="1"/>
    </xf>
    <xf numFmtId="0" fontId="12" fillId="5" borderId="23" xfId="3" applyFont="1" applyFill="1" applyBorder="1" applyAlignment="1">
      <alignment horizontal="left" vertical="top" wrapText="1"/>
    </xf>
    <xf numFmtId="0" fontId="12" fillId="5" borderId="24" xfId="3" applyFont="1" applyFill="1" applyBorder="1" applyAlignment="1">
      <alignment horizontal="left" vertical="top" wrapText="1"/>
    </xf>
    <xf numFmtId="0" fontId="12" fillId="5" borderId="25" xfId="3" applyFont="1" applyFill="1" applyBorder="1" applyAlignment="1">
      <alignment horizontal="left" vertical="top" wrapText="1"/>
    </xf>
  </cellXfs>
  <cellStyles count="8">
    <cellStyle name="Bordas divisórias" xfId="5" xr:uid="{00000000-0005-0000-0000-000000000000}"/>
    <cellStyle name="Comma 2" xfId="4" xr:uid="{00000000-0005-0000-0000-000001000000}"/>
    <cellStyle name="Normal" xfId="0" builtinId="0"/>
    <cellStyle name="Normal 3" xfId="2" xr:uid="{00000000-0005-0000-0000-000003000000}"/>
    <cellStyle name="Normal_Multiples" xfId="3" xr:uid="{00000000-0005-0000-0000-000004000000}"/>
    <cellStyle name="Porcentagem" xfId="7" builtinId="5"/>
    <cellStyle name="Total Máscara" xfId="6" xr:uid="{00000000-0005-0000-0000-000006000000}"/>
    <cellStyle name="Vírgula" xfId="1" builtinId="3"/>
  </cellStyles>
  <dxfs count="0"/>
  <tableStyles count="0" defaultTableStyle="TableStyleMedium2" defaultPivotStyle="PivotStyleLight16"/>
  <colors>
    <mruColors>
      <color rgb="FFB6B6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44536</xdr:colOff>
      <xdr:row>0</xdr:row>
      <xdr:rowOff>100852</xdr:rowOff>
    </xdr:from>
    <xdr:to>
      <xdr:col>9</xdr:col>
      <xdr:colOff>746039</xdr:colOff>
      <xdr:row>1</xdr:row>
      <xdr:rowOff>172309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8717889" y="100852"/>
          <a:ext cx="701503" cy="235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90</xdr:col>
      <xdr:colOff>883129</xdr:colOff>
      <xdr:row>0</xdr:row>
      <xdr:rowOff>65543</xdr:rowOff>
    </xdr:from>
    <xdr:ext cx="827486" cy="280707"/>
    <xdr:pic>
      <xdr:nvPicPr>
        <xdr:cNvPr id="2" name="Imagem 1">
          <a:extLst>
            <a:ext uri="{FF2B5EF4-FFF2-40B4-BE49-F238E27FC236}">
              <a16:creationId xmlns:a16="http://schemas.microsoft.com/office/drawing/2014/main" id="{F98A7722-671C-4497-9A94-9B58E0130A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80949158" y="65543"/>
          <a:ext cx="827486" cy="28070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90</xdr:col>
      <xdr:colOff>676648</xdr:colOff>
      <xdr:row>0</xdr:row>
      <xdr:rowOff>103280</xdr:rowOff>
    </xdr:from>
    <xdr:ext cx="878556" cy="275664"/>
    <xdr:pic>
      <xdr:nvPicPr>
        <xdr:cNvPr id="2" name="Imagem 1">
          <a:extLst>
            <a:ext uri="{FF2B5EF4-FFF2-40B4-BE49-F238E27FC236}">
              <a16:creationId xmlns:a16="http://schemas.microsoft.com/office/drawing/2014/main" id="{D5E19F28-2A55-4AED-BED5-EF6AFF0432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76103442" y="103280"/>
          <a:ext cx="878556" cy="27566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84</xdr:col>
      <xdr:colOff>713442</xdr:colOff>
      <xdr:row>0</xdr:row>
      <xdr:rowOff>66737</xdr:rowOff>
    </xdr:from>
    <xdr:ext cx="811507" cy="280707"/>
    <xdr:pic>
      <xdr:nvPicPr>
        <xdr:cNvPr id="2" name="Imagem 1">
          <a:extLst>
            <a:ext uri="{FF2B5EF4-FFF2-40B4-BE49-F238E27FC236}">
              <a16:creationId xmlns:a16="http://schemas.microsoft.com/office/drawing/2014/main" id="{E8AEDFCC-54B7-4C37-9EE0-6FC01E3A96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70189913" y="66737"/>
          <a:ext cx="811507" cy="28070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90</xdr:col>
      <xdr:colOff>664882</xdr:colOff>
      <xdr:row>0</xdr:row>
      <xdr:rowOff>60327</xdr:rowOff>
    </xdr:from>
    <xdr:ext cx="805690" cy="281371"/>
    <xdr:pic>
      <xdr:nvPicPr>
        <xdr:cNvPr id="2" name="Imagem 1">
          <a:extLst>
            <a:ext uri="{FF2B5EF4-FFF2-40B4-BE49-F238E27FC236}">
              <a16:creationId xmlns:a16="http://schemas.microsoft.com/office/drawing/2014/main" id="{E2559FBF-2426-40E5-8596-CDFB41320F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69513823" y="60327"/>
          <a:ext cx="805690" cy="28137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90</xdr:col>
      <xdr:colOff>608855</xdr:colOff>
      <xdr:row>0</xdr:row>
      <xdr:rowOff>79614</xdr:rowOff>
    </xdr:from>
    <xdr:ext cx="819911" cy="280707"/>
    <xdr:pic>
      <xdr:nvPicPr>
        <xdr:cNvPr id="2" name="Imagem 1">
          <a:extLst>
            <a:ext uri="{FF2B5EF4-FFF2-40B4-BE49-F238E27FC236}">
              <a16:creationId xmlns:a16="http://schemas.microsoft.com/office/drawing/2014/main" id="{CEA24BE1-A62A-4FEE-9660-EAF88C7598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71967914" y="79614"/>
          <a:ext cx="819911" cy="2807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2:J60"/>
  <sheetViews>
    <sheetView showGridLines="0" tabSelected="1" zoomScale="85" zoomScaleNormal="85" workbookViewId="0">
      <selection activeCell="D6" sqref="D6"/>
    </sheetView>
  </sheetViews>
  <sheetFormatPr defaultColWidth="11.7265625" defaultRowHeight="13" x14ac:dyDescent="0.3"/>
  <cols>
    <col min="1" max="1" width="2.26953125" style="5" customWidth="1"/>
    <col min="2" max="2" width="34" style="1" customWidth="1"/>
    <col min="3" max="3" width="5.1796875" style="1" customWidth="1"/>
    <col min="4" max="4" width="34" style="1" customWidth="1"/>
    <col min="5" max="5" width="3.54296875" style="1" customWidth="1"/>
    <col min="6" max="6" width="2" style="1" customWidth="1"/>
    <col min="7" max="7" width="10.7265625" style="1" customWidth="1"/>
    <col min="8" max="8" width="26.453125" style="1" customWidth="1"/>
    <col min="9" max="9" width="12" style="1" bestFit="1" customWidth="1"/>
    <col min="10" max="16384" width="11.7265625" style="1"/>
  </cols>
  <sheetData>
    <row r="2" spans="1:10" ht="18.5" x14ac:dyDescent="0.45">
      <c r="A2" s="1"/>
      <c r="B2" s="2" t="str">
        <f>IF(Control!$D$5=1,"Control Panel","Painel de Controle")</f>
        <v>Painel de Controle</v>
      </c>
      <c r="C2" s="3"/>
      <c r="D2" s="3"/>
      <c r="E2" s="3"/>
      <c r="F2" s="3"/>
      <c r="G2" s="3"/>
      <c r="H2" s="4"/>
      <c r="I2" s="4"/>
      <c r="J2" s="4"/>
    </row>
    <row r="3" spans="1:10" x14ac:dyDescent="0.3">
      <c r="A3" s="1"/>
      <c r="H3" s="73" t="str">
        <f>IF(Control!$D$5=1,"Consolidated Financials","Consolidado")</f>
        <v>Consolidado</v>
      </c>
    </row>
    <row r="4" spans="1:10" ht="14.5" x14ac:dyDescent="0.35">
      <c r="A4" s="1"/>
      <c r="B4" s="7" t="str">
        <f>IF(Control!$D$5=1,"Essential Data","Dados Básicos")</f>
        <v>Dados Básicos</v>
      </c>
      <c r="C4" s="8"/>
      <c r="D4" s="9"/>
      <c r="E4" s="10"/>
      <c r="F4" s="10"/>
      <c r="G4" s="10"/>
      <c r="H4" s="10"/>
      <c r="I4" s="10"/>
      <c r="J4" s="10"/>
    </row>
    <row r="5" spans="1:10" ht="14.5" x14ac:dyDescent="0.35">
      <c r="A5" s="1"/>
      <c r="B5" s="74" t="str">
        <f>IF(Control!$D$5=1,"Language (1 = Eng. / 2 = Port.)","Idioma (1 = Ing. / 2 = Port.)")</f>
        <v>Idioma (1 = Ing. / 2 = Port.)</v>
      </c>
      <c r="C5" s="75"/>
      <c r="D5" s="76">
        <v>2</v>
      </c>
      <c r="E5" s="10"/>
      <c r="F5" s="10"/>
      <c r="G5" s="10"/>
      <c r="H5" s="10"/>
      <c r="I5" s="10"/>
      <c r="J5" s="10"/>
    </row>
    <row r="6" spans="1:10" s="5" customFormat="1" ht="14.5" x14ac:dyDescent="0.35">
      <c r="B6" s="74" t="str">
        <f>IF(Control!$D$5=1,"Company Name","Nome da Companhia")</f>
        <v>Nome da Companhia</v>
      </c>
      <c r="C6" s="75"/>
      <c r="D6" s="76" t="s">
        <v>0</v>
      </c>
      <c r="E6" s="10"/>
      <c r="F6" s="10"/>
      <c r="G6" s="10"/>
      <c r="H6" s="10"/>
      <c r="I6" s="10"/>
      <c r="J6" s="10"/>
    </row>
    <row r="7" spans="1:10" s="5" customFormat="1" ht="14.5" x14ac:dyDescent="0.35">
      <c r="B7" s="74" t="str">
        <f>IF(Control!$D$5=1,"Currency","Moeda")</f>
        <v>Moeda</v>
      </c>
      <c r="C7" s="75"/>
      <c r="D7" s="76" t="s">
        <v>1</v>
      </c>
      <c r="E7" s="10"/>
      <c r="F7" s="10"/>
      <c r="G7" s="10"/>
      <c r="H7" s="10"/>
      <c r="I7" s="10"/>
      <c r="J7" s="10"/>
    </row>
    <row r="8" spans="1:10" s="5" customFormat="1" ht="14.5" x14ac:dyDescent="0.35">
      <c r="B8" s="74" t="str">
        <f>IF(Control!$D$5=1,"Currency Units","Unidades da Moeda")</f>
        <v>Unidades da Moeda</v>
      </c>
      <c r="C8" s="77"/>
      <c r="D8" s="78" t="str">
        <f>IF(Control!$D$5=1,"million","milhões")</f>
        <v>milhões</v>
      </c>
      <c r="E8" s="10"/>
      <c r="F8" s="10"/>
      <c r="G8" s="10"/>
      <c r="H8" s="10"/>
      <c r="I8" s="10"/>
      <c r="J8" s="10"/>
    </row>
    <row r="9" spans="1:10" s="5" customFormat="1" ht="14.5" x14ac:dyDescent="0.35">
      <c r="B9" s="74" t="str">
        <f>IF(Control!$D$5=1,"Last Date of Full Year Financials","Data de Últimos Demonstr. Anuais")</f>
        <v>Data de Últimos Demonstr. Anuais</v>
      </c>
      <c r="C9" s="77"/>
      <c r="D9" s="230">
        <v>45716</v>
      </c>
      <c r="E9" s="10"/>
      <c r="F9" s="10"/>
      <c r="G9" s="10"/>
      <c r="H9" s="10"/>
      <c r="I9" s="10"/>
      <c r="J9" s="10"/>
    </row>
    <row r="10" spans="1:10" s="5" customFormat="1" ht="14.5" x14ac:dyDescent="0.35">
      <c r="B10" s="74" t="str">
        <f>IF(Control!$D$5=1,"Last Date of YTD Financials","Data de Últimos Demonstr. Trim.")</f>
        <v>Data de Últimos Demonstr. Trim.</v>
      </c>
      <c r="C10" s="75"/>
      <c r="D10" s="230">
        <v>45900</v>
      </c>
      <c r="E10" s="10"/>
      <c r="F10" s="10"/>
      <c r="G10" s="10"/>
      <c r="H10" s="10"/>
      <c r="I10" s="10"/>
      <c r="J10" s="10"/>
    </row>
    <row r="11" spans="1:10" s="5" customFormat="1" ht="14.5" x14ac:dyDescent="0.35">
      <c r="B11" s="79" t="str">
        <f>IF(Control!$D$5=1,"Last update on","Última atualização em")</f>
        <v>Última atualização em</v>
      </c>
      <c r="C11" s="80"/>
      <c r="D11" s="231">
        <v>45939</v>
      </c>
      <c r="E11" s="10"/>
      <c r="F11" s="10"/>
      <c r="G11" s="10"/>
      <c r="H11" s="10"/>
      <c r="I11" s="10"/>
      <c r="J11" s="10"/>
    </row>
    <row r="12" spans="1:10" s="5" customFormat="1" ht="14.5" x14ac:dyDescent="0.35">
      <c r="B12" s="10"/>
      <c r="C12" s="10"/>
      <c r="D12" s="11"/>
      <c r="E12" s="10"/>
      <c r="F12" s="10"/>
      <c r="G12" s="10"/>
      <c r="H12" s="10"/>
      <c r="I12" s="10"/>
      <c r="J12" s="10"/>
    </row>
    <row r="13" spans="1:10" s="5" customFormat="1" ht="14.5" x14ac:dyDescent="0.35">
      <c r="B13" s="7" t="str">
        <f>IF(Control!$D$5=1,"Information about financial data","Informações sobre as dados financeiros")</f>
        <v>Informações sobre as dados financeiros</v>
      </c>
      <c r="C13" s="8"/>
      <c r="D13" s="9"/>
      <c r="E13" s="10"/>
      <c r="F13" s="10"/>
      <c r="G13" s="10"/>
      <c r="H13" s="10"/>
      <c r="I13" s="10"/>
      <c r="J13" s="10"/>
    </row>
    <row r="14" spans="1:10" s="5" customFormat="1" ht="15" customHeight="1" x14ac:dyDescent="0.35">
      <c r="B14" s="248" t="str">
        <f>IF(Control!$D$5=1,"Certas porcentagens e outros valores incluídos neste documento foram arredondados. Dessa forma, podem diferir daqueles apresentados nas demonstrações financeiras.","Certas porcentagens e outros valores incluídos neste documento foram arredondados. Dessa forma, podem diferir daqueles apresentados nas demonstrações financeiras.")</f>
        <v>Certas porcentagens e outros valores incluídos neste documento foram arredondados. Dessa forma, podem diferir daqueles apresentados nas demonstrações financeiras.</v>
      </c>
      <c r="C14" s="249"/>
      <c r="D14" s="250"/>
      <c r="E14" s="10"/>
      <c r="F14" s="10"/>
      <c r="G14" s="10"/>
      <c r="H14" s="10"/>
      <c r="I14" s="10"/>
      <c r="J14" s="10"/>
    </row>
    <row r="15" spans="1:10" s="5" customFormat="1" ht="14.5" x14ac:dyDescent="0.35">
      <c r="B15" s="251"/>
      <c r="C15" s="252"/>
      <c r="D15" s="253"/>
      <c r="E15" s="10"/>
      <c r="F15" s="10"/>
      <c r="G15" s="10"/>
      <c r="H15" s="10"/>
      <c r="I15" s="10"/>
      <c r="J15" s="10"/>
    </row>
    <row r="16" spans="1:10" s="5" customFormat="1" ht="15" customHeight="1" x14ac:dyDescent="0.35">
      <c r="A16" s="10"/>
      <c r="B16" s="251"/>
      <c r="C16" s="252"/>
      <c r="D16" s="253"/>
      <c r="E16" s="10"/>
      <c r="F16" s="10"/>
      <c r="G16" s="10"/>
      <c r="H16" s="10"/>
      <c r="I16" s="10"/>
      <c r="J16" s="10"/>
    </row>
    <row r="17" spans="1:10" s="5" customFormat="1" ht="14.5" x14ac:dyDescent="0.35">
      <c r="A17" s="10"/>
      <c r="B17" s="251"/>
      <c r="C17" s="252"/>
      <c r="D17" s="253"/>
      <c r="E17" s="10"/>
      <c r="F17" s="10"/>
      <c r="G17" s="10"/>
      <c r="H17" s="10"/>
      <c r="I17" s="10"/>
      <c r="J17" s="10"/>
    </row>
    <row r="18" spans="1:10" s="5" customFormat="1" ht="14.5" x14ac:dyDescent="0.35">
      <c r="A18" s="10"/>
      <c r="B18" s="251"/>
      <c r="C18" s="252"/>
      <c r="D18" s="253"/>
      <c r="E18" s="10"/>
      <c r="F18" s="10"/>
      <c r="G18" s="10"/>
      <c r="H18" s="10"/>
      <c r="I18" s="10"/>
      <c r="J18" s="10"/>
    </row>
    <row r="19" spans="1:10" s="5" customFormat="1" ht="14.5" x14ac:dyDescent="0.35">
      <c r="A19" s="10"/>
      <c r="B19" s="144" t="str">
        <f>IF(Control!$D$5=1,"Non Audited.","Dados não auditados.")</f>
        <v>Dados não auditados.</v>
      </c>
      <c r="C19" s="145"/>
      <c r="D19" s="146"/>
      <c r="E19" s="10"/>
      <c r="F19" s="10"/>
      <c r="G19" s="10"/>
      <c r="H19" s="10"/>
      <c r="I19" s="10"/>
      <c r="J19" s="10"/>
    </row>
    <row r="20" spans="1:10" s="5" customFormat="1" ht="14.25" customHeight="1" x14ac:dyDescent="0.35">
      <c r="A20" s="10"/>
      <c r="B20" s="147"/>
      <c r="C20" s="148"/>
      <c r="D20" s="149"/>
      <c r="E20" s="10"/>
      <c r="F20" s="10"/>
      <c r="G20" s="10"/>
      <c r="H20" s="10"/>
      <c r="I20" s="10"/>
      <c r="J20" s="10"/>
    </row>
    <row r="21" spans="1:10" s="5" customFormat="1" ht="14.25" customHeight="1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0" s="5" customFormat="1" ht="14.5" x14ac:dyDescent="0.35">
      <c r="A22" s="10"/>
      <c r="B22" s="12" t="str">
        <f>IF(Control!$D$5=1,"Contacts","Contatos")</f>
        <v>Contatos</v>
      </c>
      <c r="C22" s="13"/>
      <c r="D22" s="13"/>
      <c r="E22" s="10"/>
      <c r="F22" s="10"/>
      <c r="G22" s="10"/>
      <c r="H22" s="10"/>
      <c r="I22" s="10"/>
      <c r="J22" s="10"/>
    </row>
    <row r="23" spans="1:10" s="5" customFormat="1" ht="15" customHeight="1" x14ac:dyDescent="0.35">
      <c r="A23" s="10"/>
      <c r="B23" s="248" t="s">
        <v>14</v>
      </c>
      <c r="C23" s="249"/>
      <c r="D23" s="250"/>
      <c r="E23" s="10"/>
      <c r="F23" s="10"/>
      <c r="G23" s="10"/>
      <c r="H23" s="10"/>
      <c r="I23" s="10"/>
      <c r="J23" s="10"/>
    </row>
    <row r="24" spans="1:10" s="5" customFormat="1" ht="15" customHeight="1" x14ac:dyDescent="0.35">
      <c r="A24" s="10"/>
      <c r="B24" s="251"/>
      <c r="C24" s="252"/>
      <c r="D24" s="253"/>
      <c r="E24" s="10"/>
      <c r="F24" s="10"/>
      <c r="G24" s="10"/>
      <c r="H24" s="10"/>
      <c r="I24" s="10"/>
      <c r="J24" s="10"/>
    </row>
    <row r="25" spans="1:10" s="5" customFormat="1" ht="14.5" x14ac:dyDescent="0.35">
      <c r="A25" s="10"/>
      <c r="B25" s="251"/>
      <c r="C25" s="252"/>
      <c r="D25" s="253"/>
      <c r="E25" s="10"/>
      <c r="F25" s="10"/>
      <c r="G25" s="10"/>
      <c r="H25" s="10"/>
      <c r="I25" s="10"/>
      <c r="J25" s="10"/>
    </row>
    <row r="26" spans="1:10" s="5" customFormat="1" ht="15" customHeight="1" x14ac:dyDescent="0.35">
      <c r="A26" s="10"/>
      <c r="B26" s="254"/>
      <c r="C26" s="255"/>
      <c r="D26" s="256"/>
      <c r="E26" s="10"/>
      <c r="F26" s="10"/>
      <c r="G26" s="10"/>
      <c r="H26" s="10"/>
      <c r="I26" s="10"/>
      <c r="J26" s="10"/>
    </row>
    <row r="27" spans="1:10" s="5" customFormat="1" ht="13.5" customHeight="1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10" s="5" customFormat="1" ht="13.5" customHeight="1" x14ac:dyDescent="0.35">
      <c r="A28" s="10"/>
      <c r="B28" s="12" t="str">
        <f>IF(Control!$D$5=1,"Recent Developments","Últimas Atualizações")</f>
        <v>Últimas Atualizações</v>
      </c>
      <c r="C28" s="13"/>
      <c r="D28" s="13"/>
      <c r="E28" s="10"/>
      <c r="F28" s="10"/>
      <c r="G28" s="10"/>
      <c r="H28" s="10"/>
      <c r="I28" s="10"/>
      <c r="J28" s="10"/>
    </row>
    <row r="29" spans="1:10" s="5" customFormat="1" ht="15" customHeight="1" x14ac:dyDescent="0.35">
      <c r="A29" s="10"/>
      <c r="B29" s="248" t="str">
        <f>IF(Control!$D$5=1,"2Q25 Update","Atualização 2T25")</f>
        <v>Atualização 2T25</v>
      </c>
      <c r="C29" s="249"/>
      <c r="D29" s="250"/>
      <c r="E29" s="10"/>
      <c r="F29" s="10"/>
      <c r="G29" s="10"/>
      <c r="H29" s="10"/>
      <c r="I29" s="10"/>
      <c r="J29" s="10"/>
    </row>
    <row r="30" spans="1:10" s="5" customFormat="1" ht="14.5" x14ac:dyDescent="0.35">
      <c r="A30" s="10"/>
      <c r="B30" s="185"/>
      <c r="C30" s="145"/>
      <c r="D30" s="146"/>
      <c r="E30" s="10"/>
      <c r="F30" s="10"/>
      <c r="G30" s="10"/>
      <c r="H30" s="10"/>
      <c r="I30" s="10"/>
      <c r="J30" s="10"/>
    </row>
    <row r="31" spans="1:10" s="5" customFormat="1" ht="14.5" x14ac:dyDescent="0.35">
      <c r="A31" s="10"/>
      <c r="B31" s="185"/>
      <c r="C31" s="145"/>
      <c r="D31" s="146"/>
      <c r="E31" s="10"/>
      <c r="F31" s="10"/>
      <c r="G31" s="10"/>
      <c r="H31" s="10"/>
      <c r="I31" s="10"/>
      <c r="J31" s="10"/>
    </row>
    <row r="32" spans="1:10" s="5" customFormat="1" ht="14.5" x14ac:dyDescent="0.35">
      <c r="B32" s="147"/>
      <c r="C32" s="148"/>
      <c r="D32" s="149"/>
      <c r="E32" s="10"/>
      <c r="F32" s="10"/>
      <c r="G32" s="10"/>
      <c r="H32" s="10"/>
      <c r="I32" s="10"/>
      <c r="J32" s="10"/>
    </row>
    <row r="33" spans="2:10" s="5" customFormat="1" ht="14.5" x14ac:dyDescent="0.35">
      <c r="B33" s="1"/>
      <c r="C33" s="1"/>
      <c r="D33" s="1"/>
      <c r="E33" s="10"/>
      <c r="F33" s="10"/>
      <c r="G33" s="10"/>
      <c r="H33" s="10"/>
      <c r="I33" s="10"/>
      <c r="J33" s="10"/>
    </row>
    <row r="34" spans="2:10" ht="14.5" x14ac:dyDescent="0.35">
      <c r="E34" s="10"/>
      <c r="F34" s="10"/>
      <c r="G34" s="10"/>
      <c r="H34" s="10"/>
      <c r="I34" s="10"/>
      <c r="J34" s="10"/>
    </row>
    <row r="35" spans="2:10" ht="14.5" x14ac:dyDescent="0.35">
      <c r="E35" s="10"/>
      <c r="F35" s="10"/>
      <c r="G35" s="10"/>
      <c r="H35" s="10"/>
      <c r="I35" s="10"/>
      <c r="J35" s="10"/>
    </row>
    <row r="36" spans="2:10" ht="14.5" x14ac:dyDescent="0.35">
      <c r="E36" s="10"/>
      <c r="F36" s="10"/>
      <c r="G36" s="10"/>
      <c r="H36" s="10"/>
      <c r="I36" s="10"/>
      <c r="J36" s="10"/>
    </row>
    <row r="37" spans="2:10" ht="14.5" x14ac:dyDescent="0.35">
      <c r="E37" s="10"/>
      <c r="F37" s="10"/>
      <c r="G37" s="10"/>
      <c r="H37" s="10"/>
      <c r="I37" s="10"/>
      <c r="J37" s="10"/>
    </row>
    <row r="38" spans="2:10" ht="14.5" x14ac:dyDescent="0.35">
      <c r="E38" s="10"/>
      <c r="F38" s="10"/>
      <c r="G38" s="10"/>
      <c r="H38" s="10"/>
      <c r="I38" s="10"/>
      <c r="J38" s="10"/>
    </row>
    <row r="39" spans="2:10" ht="14.5" x14ac:dyDescent="0.35">
      <c r="E39" s="10"/>
      <c r="F39" s="10"/>
      <c r="G39" s="10"/>
      <c r="H39" s="10"/>
      <c r="I39" s="10"/>
      <c r="J39" s="10"/>
    </row>
    <row r="40" spans="2:10" ht="14.5" x14ac:dyDescent="0.35">
      <c r="E40" s="10"/>
      <c r="F40" s="10"/>
      <c r="G40" s="10"/>
      <c r="H40" s="10"/>
      <c r="I40" s="10"/>
      <c r="J40" s="10"/>
    </row>
    <row r="41" spans="2:10" ht="14.5" x14ac:dyDescent="0.35">
      <c r="E41" s="10"/>
      <c r="F41" s="10"/>
      <c r="G41" s="10"/>
      <c r="H41" s="10"/>
      <c r="I41" s="10"/>
      <c r="J41" s="10"/>
    </row>
    <row r="42" spans="2:10" ht="14.5" x14ac:dyDescent="0.35">
      <c r="E42" s="10"/>
      <c r="F42" s="10"/>
      <c r="G42" s="10"/>
      <c r="H42" s="10"/>
      <c r="I42" s="10"/>
      <c r="J42" s="10"/>
    </row>
    <row r="43" spans="2:10" ht="14.5" x14ac:dyDescent="0.35">
      <c r="E43" s="10"/>
      <c r="F43" s="10"/>
      <c r="G43" s="10"/>
      <c r="H43" s="10"/>
      <c r="I43" s="10"/>
      <c r="J43" s="10"/>
    </row>
    <row r="44" spans="2:10" ht="14.5" x14ac:dyDescent="0.35">
      <c r="E44" s="10"/>
      <c r="F44" s="10"/>
      <c r="G44" s="10"/>
      <c r="H44" s="10"/>
      <c r="I44" s="10"/>
      <c r="J44" s="10"/>
    </row>
    <row r="45" spans="2:10" ht="14.5" x14ac:dyDescent="0.35">
      <c r="E45" s="10"/>
      <c r="F45" s="10"/>
      <c r="G45" s="10"/>
      <c r="H45" s="10"/>
      <c r="I45" s="10"/>
      <c r="J45" s="10"/>
    </row>
    <row r="46" spans="2:10" ht="14.5" x14ac:dyDescent="0.35">
      <c r="E46" s="10"/>
      <c r="F46" s="10"/>
      <c r="G46" s="10"/>
      <c r="H46" s="10"/>
      <c r="I46" s="10"/>
      <c r="J46" s="10"/>
    </row>
    <row r="47" spans="2:10" ht="14.5" x14ac:dyDescent="0.35">
      <c r="E47" s="10"/>
      <c r="F47" s="10"/>
      <c r="G47" s="10"/>
      <c r="H47" s="10"/>
      <c r="I47" s="10"/>
      <c r="J47" s="10"/>
    </row>
    <row r="48" spans="2:10" ht="14.5" x14ac:dyDescent="0.35">
      <c r="E48" s="10"/>
      <c r="F48" s="10"/>
      <c r="G48" s="10"/>
      <c r="H48" s="10"/>
      <c r="I48" s="10"/>
      <c r="J48" s="10"/>
    </row>
    <row r="49" spans="5:10" ht="14.5" x14ac:dyDescent="0.35">
      <c r="E49" s="10"/>
      <c r="F49" s="10"/>
      <c r="G49" s="10"/>
      <c r="H49" s="10"/>
      <c r="I49" s="10"/>
      <c r="J49" s="10"/>
    </row>
    <row r="50" spans="5:10" ht="14.5" x14ac:dyDescent="0.35">
      <c r="E50" s="10"/>
      <c r="F50" s="10"/>
      <c r="G50" s="10"/>
      <c r="H50" s="10"/>
      <c r="I50" s="10"/>
      <c r="J50" s="10"/>
    </row>
    <row r="51" spans="5:10" ht="14.5" x14ac:dyDescent="0.35">
      <c r="E51" s="10"/>
      <c r="F51" s="10"/>
      <c r="G51" s="10"/>
      <c r="H51" s="10"/>
      <c r="I51" s="10"/>
      <c r="J51" s="10"/>
    </row>
    <row r="52" spans="5:10" ht="14.5" x14ac:dyDescent="0.35">
      <c r="E52" s="10"/>
      <c r="F52" s="10"/>
      <c r="G52" s="10"/>
      <c r="H52" s="10"/>
      <c r="I52" s="10"/>
      <c r="J52" s="10"/>
    </row>
    <row r="53" spans="5:10" ht="14.5" x14ac:dyDescent="0.35">
      <c r="E53" s="10"/>
      <c r="F53" s="10"/>
      <c r="G53" s="10"/>
      <c r="H53" s="10"/>
      <c r="I53" s="10"/>
      <c r="J53" s="10"/>
    </row>
    <row r="54" spans="5:10" ht="14.5" x14ac:dyDescent="0.35">
      <c r="E54" s="10"/>
      <c r="F54" s="10"/>
      <c r="G54" s="10"/>
      <c r="H54" s="10"/>
      <c r="I54" s="10"/>
      <c r="J54" s="10"/>
    </row>
    <row r="55" spans="5:10" ht="14.5" x14ac:dyDescent="0.35">
      <c r="E55" s="10"/>
      <c r="F55" s="10"/>
      <c r="G55" s="10"/>
      <c r="H55" s="10"/>
      <c r="I55" s="10"/>
      <c r="J55" s="10"/>
    </row>
    <row r="56" spans="5:10" ht="14.5" x14ac:dyDescent="0.35">
      <c r="E56" s="10"/>
      <c r="F56" s="10"/>
      <c r="G56" s="10"/>
      <c r="H56" s="10"/>
      <c r="I56" s="10"/>
      <c r="J56" s="10"/>
    </row>
    <row r="57" spans="5:10" ht="14.5" x14ac:dyDescent="0.35">
      <c r="E57" s="10"/>
      <c r="F57" s="10"/>
      <c r="G57" s="10"/>
      <c r="H57" s="10"/>
      <c r="I57" s="10"/>
      <c r="J57" s="10"/>
    </row>
    <row r="58" spans="5:10" ht="14.5" x14ac:dyDescent="0.35">
      <c r="E58" s="10"/>
      <c r="F58" s="10"/>
      <c r="G58" s="10"/>
      <c r="H58" s="10"/>
      <c r="I58" s="10"/>
      <c r="J58" s="10"/>
    </row>
    <row r="59" spans="5:10" ht="14.5" x14ac:dyDescent="0.35">
      <c r="E59" s="10"/>
      <c r="F59" s="10"/>
      <c r="G59" s="10"/>
      <c r="H59" s="10"/>
      <c r="I59" s="10"/>
      <c r="J59" s="10"/>
    </row>
    <row r="60" spans="5:10" ht="14.5" x14ac:dyDescent="0.35">
      <c r="E60" s="10"/>
      <c r="F60" s="10"/>
      <c r="G60" s="10"/>
      <c r="H60" s="10"/>
      <c r="I60" s="10"/>
      <c r="J60" s="10"/>
    </row>
  </sheetData>
  <mergeCells count="3">
    <mergeCell ref="B14:D18"/>
    <mergeCell ref="B23:D26"/>
    <mergeCell ref="B29:D29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CO63"/>
  <sheetViews>
    <sheetView showGridLines="0" zoomScale="85" zoomScaleNormal="85" zoomScalePageLayoutView="85" workbookViewId="0">
      <pane xSplit="2" ySplit="7" topLeftCell="BM14" activePane="bottomRight" state="frozen"/>
      <selection activeCell="AI67" sqref="AI67"/>
      <selection pane="topRight" activeCell="AI67" sqref="AI67"/>
      <selection pane="bottomLeft" activeCell="AI67" sqref="AI67"/>
      <selection pane="bottomRight" activeCell="BU3" sqref="BU3"/>
    </sheetView>
  </sheetViews>
  <sheetFormatPr defaultColWidth="11.7265625" defaultRowHeight="14.5" outlineLevelRow="1" x14ac:dyDescent="0.35"/>
  <cols>
    <col min="1" max="1" width="5.26953125" style="5" customWidth="1"/>
    <col min="2" max="2" width="44.453125" style="5" bestFit="1" customWidth="1"/>
    <col min="3" max="3" width="5" style="5" customWidth="1"/>
    <col min="4" max="4" width="15.54296875" style="60" customWidth="1"/>
    <col min="5" max="18" width="12.81640625" style="60" customWidth="1"/>
    <col min="19" max="19" width="14.26953125" style="60" customWidth="1"/>
    <col min="20" max="37" width="12.81640625" style="60" customWidth="1"/>
    <col min="38" max="38" width="15.54296875" style="60" customWidth="1"/>
    <col min="39" max="40" width="12.81640625" style="60" customWidth="1"/>
    <col min="41" max="42" width="15.54296875" style="60" customWidth="1"/>
    <col min="43" max="48" width="13.453125" style="60" customWidth="1"/>
    <col min="49" max="64" width="14.1796875" style="60" customWidth="1"/>
    <col min="65" max="67" width="14.1796875" style="60" bestFit="1" customWidth="1"/>
    <col min="68" max="68" width="14.26953125" style="60" bestFit="1" customWidth="1"/>
    <col min="69" max="71" width="14.26953125" style="60" customWidth="1"/>
    <col min="72" max="73" width="14.36328125" style="60" customWidth="1"/>
    <col min="74" max="74" width="12.7265625" bestFit="1" customWidth="1"/>
    <col min="75" max="83" width="12.81640625" style="60" bestFit="1" customWidth="1"/>
    <col min="84" max="88" width="13.453125" style="60" customWidth="1"/>
    <col min="89" max="92" width="13.453125" style="60" bestFit="1" customWidth="1"/>
    <col min="93" max="16384" width="11.7265625" style="5"/>
  </cols>
  <sheetData>
    <row r="1" spans="1:92" s="14" customFormat="1" ht="13" x14ac:dyDescent="0.3"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83"/>
      <c r="Q1" s="53"/>
      <c r="R1" s="53"/>
      <c r="S1" s="53"/>
      <c r="T1" s="53"/>
      <c r="U1" s="53"/>
      <c r="V1" s="53"/>
      <c r="W1" s="53"/>
      <c r="X1" s="83"/>
      <c r="Y1" s="53"/>
      <c r="Z1" s="53"/>
      <c r="AA1" s="53"/>
      <c r="AB1" s="83"/>
      <c r="AC1" s="53"/>
      <c r="AD1" s="53"/>
      <c r="AE1" s="53"/>
      <c r="AF1" s="83"/>
      <c r="AG1" s="53"/>
      <c r="AH1" s="53"/>
      <c r="AI1" s="53"/>
      <c r="AJ1" s="83"/>
      <c r="AK1" s="53"/>
      <c r="AL1" s="53"/>
      <c r="AM1" s="53"/>
      <c r="AN1" s="53"/>
      <c r="AO1" s="53"/>
      <c r="AP1" s="53"/>
      <c r="AQ1" s="53"/>
      <c r="AR1" s="194"/>
      <c r="AS1" s="194"/>
      <c r="AT1" s="195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W1" s="53"/>
      <c r="BX1" s="8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</row>
    <row r="2" spans="1:92" s="14" customFormat="1" ht="18.5" x14ac:dyDescent="0.45">
      <c r="B2" s="15" t="str">
        <f>IF(Control!$D$5=1,"Income Statement","Demonstrativo de Resultados")</f>
        <v>Demonstrativo de Resultados</v>
      </c>
      <c r="C2" s="15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17"/>
      <c r="Q2" s="62"/>
      <c r="R2" s="62"/>
      <c r="S2" s="62"/>
      <c r="T2" s="62"/>
      <c r="U2" s="62"/>
      <c r="V2" s="62"/>
      <c r="W2" s="62"/>
      <c r="X2" s="118"/>
      <c r="Y2" s="62"/>
      <c r="Z2" s="62"/>
      <c r="AA2" s="62"/>
      <c r="AB2" s="118"/>
      <c r="AC2" s="62"/>
      <c r="AD2" s="62"/>
      <c r="AE2" s="62"/>
      <c r="AF2" s="118"/>
      <c r="AG2" s="54"/>
      <c r="AH2" s="54"/>
      <c r="AI2" s="54"/>
      <c r="AJ2" s="118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218"/>
      <c r="BQ2" s="218"/>
      <c r="BR2" s="218"/>
      <c r="BS2" s="218"/>
      <c r="BT2" s="218"/>
      <c r="BU2" s="218"/>
      <c r="BV2" s="54"/>
      <c r="BW2" s="62"/>
      <c r="BX2" s="117"/>
      <c r="BY2" s="62"/>
      <c r="BZ2" s="62"/>
      <c r="CA2" s="62"/>
      <c r="CB2" s="62"/>
      <c r="CC2" s="62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</row>
    <row r="3" spans="1:92" s="14" customFormat="1" x14ac:dyDescent="0.35">
      <c r="B3" s="21" t="str">
        <f>IF(Control!$D$5=1,"Consolidated Financials","Consolidado")</f>
        <v>Consolidado</v>
      </c>
      <c r="C3" s="21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3"/>
      <c r="Y3" s="84"/>
      <c r="Z3" s="84"/>
      <c r="AA3" s="84"/>
      <c r="AB3" s="83"/>
      <c r="AC3" s="84"/>
      <c r="AD3" s="84"/>
      <c r="AE3" s="84"/>
      <c r="AF3" s="83"/>
      <c r="AG3" s="53"/>
      <c r="AH3" s="53"/>
      <c r="AI3" s="53"/>
      <c r="AJ3" s="8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84"/>
      <c r="BX3" s="84"/>
      <c r="BY3" s="84"/>
      <c r="BZ3" s="84"/>
      <c r="CA3" s="84"/>
      <c r="CB3" s="84"/>
      <c r="CC3" s="84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</row>
    <row r="4" spans="1:92" s="14" customFormat="1" ht="21" x14ac:dyDescent="0.5">
      <c r="D4" s="53"/>
      <c r="E4" s="116"/>
      <c r="F4" s="53"/>
      <c r="G4" s="53"/>
      <c r="H4" s="53"/>
      <c r="I4" s="53"/>
      <c r="J4" s="53"/>
      <c r="K4" s="53"/>
      <c r="L4" s="53"/>
      <c r="M4" s="53"/>
      <c r="N4" s="53"/>
      <c r="O4" s="53"/>
      <c r="P4" s="83"/>
      <c r="Q4" s="53"/>
      <c r="R4" s="53"/>
      <c r="S4" s="53"/>
      <c r="T4" s="53"/>
      <c r="U4" s="53"/>
      <c r="V4" s="53"/>
      <c r="W4" s="53"/>
      <c r="X4" s="119"/>
      <c r="Y4" s="53"/>
      <c r="Z4" s="53"/>
      <c r="AA4" s="53"/>
      <c r="AB4" s="119"/>
      <c r="AC4" s="53"/>
      <c r="AD4" s="53"/>
      <c r="AE4" s="53"/>
      <c r="AF4" s="119"/>
      <c r="AG4" s="55"/>
      <c r="AH4" s="55"/>
      <c r="AI4" s="55"/>
      <c r="AJ4" s="119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W4" s="53"/>
      <c r="BX4" s="83"/>
      <c r="BY4" s="53"/>
      <c r="BZ4" s="53"/>
      <c r="CA4" s="53"/>
      <c r="CB4" s="53"/>
      <c r="CC4" s="53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</row>
    <row r="5" spans="1:92" s="6" customFormat="1" x14ac:dyDescent="0.35">
      <c r="B5" s="22" t="str">
        <f>IF(Control!$D$5=1,"FINANCIAL STATEMENTS","DEMONSTRATIVOS FINANCEIROS")</f>
        <v>DEMONSTRATIVOS FINANCEIROS</v>
      </c>
      <c r="C5" s="22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</row>
    <row r="6" spans="1:92" s="6" customFormat="1" x14ac:dyDescent="0.35">
      <c r="B6" s="22" t="str">
        <f>IF(Control!$D$5=1,"In "&amp;TEXT(Control!$D$8,0)&amp;" "&amp;TEXT(Control!$D$7,0)&amp;", except where noted","Em "&amp;TEXT(Control!$D$8,0)&amp;" "&amp;TEXT(Control!$D$7,0)&amp;", exceto se especificado")</f>
        <v>Em milhões R$, exceto se especificado</v>
      </c>
      <c r="C6" s="22"/>
      <c r="D6" s="56" t="str">
        <f>IF(Control!$D$5=1,"1Q08","1T08")</f>
        <v>1T08</v>
      </c>
      <c r="E6" s="56" t="s">
        <v>6</v>
      </c>
      <c r="F6" s="56" t="s">
        <v>7</v>
      </c>
      <c r="G6" s="56" t="str">
        <f>IF(Control!$D$5=1,"4Q08","4T08")</f>
        <v>4T08</v>
      </c>
      <c r="H6" s="56" t="str">
        <f>IF(Control!$D$5=1,"1Q09","1T09")</f>
        <v>1T09</v>
      </c>
      <c r="I6" s="56" t="str">
        <f>IF(Control!$D$5=1,"2Q09","2T09")</f>
        <v>2T09</v>
      </c>
      <c r="J6" s="56" t="str">
        <f>IF(Control!$D$5=1,"3Q09","3T09")</f>
        <v>3T09</v>
      </c>
      <c r="K6" s="56" t="str">
        <f>IF(Control!$D$5=1,"4Q09","4T09")</f>
        <v>4T09</v>
      </c>
      <c r="L6" s="56" t="str">
        <f>IF(Control!$D$5=1,"1Q10","1T10")</f>
        <v>1T10</v>
      </c>
      <c r="M6" s="56" t="str">
        <f>IF(Control!$D$5=1,"2Q10","2T10")</f>
        <v>2T10</v>
      </c>
      <c r="N6" s="56" t="str">
        <f>IF(Control!$D$5=1,"3Q10","3T10")</f>
        <v>3T10</v>
      </c>
      <c r="O6" s="56" t="str">
        <f>IF(Control!$D$5=1,"4Q10","4T10")</f>
        <v>4T10</v>
      </c>
      <c r="P6" s="56" t="str">
        <f>IF(Control!$D$5=1,"1Q11","1T11")</f>
        <v>1T11</v>
      </c>
      <c r="Q6" s="56" t="str">
        <f>IF(Control!$D$5=1,"2Q11","2T11")</f>
        <v>2T11</v>
      </c>
      <c r="R6" s="56" t="str">
        <f>IF(Control!$D$5=1,"3Q11","3T11")</f>
        <v>3T11</v>
      </c>
      <c r="S6" s="56" t="str">
        <f>IF(Control!$D$5=1,"4Q11","4T11")</f>
        <v>4T11</v>
      </c>
      <c r="T6" s="56" t="str">
        <f>IF(Control!$D$5=1,"1Q12","1T12")</f>
        <v>1T12</v>
      </c>
      <c r="U6" s="56" t="str">
        <f>IF(Control!$D$5=1,"2Q12","2T12")</f>
        <v>2T12</v>
      </c>
      <c r="V6" s="56" t="str">
        <f>IF(Control!$D$5=1,"3Q12","3T12")</f>
        <v>3T12</v>
      </c>
      <c r="W6" s="56" t="str">
        <f>IF(Control!$D$5=1,"4Q12","4T12")</f>
        <v>4T12</v>
      </c>
      <c r="X6" s="56" t="str">
        <f>IF(Control!$D$5=1,"1Q13","1T13")</f>
        <v>1T13</v>
      </c>
      <c r="Y6" s="56" t="str">
        <f>IF(Control!$D$5=1,"2Q13","2T13")</f>
        <v>2T13</v>
      </c>
      <c r="Z6" s="56" t="str">
        <f>IF(Control!$D$5=1,"3Q13","3T13")</f>
        <v>3T13</v>
      </c>
      <c r="AA6" s="56" t="str">
        <f>IF(Control!$D$5=1,"4Q13","4T13")</f>
        <v>4T13</v>
      </c>
      <c r="AB6" s="56" t="str">
        <f>IF(Control!$D$5=1,"1Q14","1T14")</f>
        <v>1T14</v>
      </c>
      <c r="AC6" s="56" t="str">
        <f>IF(Control!$D$5=1,"2Q14","2T14")</f>
        <v>2T14</v>
      </c>
      <c r="AD6" s="56" t="str">
        <f>IF(Control!$D$5=1,"3Q14","3T14")</f>
        <v>3T14</v>
      </c>
      <c r="AE6" s="56" t="str">
        <f>IF(Control!$D$5=1,"4Q14","4T14")</f>
        <v>4T14</v>
      </c>
      <c r="AF6" s="56" t="str">
        <f>IF(Control!$D$5=1,"1Q15","1T15")</f>
        <v>1T15</v>
      </c>
      <c r="AG6" s="56" t="str">
        <f>IF(Control!$D$5=1,"2Q15","2T15")</f>
        <v>2T15</v>
      </c>
      <c r="AH6" s="56" t="str">
        <f>IF(Control!$D$5=1,"3Q15","3T15")</f>
        <v>3T15</v>
      </c>
      <c r="AI6" s="56" t="str">
        <f>IF(Control!$D$5=1,"4Q15","4T15")</f>
        <v>4T15</v>
      </c>
      <c r="AJ6" s="56" t="str">
        <f>IF(Control!$D$5=1,"1Q16","1T16")</f>
        <v>1T16</v>
      </c>
      <c r="AK6" s="56" t="str">
        <f>IF(Control!$D$5=1,"2Q16","2T16")</f>
        <v>2T16</v>
      </c>
      <c r="AL6" s="56" t="str">
        <f>IF(Control!$D$5=1,"3Q16","3T16")</f>
        <v>3T16</v>
      </c>
      <c r="AM6" s="56" t="str">
        <f>IF(Control!$D$5=1,"4Q16","4T16")</f>
        <v>4T16</v>
      </c>
      <c r="AN6" s="56" t="str">
        <f>IF(Control!$D$5=1,"1Q17","1T17")</f>
        <v>1T17</v>
      </c>
      <c r="AO6" s="56" t="str">
        <f>IF(Control!$D$5=1,"2Q17","2T17")</f>
        <v>2T17</v>
      </c>
      <c r="AP6" s="56" t="str">
        <f>IF(Control!$D$5=1,"3Q17","3T17")</f>
        <v>3T17</v>
      </c>
      <c r="AQ6" s="56" t="str">
        <f>IF(Control!$D$5=1,"4Q17","4T17")</f>
        <v>4T17</v>
      </c>
      <c r="AR6" s="56" t="str">
        <f>IF(Control!$D$5=1,"1Q18","1T18")</f>
        <v>1T18</v>
      </c>
      <c r="AS6" s="56" t="str">
        <f>IF(Control!$D$5=1,"2Q18","2T18")</f>
        <v>2T18</v>
      </c>
      <c r="AT6" s="56" t="str">
        <f>IF(Control!$D$5=1,"3Q18","3T18")</f>
        <v>3T18</v>
      </c>
      <c r="AU6" s="56" t="str">
        <f>IF(Control!$D$5=1,"4Q18","4T18")</f>
        <v>4T18</v>
      </c>
      <c r="AV6" s="56" t="str">
        <f>IF(Control!$D$5=1,"1Q19","1T19")</f>
        <v>1T19</v>
      </c>
      <c r="AW6" s="56" t="str">
        <f>IF(Control!$D$5=1,"2Q19","2T19")</f>
        <v>2T19</v>
      </c>
      <c r="AX6" s="56" t="str">
        <f>IF(Control!$D$5=1,"3Q19","3T19")</f>
        <v>3T19</v>
      </c>
      <c r="AY6" s="56" t="str">
        <f>IF(Control!$D$5=1,"4Q19","4T19")</f>
        <v>4T19</v>
      </c>
      <c r="AZ6" s="56" t="str">
        <f>IF(Control!$D$5=1,"1Q20","1T20")</f>
        <v>1T20</v>
      </c>
      <c r="BA6" s="56" t="str">
        <f>IF(Control!$D$5=1,"2Q20","2T20")</f>
        <v>2T20</v>
      </c>
      <c r="BB6" s="56" t="str">
        <f>IF(Control!$D$5=1,"3Q20","3T20")</f>
        <v>3T20</v>
      </c>
      <c r="BC6" s="56" t="str">
        <f>IF(Control!$D$5=1,"4Q20","4T20")</f>
        <v>4T20</v>
      </c>
      <c r="BD6" s="56" t="str">
        <f>IF(Control!$D$5=1,"1Q21","1T21")</f>
        <v>1T21</v>
      </c>
      <c r="BE6" s="56" t="str">
        <f>IF(Control!$D$5=1,"2Q21","2T21")</f>
        <v>2T21</v>
      </c>
      <c r="BF6" s="56" t="str">
        <f>IF(Control!$D$5=1,"3Q21","3T21")</f>
        <v>3T21</v>
      </c>
      <c r="BG6" s="56" t="str">
        <f>IF(Control!$D$5=1,"4Q21","4T21")</f>
        <v>4T21</v>
      </c>
      <c r="BH6" s="56" t="str">
        <f>IF(Control!$D$5=1,"1Q22","1T22")</f>
        <v>1T22</v>
      </c>
      <c r="BI6" s="56" t="str">
        <f>IF(Control!$D$5=1,"2Q22","2T22")</f>
        <v>2T22</v>
      </c>
      <c r="BJ6" s="56" t="str">
        <f>IF(Control!$D$5=1,"3Q22","3T22")</f>
        <v>3T22</v>
      </c>
      <c r="BK6" s="56" t="str">
        <f>IF(Control!$D$5=1,"4Q22","4T22")</f>
        <v>4T22</v>
      </c>
      <c r="BL6" s="56" t="str">
        <f>IF(Control!$D$5=1,"1Q23","1T23")</f>
        <v>1T23</v>
      </c>
      <c r="BM6" s="56" t="str">
        <f>IF(Control!$D$5=1,"2Q23","2T23")</f>
        <v>2T23</v>
      </c>
      <c r="BN6" s="56" t="str">
        <f>IF(Control!$D$5=1,"3Q23","3T23")</f>
        <v>3T23</v>
      </c>
      <c r="BO6" s="56" t="str">
        <f>IF(Control!$D$5=1,"4Q23","4T23")</f>
        <v>4T23</v>
      </c>
      <c r="BP6" s="56" t="str">
        <f>IF(Control!$D$5=1,"1Q24","1T24")</f>
        <v>1T24</v>
      </c>
      <c r="BQ6" s="56" t="str">
        <f>IF(Control!$D$5=1,"2Q24","2T24")</f>
        <v>2T24</v>
      </c>
      <c r="BR6" s="56" t="str">
        <f>IF(Control!$D$5=1,"3Q24","3T24")</f>
        <v>3T24</v>
      </c>
      <c r="BS6" s="56" t="str">
        <f>IF(Control!$D$5=1,"4Q24","4T24")</f>
        <v>4T24</v>
      </c>
      <c r="BT6" s="56" t="str">
        <f>IF(Control!$D$5=1,"1Q25","1T25")</f>
        <v>1T25</v>
      </c>
      <c r="BU6" s="56" t="str">
        <f>IF(Control!$D$5=1,"2Q25","2T25")</f>
        <v>2T25</v>
      </c>
      <c r="BW6" s="56" t="str">
        <f>IF(Control!$D$5=1,"12M07","12M07")</f>
        <v>12M07</v>
      </c>
      <c r="BX6" s="56" t="str">
        <f>IF(Control!$D$5=1,"12M08","12M08")</f>
        <v>12M08</v>
      </c>
      <c r="BY6" s="56" t="str">
        <f>IF(Control!$D$5=1,"12M09","12M09")</f>
        <v>12M09</v>
      </c>
      <c r="BZ6" s="56" t="str">
        <f>IF(Control!$D$5=1,"12M10","12M10")</f>
        <v>12M10</v>
      </c>
      <c r="CA6" s="56" t="str">
        <f>IF(Control!$D$5=1,"11M11","11M11")</f>
        <v>11M11</v>
      </c>
      <c r="CB6" s="56" t="str">
        <f>IF(Control!$D$5=1,"12M12","12M12")</f>
        <v>12M12</v>
      </c>
      <c r="CC6" s="56" t="str">
        <f>IF(Control!$D$5=1,"12M13","12M13")</f>
        <v>12M13</v>
      </c>
      <c r="CD6" s="56" t="str">
        <f>IF(Control!$D$5=1,"12M14","12M14")</f>
        <v>12M14</v>
      </c>
      <c r="CE6" s="56" t="str">
        <f>IF(Control!$D$5=1,"12M15","12M15")</f>
        <v>12M15</v>
      </c>
      <c r="CF6" s="56" t="s">
        <v>5</v>
      </c>
      <c r="CG6" s="56" t="s">
        <v>8</v>
      </c>
      <c r="CH6" s="56" t="s">
        <v>10</v>
      </c>
      <c r="CI6" s="56" t="s">
        <v>11</v>
      </c>
      <c r="CJ6" s="56" t="s">
        <v>12</v>
      </c>
      <c r="CK6" s="56" t="s">
        <v>15</v>
      </c>
      <c r="CL6" s="56" t="s">
        <v>16</v>
      </c>
      <c r="CM6" s="56" t="s">
        <v>20</v>
      </c>
      <c r="CN6" s="56" t="s">
        <v>27</v>
      </c>
    </row>
    <row r="7" spans="1:92" s="61" customFormat="1" x14ac:dyDescent="0.35">
      <c r="B7" s="22" t="str">
        <f>IF(Control!$D$5=1,"Closing Date","Data Fechamento")</f>
        <v>Data Fechamento</v>
      </c>
      <c r="C7" s="22"/>
      <c r="D7" s="236">
        <v>39599</v>
      </c>
      <c r="E7" s="236">
        <v>39691</v>
      </c>
      <c r="F7" s="236">
        <v>39782</v>
      </c>
      <c r="G7" s="236">
        <f>BX7</f>
        <v>39872</v>
      </c>
      <c r="H7" s="236">
        <v>39964</v>
      </c>
      <c r="I7" s="236">
        <v>40056</v>
      </c>
      <c r="J7" s="236">
        <v>40147</v>
      </c>
      <c r="K7" s="236">
        <f>BY7</f>
        <v>40237</v>
      </c>
      <c r="L7" s="236">
        <v>40329</v>
      </c>
      <c r="M7" s="236">
        <v>40421</v>
      </c>
      <c r="N7" s="236">
        <v>40512</v>
      </c>
      <c r="O7" s="236">
        <v>40602</v>
      </c>
      <c r="P7" s="236">
        <v>40694</v>
      </c>
      <c r="Q7" s="236">
        <v>40786</v>
      </c>
      <c r="R7" s="236">
        <v>40877</v>
      </c>
      <c r="S7" s="236">
        <v>40967</v>
      </c>
      <c r="T7" s="236">
        <v>41060</v>
      </c>
      <c r="U7" s="236">
        <v>41152</v>
      </c>
      <c r="V7" s="236">
        <v>41243</v>
      </c>
      <c r="W7" s="236">
        <v>41333</v>
      </c>
      <c r="X7" s="236">
        <v>41425</v>
      </c>
      <c r="Y7" s="236">
        <v>41517</v>
      </c>
      <c r="Z7" s="236">
        <v>41608</v>
      </c>
      <c r="AA7" s="236">
        <v>41698</v>
      </c>
      <c r="AB7" s="236">
        <v>41790</v>
      </c>
      <c r="AC7" s="236">
        <v>41882</v>
      </c>
      <c r="AD7" s="236">
        <v>41973</v>
      </c>
      <c r="AE7" s="236">
        <v>42063</v>
      </c>
      <c r="AF7" s="236">
        <v>42155</v>
      </c>
      <c r="AG7" s="236">
        <v>42247</v>
      </c>
      <c r="AH7" s="236">
        <v>42338</v>
      </c>
      <c r="AI7" s="236">
        <v>42428</v>
      </c>
      <c r="AJ7" s="236">
        <v>42521</v>
      </c>
      <c r="AK7" s="236">
        <v>42613</v>
      </c>
      <c r="AL7" s="236">
        <v>42704</v>
      </c>
      <c r="AM7" s="236">
        <v>42794</v>
      </c>
      <c r="AN7" s="236">
        <v>42886</v>
      </c>
      <c r="AO7" s="236">
        <v>42978</v>
      </c>
      <c r="AP7" s="236">
        <v>43069</v>
      </c>
      <c r="AQ7" s="236">
        <v>43159</v>
      </c>
      <c r="AR7" s="236">
        <v>43251</v>
      </c>
      <c r="AS7" s="236">
        <v>43343</v>
      </c>
      <c r="AT7" s="236">
        <v>43434</v>
      </c>
      <c r="AU7" s="236">
        <v>43524</v>
      </c>
      <c r="AV7" s="236">
        <v>43616</v>
      </c>
      <c r="AW7" s="236">
        <v>43708</v>
      </c>
      <c r="AX7" s="236">
        <v>43799</v>
      </c>
      <c r="AY7" s="236">
        <v>43890</v>
      </c>
      <c r="AZ7" s="236">
        <v>43982</v>
      </c>
      <c r="BA7" s="236">
        <v>44074</v>
      </c>
      <c r="BB7" s="236">
        <v>44165</v>
      </c>
      <c r="BC7" s="236">
        <v>44255</v>
      </c>
      <c r="BD7" s="236">
        <v>44347</v>
      </c>
      <c r="BE7" s="236">
        <v>44439</v>
      </c>
      <c r="BF7" s="236">
        <v>44530</v>
      </c>
      <c r="BG7" s="236">
        <v>44620</v>
      </c>
      <c r="BH7" s="236">
        <v>44712</v>
      </c>
      <c r="BI7" s="236">
        <v>44804</v>
      </c>
      <c r="BJ7" s="236">
        <v>44895</v>
      </c>
      <c r="BK7" s="236">
        <v>44985</v>
      </c>
      <c r="BL7" s="236">
        <v>45077</v>
      </c>
      <c r="BM7" s="236">
        <v>45169</v>
      </c>
      <c r="BN7" s="236">
        <v>45260</v>
      </c>
      <c r="BO7" s="236">
        <v>45351</v>
      </c>
      <c r="BP7" s="236">
        <v>45443</v>
      </c>
      <c r="BQ7" s="236">
        <v>45535</v>
      </c>
      <c r="BR7" s="236">
        <v>45626</v>
      </c>
      <c r="BS7" s="236">
        <v>45716</v>
      </c>
      <c r="BT7" s="236">
        <v>45808</v>
      </c>
      <c r="BU7" s="236">
        <v>45900</v>
      </c>
      <c r="BW7" s="236">
        <v>39506</v>
      </c>
      <c r="BX7" s="236">
        <v>39872</v>
      </c>
      <c r="BY7" s="236">
        <v>40237</v>
      </c>
      <c r="BZ7" s="236">
        <f>O7</f>
        <v>40602</v>
      </c>
      <c r="CA7" s="236">
        <f>S7</f>
        <v>40967</v>
      </c>
      <c r="CB7" s="236">
        <v>41333</v>
      </c>
      <c r="CC7" s="236">
        <v>41698</v>
      </c>
      <c r="CD7" s="236">
        <v>42063</v>
      </c>
      <c r="CE7" s="236">
        <v>42429</v>
      </c>
      <c r="CF7" s="236">
        <v>42794</v>
      </c>
      <c r="CG7" s="236">
        <v>43159</v>
      </c>
      <c r="CH7" s="236">
        <v>43524</v>
      </c>
      <c r="CI7" s="236">
        <v>43890</v>
      </c>
      <c r="CJ7" s="236">
        <v>44255</v>
      </c>
      <c r="CK7" s="236">
        <v>44620</v>
      </c>
      <c r="CL7" s="236">
        <v>44985</v>
      </c>
      <c r="CM7" s="236">
        <v>45351</v>
      </c>
      <c r="CN7" s="236">
        <v>45716</v>
      </c>
    </row>
    <row r="8" spans="1:92" ht="3" customHeight="1" x14ac:dyDescent="0.35">
      <c r="B8" s="10"/>
      <c r="C8" s="10"/>
      <c r="D8" s="59"/>
      <c r="E8" s="57"/>
      <c r="F8" s="57"/>
      <c r="G8" s="57"/>
      <c r="H8" s="57"/>
      <c r="I8" s="57"/>
      <c r="J8" s="57"/>
      <c r="K8" s="57"/>
      <c r="L8" s="59"/>
      <c r="M8" s="57"/>
      <c r="N8" s="57"/>
      <c r="O8" s="57"/>
      <c r="P8" s="59"/>
      <c r="Q8" s="57"/>
      <c r="R8" s="57"/>
      <c r="S8" s="57"/>
      <c r="T8" s="59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W8" s="57"/>
      <c r="BX8" s="57"/>
      <c r="BY8" s="57"/>
      <c r="BZ8" s="57"/>
      <c r="CA8" s="57"/>
      <c r="CB8" s="57"/>
      <c r="CC8" s="57"/>
      <c r="CD8" s="57"/>
      <c r="CE8" s="63"/>
      <c r="CF8" s="63"/>
      <c r="CG8" s="63"/>
      <c r="CH8" s="63"/>
      <c r="CI8" s="63"/>
      <c r="CJ8" s="63"/>
      <c r="CK8" s="63"/>
      <c r="CL8" s="63"/>
      <c r="CM8" s="63"/>
      <c r="CN8" s="63"/>
    </row>
    <row r="9" spans="1:92" s="17" customFormat="1" x14ac:dyDescent="0.35">
      <c r="B9" s="23" t="str">
        <f>IF(Control!$D$5=1,"Gross Revenues","Receita Bruta")</f>
        <v>Receita Bruta</v>
      </c>
      <c r="C9" s="23"/>
      <c r="D9" s="64">
        <v>340.31700000000001</v>
      </c>
      <c r="E9" s="85">
        <v>432.964</v>
      </c>
      <c r="F9" s="85">
        <v>454.57099999999997</v>
      </c>
      <c r="G9" s="85">
        <v>442.05500000000006</v>
      </c>
      <c r="H9" s="64">
        <v>395.291</v>
      </c>
      <c r="I9" s="85">
        <v>361.24299999999999</v>
      </c>
      <c r="J9" s="85">
        <v>337.57299999999998</v>
      </c>
      <c r="K9" s="85">
        <v>362.49300000000005</v>
      </c>
      <c r="L9" s="70">
        <v>398.52</v>
      </c>
      <c r="M9" s="114">
        <v>400.39899999999994</v>
      </c>
      <c r="N9" s="114">
        <v>407.15500000000009</v>
      </c>
      <c r="O9" s="85">
        <v>366.21000000000004</v>
      </c>
      <c r="P9" s="64">
        <v>411.35300000000001</v>
      </c>
      <c r="Q9" s="85">
        <v>474.35399999999993</v>
      </c>
      <c r="R9" s="85">
        <v>545.36099999999999</v>
      </c>
      <c r="S9" s="85">
        <v>553.22900000000016</v>
      </c>
      <c r="T9" s="64">
        <v>663.12600000000009</v>
      </c>
      <c r="U9" s="85">
        <v>678.62799999999993</v>
      </c>
      <c r="V9" s="85">
        <v>945.70799999999997</v>
      </c>
      <c r="W9" s="85">
        <v>917.06399999999985</v>
      </c>
      <c r="X9" s="64">
        <v>978.2109999999999</v>
      </c>
      <c r="Y9" s="114">
        <v>1022.8110000000001</v>
      </c>
      <c r="Z9" s="114">
        <v>1041.3499999999999</v>
      </c>
      <c r="AA9" s="85">
        <v>1042.9690000000001</v>
      </c>
      <c r="AB9" s="64">
        <v>1051.566</v>
      </c>
      <c r="AC9" s="85">
        <v>1019.4969999999998</v>
      </c>
      <c r="AD9" s="85">
        <v>1062.3009999999999</v>
      </c>
      <c r="AE9" s="85">
        <v>1059.1440000000002</v>
      </c>
      <c r="AF9" s="64">
        <v>1105.098</v>
      </c>
      <c r="AG9" s="85">
        <v>1169.8779999999999</v>
      </c>
      <c r="AH9" s="85">
        <v>1306.4860000000003</v>
      </c>
      <c r="AI9" s="85">
        <v>1301.5450000000001</v>
      </c>
      <c r="AJ9" s="64">
        <v>1310.5250000000001</v>
      </c>
      <c r="AK9" s="85">
        <v>1468.4229999999998</v>
      </c>
      <c r="AL9" s="85">
        <v>1475.9</v>
      </c>
      <c r="AM9" s="85">
        <v>1471.0429999999999</v>
      </c>
      <c r="AN9" s="64">
        <v>1427.4079999999999</v>
      </c>
      <c r="AO9" s="85">
        <v>1341.37</v>
      </c>
      <c r="AP9" s="85">
        <v>1350.451</v>
      </c>
      <c r="AQ9" s="85">
        <v>1316.1710000000003</v>
      </c>
      <c r="AR9" s="114">
        <v>1177.8999999999999</v>
      </c>
      <c r="AS9" s="114">
        <v>1323.6</v>
      </c>
      <c r="AT9" s="114">
        <v>1463.1</v>
      </c>
      <c r="AU9" s="114">
        <v>1538.3000000000002</v>
      </c>
      <c r="AV9" s="114">
        <v>1455.5</v>
      </c>
      <c r="AW9" s="114">
        <v>1402.643</v>
      </c>
      <c r="AX9" s="114">
        <v>1656.1589999999999</v>
      </c>
      <c r="AY9" s="114">
        <v>1736.8989999999999</v>
      </c>
      <c r="AZ9" s="114">
        <v>1967.1489999999999</v>
      </c>
      <c r="BA9" s="114">
        <v>2160.87</v>
      </c>
      <c r="BB9" s="114">
        <v>2256.6399209800002</v>
      </c>
      <c r="BC9" s="114">
        <v>2111.4059999999999</v>
      </c>
      <c r="BD9" s="114">
        <v>2573.4070000000002</v>
      </c>
      <c r="BE9" s="114">
        <v>2515.2539999999999</v>
      </c>
      <c r="BF9" s="114">
        <v>2589.54</v>
      </c>
      <c r="BG9" s="114">
        <v>2583.1350000000002</v>
      </c>
      <c r="BH9" s="114">
        <v>2751.1760000000004</v>
      </c>
      <c r="BI9" s="114">
        <v>3060.8199999999997</v>
      </c>
      <c r="BJ9" s="114">
        <v>2976.212</v>
      </c>
      <c r="BK9" s="114">
        <v>2960.3469999999998</v>
      </c>
      <c r="BL9" s="114">
        <v>3082.826</v>
      </c>
      <c r="BM9" s="114">
        <v>3328.6820000000002</v>
      </c>
      <c r="BN9" s="114">
        <v>3433.6109999999999</v>
      </c>
      <c r="BO9" s="114">
        <v>3129.0234630138229</v>
      </c>
      <c r="BP9" s="114">
        <v>3366.2539999999999</v>
      </c>
      <c r="BQ9" s="114">
        <v>3738.9079999999999</v>
      </c>
      <c r="BR9" s="114">
        <v>3554.9839999999999</v>
      </c>
      <c r="BS9" s="114">
        <v>3463.2579999999998</v>
      </c>
      <c r="BT9" s="114">
        <v>3123.5</v>
      </c>
      <c r="BU9" s="114">
        <v>3430.625</v>
      </c>
      <c r="BV9" s="197"/>
      <c r="BW9" s="85">
        <v>1016.124</v>
      </c>
      <c r="BX9" s="85">
        <v>1669.9069999999999</v>
      </c>
      <c r="BY9" s="114">
        <v>1456.6</v>
      </c>
      <c r="BZ9" s="64">
        <v>1572.2840000000001</v>
      </c>
      <c r="CA9" s="64">
        <v>1984.297</v>
      </c>
      <c r="CB9" s="64">
        <v>3204.5259999999998</v>
      </c>
      <c r="CC9" s="64">
        <v>4085.3409999999999</v>
      </c>
      <c r="CD9" s="64">
        <v>4192.5079999999998</v>
      </c>
      <c r="CE9" s="64">
        <v>4883.0070000000005</v>
      </c>
      <c r="CF9" s="64">
        <v>5725.8909999999996</v>
      </c>
      <c r="CG9" s="64">
        <v>5435.4000000000005</v>
      </c>
      <c r="CH9" s="64">
        <v>5502.9</v>
      </c>
      <c r="CI9" s="64">
        <v>6251.2009999999991</v>
      </c>
      <c r="CJ9" s="64">
        <v>8496.0660000000007</v>
      </c>
      <c r="CK9" s="64">
        <v>10261.335999999999</v>
      </c>
      <c r="CL9" s="64">
        <v>11748.555</v>
      </c>
      <c r="CM9" s="64">
        <v>12974.142</v>
      </c>
      <c r="CN9" s="64">
        <v>14123.403750652422</v>
      </c>
    </row>
    <row r="10" spans="1:92" s="18" customFormat="1" x14ac:dyDescent="0.35">
      <c r="B10" s="24" t="str">
        <f>IF(Control!$D$5=1,"(-) Sales Deductions","(-) Deduções de Vendas")</f>
        <v>(-) Deduções de Vendas</v>
      </c>
      <c r="C10" s="24"/>
      <c r="D10" s="66">
        <v>-39.594999999999999</v>
      </c>
      <c r="E10" s="87">
        <v>-20.635999999999999</v>
      </c>
      <c r="F10" s="87">
        <v>-15.599</v>
      </c>
      <c r="G10" s="86">
        <f>BX10-F10-E10-D10</f>
        <v>-80.855999999999995</v>
      </c>
      <c r="H10" s="86">
        <f t="shared" ref="H10:AP10" si="0">SUM(H11:H12)</f>
        <v>-33.894000000000005</v>
      </c>
      <c r="I10" s="86">
        <f t="shared" si="0"/>
        <v>-36.281000000000006</v>
      </c>
      <c r="J10" s="86">
        <f t="shared" si="0"/>
        <v>-37.484999999999999</v>
      </c>
      <c r="K10" s="86">
        <f t="shared" si="0"/>
        <v>-35.789000000000001</v>
      </c>
      <c r="L10" s="86">
        <f t="shared" si="0"/>
        <v>-42.41</v>
      </c>
      <c r="M10" s="86">
        <f t="shared" si="0"/>
        <v>-37.649000000000001</v>
      </c>
      <c r="N10" s="86">
        <f t="shared" si="0"/>
        <v>-45.796999999999997</v>
      </c>
      <c r="O10" s="86">
        <f t="shared" si="0"/>
        <v>-39.713999999999984</v>
      </c>
      <c r="P10" s="86">
        <f t="shared" si="0"/>
        <v>-40.579000000000001</v>
      </c>
      <c r="Q10" s="86">
        <f t="shared" si="0"/>
        <v>-48.512999999999998</v>
      </c>
      <c r="R10" s="86">
        <f t="shared" si="0"/>
        <v>-52.406999999999996</v>
      </c>
      <c r="S10" s="86">
        <f t="shared" si="0"/>
        <v>-59.060000000000016</v>
      </c>
      <c r="T10" s="86">
        <f t="shared" si="0"/>
        <v>-77.864000000000004</v>
      </c>
      <c r="U10" s="86">
        <f t="shared" si="0"/>
        <v>-75.224999999999994</v>
      </c>
      <c r="V10" s="86">
        <f t="shared" si="0"/>
        <v>-129.62700000000001</v>
      </c>
      <c r="W10" s="86">
        <f t="shared" si="0"/>
        <v>-145.59300000000002</v>
      </c>
      <c r="X10" s="86">
        <f t="shared" si="0"/>
        <v>-125.125</v>
      </c>
      <c r="Y10" s="86">
        <f t="shared" si="0"/>
        <v>-129.98000000000002</v>
      </c>
      <c r="Z10" s="86">
        <f t="shared" si="0"/>
        <v>-126.89999999999999</v>
      </c>
      <c r="AA10" s="86">
        <f t="shared" si="0"/>
        <v>-121.773</v>
      </c>
      <c r="AB10" s="86">
        <f t="shared" si="0"/>
        <v>-126.411</v>
      </c>
      <c r="AC10" s="86">
        <f t="shared" si="0"/>
        <v>-124.154</v>
      </c>
      <c r="AD10" s="86">
        <f t="shared" si="0"/>
        <v>-131.614</v>
      </c>
      <c r="AE10" s="86">
        <f t="shared" si="0"/>
        <v>-134.54700000000003</v>
      </c>
      <c r="AF10" s="86">
        <f t="shared" si="0"/>
        <v>-143.35599999999999</v>
      </c>
      <c r="AG10" s="86">
        <f t="shared" si="0"/>
        <v>-145.40300000000002</v>
      </c>
      <c r="AH10" s="86">
        <f t="shared" si="0"/>
        <v>-162.67999999999995</v>
      </c>
      <c r="AI10" s="86">
        <f t="shared" si="0"/>
        <v>-202.61900000000003</v>
      </c>
      <c r="AJ10" s="86">
        <f t="shared" si="0"/>
        <v>-174.30799999999999</v>
      </c>
      <c r="AK10" s="86">
        <f t="shared" si="0"/>
        <v>-195.35200000000003</v>
      </c>
      <c r="AL10" s="86">
        <f>SUM(AL11:AL12)</f>
        <v>-199.76799999999997</v>
      </c>
      <c r="AM10" s="86">
        <f t="shared" si="0"/>
        <v>-208.733</v>
      </c>
      <c r="AN10" s="86">
        <f t="shared" si="0"/>
        <v>-201.84899999999999</v>
      </c>
      <c r="AO10" s="86">
        <f t="shared" si="0"/>
        <v>-179.48500000000001</v>
      </c>
      <c r="AP10" s="86">
        <f t="shared" si="0"/>
        <v>-191.28799999999995</v>
      </c>
      <c r="AQ10" s="86">
        <f>SUM(AQ11:AQ12)</f>
        <v>-199.77800000000002</v>
      </c>
      <c r="AR10" s="86">
        <f>SUM(AR11:AR12)</f>
        <v>-173.5</v>
      </c>
      <c r="AS10" s="86">
        <f>SUM(AS11:AS12)</f>
        <v>-178</v>
      </c>
      <c r="AT10" s="86">
        <f t="shared" ref="AT10:AY10" si="1">SUM(AT11:AT12)</f>
        <v>-196.3</v>
      </c>
      <c r="AU10" s="86">
        <f t="shared" si="1"/>
        <v>-206.3</v>
      </c>
      <c r="AV10" s="86">
        <f t="shared" si="1"/>
        <v>-218.4</v>
      </c>
      <c r="AW10" s="86">
        <f t="shared" si="1"/>
        <v>-179.08799999999999</v>
      </c>
      <c r="AX10" s="86">
        <f t="shared" si="1"/>
        <v>-212.65</v>
      </c>
      <c r="AY10" s="86">
        <f t="shared" si="1"/>
        <v>-244.97800000000001</v>
      </c>
      <c r="AZ10" s="86">
        <f t="shared" ref="AZ10:BN10" si="2">SUM(AZ11:AZ12)</f>
        <v>-238.16500000000002</v>
      </c>
      <c r="BA10" s="86">
        <f t="shared" si="2"/>
        <v>-248.262</v>
      </c>
      <c r="BB10" s="86">
        <f t="shared" si="2"/>
        <v>-262.82</v>
      </c>
      <c r="BC10" s="86">
        <f t="shared" si="2"/>
        <v>-280.839</v>
      </c>
      <c r="BD10" s="86">
        <f t="shared" si="2"/>
        <v>-316.245</v>
      </c>
      <c r="BE10" s="86">
        <f t="shared" si="2"/>
        <v>-296.72900000000004</v>
      </c>
      <c r="BF10" s="86">
        <f t="shared" si="2"/>
        <v>-316.58299999999997</v>
      </c>
      <c r="BG10" s="86">
        <f t="shared" si="2"/>
        <v>-315.93</v>
      </c>
      <c r="BH10" s="86">
        <f t="shared" si="2"/>
        <v>-354.55099999999999</v>
      </c>
      <c r="BI10" s="86">
        <f t="shared" si="2"/>
        <v>-364.31</v>
      </c>
      <c r="BJ10" s="86">
        <f t="shared" si="2"/>
        <v>-376.09699999999998</v>
      </c>
      <c r="BK10" s="86">
        <f t="shared" si="2"/>
        <v>-448.10500000000002</v>
      </c>
      <c r="BL10" s="86">
        <f t="shared" si="2"/>
        <v>-428.79899999999998</v>
      </c>
      <c r="BM10" s="86">
        <f t="shared" si="2"/>
        <v>-418.96082369797898</v>
      </c>
      <c r="BN10" s="86">
        <f t="shared" si="2"/>
        <v>-430.05099999999999</v>
      </c>
      <c r="BO10" s="86">
        <f>SUM(BO11:BO12)</f>
        <v>-446.69200000000001</v>
      </c>
      <c r="BP10" s="86">
        <f>SUM(BP11:BP12)</f>
        <v>-466.63741798010165</v>
      </c>
      <c r="BQ10" s="86">
        <f>SUM(BQ11:BQ12)</f>
        <v>-477.34800000000001</v>
      </c>
      <c r="BR10" s="87">
        <v>-450.36900000000003</v>
      </c>
      <c r="BS10" s="87">
        <v>-466.11</v>
      </c>
      <c r="BT10" s="87">
        <v>-436.18700000000001</v>
      </c>
      <c r="BU10" s="87">
        <v>-450.95600000000002</v>
      </c>
      <c r="BV10" s="197"/>
      <c r="BW10" s="86">
        <v>-151.816</v>
      </c>
      <c r="BX10" s="86">
        <f t="shared" ref="BX10:CF10" si="3">SUM(BX11:BX12)</f>
        <v>-156.68599999999998</v>
      </c>
      <c r="BY10" s="86">
        <f t="shared" si="3"/>
        <v>-143.44900000000001</v>
      </c>
      <c r="BZ10" s="86">
        <f t="shared" si="3"/>
        <v>-165.57</v>
      </c>
      <c r="CA10" s="86">
        <f t="shared" si="3"/>
        <v>-200.559</v>
      </c>
      <c r="CB10" s="86">
        <f t="shared" si="3"/>
        <v>-428.30899999999997</v>
      </c>
      <c r="CC10" s="86">
        <f t="shared" si="3"/>
        <v>-503.77800000000002</v>
      </c>
      <c r="CD10" s="86">
        <f t="shared" si="3"/>
        <v>-516.726</v>
      </c>
      <c r="CE10" s="86">
        <f t="shared" si="3"/>
        <v>-654.05799999999999</v>
      </c>
      <c r="CF10" s="86">
        <f t="shared" si="3"/>
        <v>-778.09999999999991</v>
      </c>
      <c r="CG10" s="86">
        <f t="shared" ref="CG10:CN10" si="4">SUM(CG11:CG12)</f>
        <v>-772.4</v>
      </c>
      <c r="CH10" s="86">
        <f t="shared" si="4"/>
        <v>-754.1</v>
      </c>
      <c r="CI10" s="86">
        <f t="shared" si="4"/>
        <v>-855.11599999999999</v>
      </c>
      <c r="CJ10" s="86">
        <f t="shared" si="4"/>
        <v>-1030.087</v>
      </c>
      <c r="CK10" s="86">
        <f t="shared" si="4"/>
        <v>-1245.4870000000001</v>
      </c>
      <c r="CL10" s="86">
        <f t="shared" si="4"/>
        <v>-1543.067</v>
      </c>
      <c r="CM10" s="86">
        <f t="shared" si="4"/>
        <v>-1724.502823697979</v>
      </c>
      <c r="CN10" s="86">
        <f t="shared" si="4"/>
        <v>-1860.4644179801016</v>
      </c>
    </row>
    <row r="11" spans="1:92" s="18" customFormat="1" x14ac:dyDescent="0.35">
      <c r="B11" s="46" t="str">
        <f>IF(Control!$D$5=1,"Sales Taxes","Impostos sobre Vendas")</f>
        <v>Impostos sobre Vendas</v>
      </c>
      <c r="C11" s="46"/>
      <c r="D11" s="87">
        <v>0</v>
      </c>
      <c r="E11" s="87">
        <v>0</v>
      </c>
      <c r="F11" s="87">
        <v>0</v>
      </c>
      <c r="G11" s="87">
        <v>0</v>
      </c>
      <c r="H11" s="66">
        <v>-16.652000000000001</v>
      </c>
      <c r="I11" s="86">
        <v>-16.582000000000001</v>
      </c>
      <c r="J11" s="86">
        <v>-15.951000000000001</v>
      </c>
      <c r="K11" s="86">
        <v>-16.543999999999997</v>
      </c>
      <c r="L11" s="71">
        <v>-17.207999999999998</v>
      </c>
      <c r="M11" s="87">
        <v>-19.017000000000003</v>
      </c>
      <c r="N11" s="87">
        <v>-20.039000000000001</v>
      </c>
      <c r="O11" s="86">
        <v>-17.178999999999995</v>
      </c>
      <c r="P11" s="66">
        <v>-18.497</v>
      </c>
      <c r="Q11" s="86">
        <v>-23.228000000000002</v>
      </c>
      <c r="R11" s="86">
        <v>-23.955999999999996</v>
      </c>
      <c r="S11" s="86">
        <v>-30.770000000000003</v>
      </c>
      <c r="T11" s="66">
        <v>-44.078000000000003</v>
      </c>
      <c r="U11" s="86">
        <v>-38.557999999999993</v>
      </c>
      <c r="V11" s="86">
        <v>-87.286000000000001</v>
      </c>
      <c r="W11" s="86">
        <v>-94.477000000000004</v>
      </c>
      <c r="X11" s="86">
        <v>-63.005000000000003</v>
      </c>
      <c r="Y11" s="87">
        <v>-70.610000000000014</v>
      </c>
      <c r="Z11" s="87">
        <v>-60.097999999999985</v>
      </c>
      <c r="AA11" s="86">
        <v>-58.875999999999998</v>
      </c>
      <c r="AB11" s="66">
        <v>-62.262999999999998</v>
      </c>
      <c r="AC11" s="86">
        <v>-61.705999999999996</v>
      </c>
      <c r="AD11" s="86">
        <v>-68.525000000000006</v>
      </c>
      <c r="AE11" s="86">
        <v>-73.714000000000027</v>
      </c>
      <c r="AF11" s="66">
        <v>-70.478999999999999</v>
      </c>
      <c r="AG11" s="86">
        <v>-73.088000000000008</v>
      </c>
      <c r="AH11" s="86">
        <v>-86.257999999999967</v>
      </c>
      <c r="AI11" s="86">
        <v>-89.42</v>
      </c>
      <c r="AJ11" s="66">
        <v>-85.313999999999993</v>
      </c>
      <c r="AK11" s="86">
        <v>-97.111000000000018</v>
      </c>
      <c r="AL11" s="86">
        <v>-98.858000000000004</v>
      </c>
      <c r="AM11" s="86">
        <v>-102.63900000000001</v>
      </c>
      <c r="AN11" s="66">
        <v>-95.447000000000003</v>
      </c>
      <c r="AO11" s="86">
        <v>-85.942000000000007</v>
      </c>
      <c r="AP11" s="86">
        <v>-95.736999999999966</v>
      </c>
      <c r="AQ11" s="86">
        <v>-90.274000000000001</v>
      </c>
      <c r="AR11" s="87">
        <v>-76.800000000000011</v>
      </c>
      <c r="AS11" s="87">
        <v>-89.3</v>
      </c>
      <c r="AT11" s="87">
        <v>-93.7</v>
      </c>
      <c r="AU11" s="87">
        <v>-97.4</v>
      </c>
      <c r="AV11" s="87">
        <v>-97.2</v>
      </c>
      <c r="AW11" s="87">
        <v>-87.986999999999995</v>
      </c>
      <c r="AX11" s="87">
        <v>-102.846</v>
      </c>
      <c r="AY11" s="87">
        <v>-119.47199999999999</v>
      </c>
      <c r="AZ11" s="87">
        <v>-117.23</v>
      </c>
      <c r="BA11" s="87">
        <v>-124.505</v>
      </c>
      <c r="BB11" s="87">
        <v>-139.93</v>
      </c>
      <c r="BC11" s="87">
        <v>-132.268</v>
      </c>
      <c r="BD11" s="87">
        <v>-169.16</v>
      </c>
      <c r="BE11" s="87">
        <v>-160.15</v>
      </c>
      <c r="BF11" s="87">
        <v>-164.036</v>
      </c>
      <c r="BG11" s="87">
        <v>-152.136</v>
      </c>
      <c r="BH11" s="87">
        <v>-176.08099999999999</v>
      </c>
      <c r="BI11" s="87">
        <v>-182.565</v>
      </c>
      <c r="BJ11" s="87">
        <v>-177.036</v>
      </c>
      <c r="BK11" s="87">
        <v>-204.49199999999999</v>
      </c>
      <c r="BL11" s="87">
        <v>-213.202</v>
      </c>
      <c r="BM11" s="87">
        <v>-217.50800000000001</v>
      </c>
      <c r="BN11" s="87">
        <v>-209.61199999999999</v>
      </c>
      <c r="BO11" s="87">
        <v>-226.70400000000001</v>
      </c>
      <c r="BP11" s="86">
        <v>-236.6799246073997</v>
      </c>
      <c r="BQ11" s="86">
        <v>-248.35400000000001</v>
      </c>
      <c r="BR11" s="87">
        <v>-214.31700000000001</v>
      </c>
      <c r="BS11" s="87">
        <v>-233.14</v>
      </c>
      <c r="BT11" s="87">
        <v>-205.91200000000001</v>
      </c>
      <c r="BU11" s="87">
        <v>-207.13800000000001</v>
      </c>
      <c r="BV11" s="197"/>
      <c r="BW11" s="87">
        <v>0</v>
      </c>
      <c r="BX11" s="86">
        <v>-80.412999999999997</v>
      </c>
      <c r="BY11" s="87">
        <v>-65.728999999999999</v>
      </c>
      <c r="BZ11" s="66">
        <v>-73.442999999999998</v>
      </c>
      <c r="CA11" s="66">
        <v>-96.450999999999993</v>
      </c>
      <c r="CB11" s="66">
        <v>-264.399</v>
      </c>
      <c r="CC11" s="66">
        <v>-252.589</v>
      </c>
      <c r="CD11" s="66">
        <v>-266.20800000000003</v>
      </c>
      <c r="CE11" s="66">
        <v>-319.245</v>
      </c>
      <c r="CF11" s="66">
        <v>-383.9</v>
      </c>
      <c r="CG11" s="66">
        <v>-367.4</v>
      </c>
      <c r="CH11" s="71">
        <v>-357.20000000000005</v>
      </c>
      <c r="CI11" s="71">
        <v>-407.505</v>
      </c>
      <c r="CJ11" s="71">
        <v>-513.93299999999999</v>
      </c>
      <c r="CK11" s="71">
        <v>-645.48199999999997</v>
      </c>
      <c r="CL11" s="71">
        <v>-740.16899999999998</v>
      </c>
      <c r="CM11" s="71">
        <v>-867.02600000000007</v>
      </c>
      <c r="CN11" s="71">
        <v>-932.49092460739973</v>
      </c>
    </row>
    <row r="12" spans="1:92" s="18" customFormat="1" x14ac:dyDescent="0.35">
      <c r="B12" s="46" t="str">
        <f>IF(Control!$D$5=1,"Returns and Rebates","Devoluções e Abatimentos")</f>
        <v>Devoluções e Abatimentos</v>
      </c>
      <c r="C12" s="46"/>
      <c r="D12" s="87">
        <v>0</v>
      </c>
      <c r="E12" s="87">
        <v>0</v>
      </c>
      <c r="F12" s="87">
        <v>0</v>
      </c>
      <c r="G12" s="87">
        <v>0</v>
      </c>
      <c r="H12" s="66">
        <v>-17.242000000000001</v>
      </c>
      <c r="I12" s="86">
        <v>-19.699000000000002</v>
      </c>
      <c r="J12" s="86">
        <v>-21.533999999999995</v>
      </c>
      <c r="K12" s="86">
        <v>-19.245000000000008</v>
      </c>
      <c r="L12" s="71">
        <v>-25.202000000000002</v>
      </c>
      <c r="M12" s="87">
        <v>-18.632000000000001</v>
      </c>
      <c r="N12" s="87">
        <v>-25.757999999999992</v>
      </c>
      <c r="O12" s="86">
        <v>-22.534999999999993</v>
      </c>
      <c r="P12" s="66">
        <v>-22.082000000000001</v>
      </c>
      <c r="Q12" s="86">
        <v>-25.284999999999997</v>
      </c>
      <c r="R12" s="86">
        <v>-28.451000000000001</v>
      </c>
      <c r="S12" s="86">
        <v>-28.290000000000013</v>
      </c>
      <c r="T12" s="66">
        <v>-33.786000000000001</v>
      </c>
      <c r="U12" s="86">
        <v>-36.667000000000002</v>
      </c>
      <c r="V12" s="86">
        <v>-42.340999999999994</v>
      </c>
      <c r="W12" s="86">
        <v>-51.116</v>
      </c>
      <c r="X12" s="86">
        <v>-62.12</v>
      </c>
      <c r="Y12" s="87">
        <v>-59.37</v>
      </c>
      <c r="Z12" s="87">
        <v>-66.802000000000007</v>
      </c>
      <c r="AA12" s="86">
        <v>-62.896999999999998</v>
      </c>
      <c r="AB12" s="66">
        <v>-64.147999999999996</v>
      </c>
      <c r="AC12" s="86">
        <v>-62.448000000000008</v>
      </c>
      <c r="AD12" s="86">
        <v>-63.088999999999999</v>
      </c>
      <c r="AE12" s="86">
        <v>-60.832999999999998</v>
      </c>
      <c r="AF12" s="66">
        <v>-72.876999999999995</v>
      </c>
      <c r="AG12" s="86">
        <v>-72.315000000000012</v>
      </c>
      <c r="AH12" s="86">
        <v>-76.421999999999983</v>
      </c>
      <c r="AI12" s="86">
        <v>-113.19900000000003</v>
      </c>
      <c r="AJ12" s="66">
        <v>-88.994</v>
      </c>
      <c r="AK12" s="86">
        <v>-98.241000000000014</v>
      </c>
      <c r="AL12" s="86">
        <v>-100.90999999999997</v>
      </c>
      <c r="AM12" s="86">
        <v>-106.09399999999999</v>
      </c>
      <c r="AN12" s="66">
        <v>-106.402</v>
      </c>
      <c r="AO12" s="86">
        <v>-93.542999999999992</v>
      </c>
      <c r="AP12" s="86">
        <v>-95.550999999999988</v>
      </c>
      <c r="AQ12" s="86">
        <v>-109.50400000000002</v>
      </c>
      <c r="AR12" s="87">
        <v>-96.7</v>
      </c>
      <c r="AS12" s="87">
        <v>-88.7</v>
      </c>
      <c r="AT12" s="87">
        <v>-102.6</v>
      </c>
      <c r="AU12" s="87">
        <v>-108.9</v>
      </c>
      <c r="AV12" s="87">
        <v>-121.2</v>
      </c>
      <c r="AW12" s="87">
        <v>-91.100999999999999</v>
      </c>
      <c r="AX12" s="87">
        <v>-109.804</v>
      </c>
      <c r="AY12" s="87">
        <v>-125.506</v>
      </c>
      <c r="AZ12" s="87">
        <v>-120.935</v>
      </c>
      <c r="BA12" s="87">
        <v>-123.75700000000001</v>
      </c>
      <c r="BB12" s="87">
        <v>-122.89</v>
      </c>
      <c r="BC12" s="87">
        <v>-148.571</v>
      </c>
      <c r="BD12" s="87">
        <v>-147.08500000000001</v>
      </c>
      <c r="BE12" s="87">
        <v>-136.57900000000001</v>
      </c>
      <c r="BF12" s="87">
        <v>-152.547</v>
      </c>
      <c r="BG12" s="87">
        <v>-163.79400000000001</v>
      </c>
      <c r="BH12" s="87">
        <v>-178.47</v>
      </c>
      <c r="BI12" s="87">
        <v>-181.745</v>
      </c>
      <c r="BJ12" s="87">
        <v>-199.06100000000001</v>
      </c>
      <c r="BK12" s="87">
        <v>-243.613</v>
      </c>
      <c r="BL12" s="87">
        <v>-215.59700000000001</v>
      </c>
      <c r="BM12" s="87">
        <v>-201.452823697979</v>
      </c>
      <c r="BN12" s="87">
        <v>-220.43899999999999</v>
      </c>
      <c r="BO12" s="87">
        <v>-219.988</v>
      </c>
      <c r="BP12" s="86">
        <v>-229.95749337270195</v>
      </c>
      <c r="BQ12" s="86">
        <v>-228.994</v>
      </c>
      <c r="BR12" s="87">
        <v>-236.05199999999999</v>
      </c>
      <c r="BS12" s="87">
        <v>-232.97</v>
      </c>
      <c r="BT12" s="87">
        <v>-230.27499999999998</v>
      </c>
      <c r="BU12" s="87">
        <v>-243.81799999999998</v>
      </c>
      <c r="BV12" s="197"/>
      <c r="BW12" s="87">
        <v>0</v>
      </c>
      <c r="BX12" s="86">
        <v>-76.272999999999996</v>
      </c>
      <c r="BY12" s="87">
        <v>-77.72</v>
      </c>
      <c r="BZ12" s="66">
        <v>-92.126999999999995</v>
      </c>
      <c r="CA12" s="66">
        <v>-104.108</v>
      </c>
      <c r="CB12" s="66">
        <v>-163.91</v>
      </c>
      <c r="CC12" s="66">
        <v>-251.18899999999999</v>
      </c>
      <c r="CD12" s="66">
        <v>-250.518</v>
      </c>
      <c r="CE12" s="66">
        <v>-334.81299999999999</v>
      </c>
      <c r="CF12" s="66">
        <v>-394.2</v>
      </c>
      <c r="CG12" s="66">
        <v>-405</v>
      </c>
      <c r="CH12" s="71">
        <v>-396.9</v>
      </c>
      <c r="CI12" s="71">
        <v>-447.61099999999999</v>
      </c>
      <c r="CJ12" s="71">
        <v>-516.154</v>
      </c>
      <c r="CK12" s="71">
        <v>-600.005</v>
      </c>
      <c r="CL12" s="71">
        <v>-802.89800000000002</v>
      </c>
      <c r="CM12" s="71">
        <v>-857.47682369797894</v>
      </c>
      <c r="CN12" s="71">
        <v>-927.97349337270202</v>
      </c>
    </row>
    <row r="13" spans="1:92" s="6" customFormat="1" x14ac:dyDescent="0.35">
      <c r="B13" s="28" t="str">
        <f>IF(Control!$D$5=1,"Net Revenues","Receita Líquida")</f>
        <v>Receita Líquida</v>
      </c>
      <c r="C13" s="28"/>
      <c r="D13" s="64">
        <f t="shared" ref="D13:AI13" si="5">+D9+D10</f>
        <v>300.72199999999998</v>
      </c>
      <c r="E13" s="64">
        <f t="shared" si="5"/>
        <v>412.32799999999997</v>
      </c>
      <c r="F13" s="64">
        <f t="shared" si="5"/>
        <v>438.97199999999998</v>
      </c>
      <c r="G13" s="64">
        <f t="shared" si="5"/>
        <v>361.19900000000007</v>
      </c>
      <c r="H13" s="64">
        <f t="shared" si="5"/>
        <v>361.39699999999999</v>
      </c>
      <c r="I13" s="85">
        <f t="shared" si="5"/>
        <v>324.96199999999999</v>
      </c>
      <c r="J13" s="85">
        <f t="shared" si="5"/>
        <v>300.08799999999997</v>
      </c>
      <c r="K13" s="85">
        <f t="shared" si="5"/>
        <v>326.70400000000006</v>
      </c>
      <c r="L13" s="70">
        <f t="shared" si="5"/>
        <v>356.11</v>
      </c>
      <c r="M13" s="114">
        <f t="shared" si="5"/>
        <v>362.74999999999994</v>
      </c>
      <c r="N13" s="114">
        <f t="shared" si="5"/>
        <v>361.35800000000006</v>
      </c>
      <c r="O13" s="85">
        <f t="shared" si="5"/>
        <v>326.49600000000004</v>
      </c>
      <c r="P13" s="64">
        <f t="shared" si="5"/>
        <v>370.774</v>
      </c>
      <c r="Q13" s="85">
        <f t="shared" si="5"/>
        <v>425.84099999999995</v>
      </c>
      <c r="R13" s="85">
        <f t="shared" si="5"/>
        <v>492.95400000000001</v>
      </c>
      <c r="S13" s="85">
        <f t="shared" si="5"/>
        <v>494.16900000000015</v>
      </c>
      <c r="T13" s="64">
        <f t="shared" si="5"/>
        <v>585.26200000000006</v>
      </c>
      <c r="U13" s="85">
        <f t="shared" si="5"/>
        <v>603.40299999999991</v>
      </c>
      <c r="V13" s="85">
        <f t="shared" si="5"/>
        <v>816.0809999999999</v>
      </c>
      <c r="W13" s="85">
        <f t="shared" si="5"/>
        <v>771.47099999999978</v>
      </c>
      <c r="X13" s="85">
        <f t="shared" si="5"/>
        <v>853.0859999999999</v>
      </c>
      <c r="Y13" s="114">
        <f t="shared" si="5"/>
        <v>892.83100000000013</v>
      </c>
      <c r="Z13" s="114">
        <f t="shared" si="5"/>
        <v>914.44999999999993</v>
      </c>
      <c r="AA13" s="85">
        <f t="shared" si="5"/>
        <v>921.19600000000003</v>
      </c>
      <c r="AB13" s="64">
        <f t="shared" si="5"/>
        <v>925.15499999999997</v>
      </c>
      <c r="AC13" s="85">
        <f t="shared" si="5"/>
        <v>895.34299999999985</v>
      </c>
      <c r="AD13" s="85">
        <f t="shared" si="5"/>
        <v>930.6869999999999</v>
      </c>
      <c r="AE13" s="85">
        <f t="shared" si="5"/>
        <v>924.59700000000021</v>
      </c>
      <c r="AF13" s="64">
        <f t="shared" si="5"/>
        <v>961.74199999999996</v>
      </c>
      <c r="AG13" s="85">
        <f t="shared" si="5"/>
        <v>1024.4749999999999</v>
      </c>
      <c r="AH13" s="85">
        <f t="shared" si="5"/>
        <v>1143.8060000000005</v>
      </c>
      <c r="AI13" s="85">
        <f t="shared" si="5"/>
        <v>1098.9259999999999</v>
      </c>
      <c r="AJ13" s="64">
        <f t="shared" ref="AJ13:BG13" si="6">+AJ9+AJ10</f>
        <v>1136.2170000000001</v>
      </c>
      <c r="AK13" s="85">
        <f t="shared" si="6"/>
        <v>1273.0709999999997</v>
      </c>
      <c r="AL13" s="85">
        <f t="shared" si="6"/>
        <v>1276.1320000000001</v>
      </c>
      <c r="AM13" s="85">
        <f t="shared" si="6"/>
        <v>1262.31</v>
      </c>
      <c r="AN13" s="64">
        <f t="shared" si="6"/>
        <v>1225.559</v>
      </c>
      <c r="AO13" s="85">
        <f t="shared" si="6"/>
        <v>1161.8849999999998</v>
      </c>
      <c r="AP13" s="85">
        <f t="shared" si="6"/>
        <v>1159.163</v>
      </c>
      <c r="AQ13" s="85">
        <f t="shared" si="6"/>
        <v>1116.3930000000003</v>
      </c>
      <c r="AR13" s="114">
        <f t="shared" si="6"/>
        <v>1004.3999999999999</v>
      </c>
      <c r="AS13" s="114">
        <f t="shared" si="6"/>
        <v>1145.5999999999999</v>
      </c>
      <c r="AT13" s="114">
        <f t="shared" si="6"/>
        <v>1266.8</v>
      </c>
      <c r="AU13" s="114">
        <f t="shared" si="6"/>
        <v>1332.0000000000002</v>
      </c>
      <c r="AV13" s="114">
        <f t="shared" si="6"/>
        <v>1237.0999999999999</v>
      </c>
      <c r="AW13" s="114">
        <f t="shared" si="6"/>
        <v>1223.5550000000001</v>
      </c>
      <c r="AX13" s="114">
        <f t="shared" si="6"/>
        <v>1443.5089999999998</v>
      </c>
      <c r="AY13" s="114">
        <f t="shared" si="6"/>
        <v>1491.9209999999998</v>
      </c>
      <c r="AZ13" s="114">
        <f t="shared" si="6"/>
        <v>1728.9839999999999</v>
      </c>
      <c r="BA13" s="114">
        <f t="shared" si="6"/>
        <v>1912.6079999999999</v>
      </c>
      <c r="BB13" s="114">
        <f t="shared" si="6"/>
        <v>1993.8199209800002</v>
      </c>
      <c r="BC13" s="114">
        <f t="shared" si="6"/>
        <v>1830.567</v>
      </c>
      <c r="BD13" s="114">
        <f t="shared" si="6"/>
        <v>2257.1620000000003</v>
      </c>
      <c r="BE13" s="114">
        <f t="shared" si="6"/>
        <v>2218.5249999999996</v>
      </c>
      <c r="BF13" s="114">
        <f t="shared" si="6"/>
        <v>2272.9569999999999</v>
      </c>
      <c r="BG13" s="114">
        <f t="shared" si="6"/>
        <v>2267.2050000000004</v>
      </c>
      <c r="BH13" s="114">
        <f t="shared" ref="BH13:BN13" si="7">+BH9+BH10</f>
        <v>2396.6250000000005</v>
      </c>
      <c r="BI13" s="114">
        <f t="shared" si="7"/>
        <v>2696.5099999999998</v>
      </c>
      <c r="BJ13" s="114">
        <f t="shared" si="7"/>
        <v>2600.1149999999998</v>
      </c>
      <c r="BK13" s="114">
        <f t="shared" si="7"/>
        <v>2512.2419999999997</v>
      </c>
      <c r="BL13" s="227">
        <v>2654.027</v>
      </c>
      <c r="BM13" s="227">
        <v>2909.7300566820199</v>
      </c>
      <c r="BN13" s="227">
        <f t="shared" si="7"/>
        <v>3003.56</v>
      </c>
      <c r="BO13" s="114">
        <f t="shared" ref="BO13:BT13" si="8">+BO9+BO10</f>
        <v>2682.3314630138229</v>
      </c>
      <c r="BP13" s="114">
        <f t="shared" si="8"/>
        <v>2899.6165820198985</v>
      </c>
      <c r="BQ13" s="114">
        <f t="shared" si="8"/>
        <v>3261.56</v>
      </c>
      <c r="BR13" s="114">
        <f t="shared" si="8"/>
        <v>3104.6149999999998</v>
      </c>
      <c r="BS13" s="114">
        <f t="shared" si="8"/>
        <v>2997.1479999999997</v>
      </c>
      <c r="BT13" s="114">
        <f t="shared" si="8"/>
        <v>2687.3130000000001</v>
      </c>
      <c r="BU13" s="114">
        <v>2979.6680000000001</v>
      </c>
      <c r="BV13" s="197"/>
      <c r="BW13" s="85">
        <f t="shared" ref="BW13:CL13" si="9">+BW9+BW10</f>
        <v>864.30799999999999</v>
      </c>
      <c r="BX13" s="85">
        <f t="shared" si="9"/>
        <v>1513.221</v>
      </c>
      <c r="BY13" s="114">
        <f t="shared" si="9"/>
        <v>1313.1509999999998</v>
      </c>
      <c r="BZ13" s="64">
        <f t="shared" si="9"/>
        <v>1406.7140000000002</v>
      </c>
      <c r="CA13" s="64">
        <f t="shared" si="9"/>
        <v>1783.7380000000001</v>
      </c>
      <c r="CB13" s="64">
        <f t="shared" si="9"/>
        <v>2776.2169999999996</v>
      </c>
      <c r="CC13" s="64">
        <f t="shared" si="9"/>
        <v>3581.5630000000001</v>
      </c>
      <c r="CD13" s="64">
        <f t="shared" si="9"/>
        <v>3675.7819999999997</v>
      </c>
      <c r="CE13" s="64">
        <f t="shared" si="9"/>
        <v>4228.9490000000005</v>
      </c>
      <c r="CF13" s="64">
        <f t="shared" si="9"/>
        <v>4947.7909999999993</v>
      </c>
      <c r="CG13" s="64">
        <f t="shared" si="9"/>
        <v>4663.0000000000009</v>
      </c>
      <c r="CH13" s="64">
        <f t="shared" si="9"/>
        <v>4748.7999999999993</v>
      </c>
      <c r="CI13" s="64">
        <f t="shared" si="9"/>
        <v>5396.0849999999991</v>
      </c>
      <c r="CJ13" s="64">
        <f t="shared" si="9"/>
        <v>7465.9790000000012</v>
      </c>
      <c r="CK13" s="64">
        <f t="shared" si="9"/>
        <v>9015.8489999999983</v>
      </c>
      <c r="CL13" s="64">
        <f t="shared" si="9"/>
        <v>10205.488000000001</v>
      </c>
      <c r="CM13" s="64">
        <f>+CM9+CM10</f>
        <v>11249.63917630202</v>
      </c>
      <c r="CN13" s="64">
        <f>+CN9+CN10</f>
        <v>12262.93933267232</v>
      </c>
    </row>
    <row r="14" spans="1:92" s="18" customFormat="1" x14ac:dyDescent="0.35">
      <c r="B14" s="29" t="str">
        <f>IF(Control!$D$5=1,"(-) Cost of Sales and Services","(-) Custo das Vendas e Serviços")</f>
        <v>(-) Custo das Vendas e Serviços</v>
      </c>
      <c r="C14" s="29"/>
      <c r="D14" s="66">
        <v>-209.047</v>
      </c>
      <c r="E14" s="87">
        <v>-310.851</v>
      </c>
      <c r="F14" s="87">
        <v>-352.87599999999998</v>
      </c>
      <c r="G14" s="86">
        <v>-293.36099999999999</v>
      </c>
      <c r="H14" s="66">
        <v>-272.48500000000001</v>
      </c>
      <c r="I14" s="86">
        <v>-250.173</v>
      </c>
      <c r="J14" s="86">
        <v>-233.65700000000004</v>
      </c>
      <c r="K14" s="86">
        <v>-257.61999999999989</v>
      </c>
      <c r="L14" s="71">
        <v>-264.98399999999998</v>
      </c>
      <c r="M14" s="87">
        <v>-275.28500000000003</v>
      </c>
      <c r="N14" s="87">
        <v>-275.43900000000002</v>
      </c>
      <c r="O14" s="86">
        <v>-249.9919999999999</v>
      </c>
      <c r="P14" s="66">
        <v>-262.63600000000002</v>
      </c>
      <c r="Q14" s="86">
        <v>-299.73599999999993</v>
      </c>
      <c r="R14" s="86">
        <v>-368.68</v>
      </c>
      <c r="S14" s="86">
        <v>-368.43199999999996</v>
      </c>
      <c r="T14" s="66">
        <v>-440.959</v>
      </c>
      <c r="U14" s="86">
        <v>-455.84499999999997</v>
      </c>
      <c r="V14" s="86">
        <v>-625.58799999999997</v>
      </c>
      <c r="W14" s="86">
        <v>-585.44399999999973</v>
      </c>
      <c r="X14" s="86">
        <v>-611.404</v>
      </c>
      <c r="Y14" s="87">
        <v>-668.47500000000002</v>
      </c>
      <c r="Z14" s="87">
        <v>-716.25699999999995</v>
      </c>
      <c r="AA14" s="86">
        <v>-706.31800000000021</v>
      </c>
      <c r="AB14" s="66">
        <v>-688.68299999999999</v>
      </c>
      <c r="AC14" s="86">
        <v>-678.25600000000009</v>
      </c>
      <c r="AD14" s="86">
        <v>-723.65800000000013</v>
      </c>
      <c r="AE14" s="86">
        <v>-733.76799999999935</v>
      </c>
      <c r="AF14" s="66">
        <v>-728.02499999999998</v>
      </c>
      <c r="AG14" s="86">
        <v>-776.85700000000008</v>
      </c>
      <c r="AH14" s="86">
        <v>-865.19900000000018</v>
      </c>
      <c r="AI14" s="86">
        <v>-824.71900000000016</v>
      </c>
      <c r="AJ14" s="66">
        <v>-842.35900000000004</v>
      </c>
      <c r="AK14" s="86">
        <v>-920.14499999999987</v>
      </c>
      <c r="AL14" s="86">
        <v>-982.18600000000004</v>
      </c>
      <c r="AM14" s="86">
        <v>-981.90199999999993</v>
      </c>
      <c r="AN14" s="66">
        <v>-928.15899999999999</v>
      </c>
      <c r="AO14" s="86">
        <v>-879.63</v>
      </c>
      <c r="AP14" s="86">
        <v>-873.221</v>
      </c>
      <c r="AQ14" s="86">
        <v>-831.48999999999978</v>
      </c>
      <c r="AR14" s="87">
        <v>-741.1</v>
      </c>
      <c r="AS14" s="87">
        <v>-829.5</v>
      </c>
      <c r="AT14" s="87">
        <v>-946.9</v>
      </c>
      <c r="AU14" s="87">
        <v>-1009.6</v>
      </c>
      <c r="AV14" s="87">
        <v>-950.3</v>
      </c>
      <c r="AW14" s="87">
        <v>-939.89499999999998</v>
      </c>
      <c r="AX14" s="87">
        <v>-1100.8090000000002</v>
      </c>
      <c r="AY14" s="87">
        <v>-1154.252</v>
      </c>
      <c r="AZ14" s="87">
        <v>-1315.3910000000001</v>
      </c>
      <c r="BA14" s="87">
        <v>-1478.1379999999999</v>
      </c>
      <c r="BB14" s="87">
        <v>-1524.7180000000001</v>
      </c>
      <c r="BC14" s="87">
        <v>-1486.7470000000001</v>
      </c>
      <c r="BD14" s="87">
        <v>-1809.527</v>
      </c>
      <c r="BE14" s="87">
        <v>-1785.577</v>
      </c>
      <c r="BF14" s="87">
        <v>-1801.25</v>
      </c>
      <c r="BG14" s="87">
        <v>-1841.348</v>
      </c>
      <c r="BH14" s="87">
        <v>-1849.2349999999999</v>
      </c>
      <c r="BI14" s="87">
        <v>-2125.377</v>
      </c>
      <c r="BJ14" s="87">
        <v>-2079.4659999999999</v>
      </c>
      <c r="BK14" s="87">
        <v>-2031.547</v>
      </c>
      <c r="BL14" s="87">
        <v>-2104.0360518640023</v>
      </c>
      <c r="BM14" s="87">
        <v>-2336.0638803799998</v>
      </c>
      <c r="BN14" s="87">
        <v>-2423.8339999999998</v>
      </c>
      <c r="BO14" s="87">
        <v>-2109.7530000000002</v>
      </c>
      <c r="BP14" s="87">
        <v>-2273.6462255139259</v>
      </c>
      <c r="BQ14" s="87">
        <v>-2563.2959999999998</v>
      </c>
      <c r="BR14" s="87">
        <v>-2570.38</v>
      </c>
      <c r="BS14" s="87">
        <v>-2465.6689999999999</v>
      </c>
      <c r="BT14" s="87">
        <v>-2081.2429999999999</v>
      </c>
      <c r="BU14" s="87">
        <v>-2305.8870000000002</v>
      </c>
      <c r="BV14" s="228"/>
      <c r="BW14" s="86">
        <v>-633.28499999999997</v>
      </c>
      <c r="BX14" s="86">
        <v>-1166.135</v>
      </c>
      <c r="BY14" s="87">
        <v>-1013.9349999999999</v>
      </c>
      <c r="BZ14" s="66">
        <v>-1065.7</v>
      </c>
      <c r="CA14" s="66">
        <v>-1299.4839999999999</v>
      </c>
      <c r="CB14" s="66">
        <v>-2107.8359999999998</v>
      </c>
      <c r="CC14" s="66">
        <v>-2702.4540000000002</v>
      </c>
      <c r="CD14" s="66">
        <v>-2824.3649999999998</v>
      </c>
      <c r="CE14" s="66">
        <v>-3194.8</v>
      </c>
      <c r="CF14" s="66">
        <v>-3726.5920000000001</v>
      </c>
      <c r="CG14" s="66">
        <v>-3512.5</v>
      </c>
      <c r="CH14" s="71">
        <v>-3527.1</v>
      </c>
      <c r="CI14" s="71">
        <v>-4145.2559999999994</v>
      </c>
      <c r="CJ14" s="71">
        <v>-5804.9939999999997</v>
      </c>
      <c r="CK14" s="71">
        <v>-7237.7020000000002</v>
      </c>
      <c r="CL14" s="71">
        <v>-8085.625</v>
      </c>
      <c r="CM14" s="71">
        <v>-8973.6750518640019</v>
      </c>
      <c r="CN14" s="71">
        <v>-9872.9912255139243</v>
      </c>
    </row>
    <row r="15" spans="1:92" s="6" customFormat="1" x14ac:dyDescent="0.35">
      <c r="B15" s="28" t="str">
        <f>IF(Control!$D$5=1,"Gross Profit","Lucro Bruto")</f>
        <v>Lucro Bruto</v>
      </c>
      <c r="C15" s="28"/>
      <c r="D15" s="64">
        <f t="shared" ref="D15:O15" si="10">D13+D14</f>
        <v>91.674999999999983</v>
      </c>
      <c r="E15" s="64">
        <f t="shared" si="10"/>
        <v>101.47699999999998</v>
      </c>
      <c r="F15" s="64">
        <f t="shared" si="10"/>
        <v>86.096000000000004</v>
      </c>
      <c r="G15" s="64">
        <f t="shared" si="10"/>
        <v>67.838000000000079</v>
      </c>
      <c r="H15" s="64">
        <f t="shared" si="10"/>
        <v>88.911999999999978</v>
      </c>
      <c r="I15" s="85">
        <f t="shared" si="10"/>
        <v>74.788999999999987</v>
      </c>
      <c r="J15" s="85">
        <f t="shared" si="10"/>
        <v>66.430999999999926</v>
      </c>
      <c r="K15" s="85">
        <f t="shared" si="10"/>
        <v>69.084000000000174</v>
      </c>
      <c r="L15" s="70">
        <f t="shared" si="10"/>
        <v>91.126000000000033</v>
      </c>
      <c r="M15" s="114">
        <f t="shared" si="10"/>
        <v>87.464999999999918</v>
      </c>
      <c r="N15" s="114">
        <f t="shared" si="10"/>
        <v>85.91900000000004</v>
      </c>
      <c r="O15" s="85">
        <f t="shared" si="10"/>
        <v>76.504000000000133</v>
      </c>
      <c r="P15" s="64">
        <f>P13+P14</f>
        <v>108.13799999999998</v>
      </c>
      <c r="Q15" s="85">
        <f t="shared" ref="Q15:W15" si="11">Q13+Q14</f>
        <v>126.10500000000002</v>
      </c>
      <c r="R15" s="85">
        <f t="shared" si="11"/>
        <v>124.274</v>
      </c>
      <c r="S15" s="85">
        <f t="shared" si="11"/>
        <v>125.73700000000019</v>
      </c>
      <c r="T15" s="64">
        <f t="shared" si="11"/>
        <v>144.30300000000005</v>
      </c>
      <c r="U15" s="85">
        <f t="shared" si="11"/>
        <v>147.55799999999994</v>
      </c>
      <c r="V15" s="85">
        <f t="shared" si="11"/>
        <v>190.49299999999994</v>
      </c>
      <c r="W15" s="85">
        <f t="shared" si="11"/>
        <v>186.02700000000004</v>
      </c>
      <c r="X15" s="85">
        <f t="shared" ref="X15:AN15" si="12">X13+X14</f>
        <v>241.6819999999999</v>
      </c>
      <c r="Y15" s="114">
        <f t="shared" si="12"/>
        <v>224.35600000000011</v>
      </c>
      <c r="Z15" s="114">
        <f t="shared" si="12"/>
        <v>198.19299999999998</v>
      </c>
      <c r="AA15" s="85">
        <f t="shared" si="12"/>
        <v>214.87799999999982</v>
      </c>
      <c r="AB15" s="64">
        <f t="shared" si="12"/>
        <v>236.47199999999998</v>
      </c>
      <c r="AC15" s="85">
        <f t="shared" si="12"/>
        <v>217.08699999999976</v>
      </c>
      <c r="AD15" s="85">
        <f t="shared" si="12"/>
        <v>207.02899999999977</v>
      </c>
      <c r="AE15" s="85">
        <f t="shared" si="12"/>
        <v>190.82900000000086</v>
      </c>
      <c r="AF15" s="64">
        <f t="shared" si="12"/>
        <v>233.71699999999998</v>
      </c>
      <c r="AG15" s="85">
        <f t="shared" si="12"/>
        <v>247.61799999999982</v>
      </c>
      <c r="AH15" s="85">
        <f t="shared" si="12"/>
        <v>278.60700000000031</v>
      </c>
      <c r="AI15" s="85">
        <f t="shared" si="12"/>
        <v>274.20699999999977</v>
      </c>
      <c r="AJ15" s="64">
        <f t="shared" si="12"/>
        <v>293.85800000000006</v>
      </c>
      <c r="AK15" s="85">
        <f t="shared" si="12"/>
        <v>352.92599999999982</v>
      </c>
      <c r="AL15" s="85">
        <f t="shared" si="12"/>
        <v>293.94600000000003</v>
      </c>
      <c r="AM15" s="85">
        <f t="shared" si="12"/>
        <v>280.40800000000002</v>
      </c>
      <c r="AN15" s="64">
        <f t="shared" si="12"/>
        <v>297.39999999999998</v>
      </c>
      <c r="AO15" s="85">
        <f t="shared" ref="AO15:AT15" si="13">AO13+AO14</f>
        <v>282.25499999999977</v>
      </c>
      <c r="AP15" s="85">
        <f t="shared" si="13"/>
        <v>285.94200000000001</v>
      </c>
      <c r="AQ15" s="85">
        <f t="shared" si="13"/>
        <v>284.90300000000047</v>
      </c>
      <c r="AR15" s="114">
        <f t="shared" si="13"/>
        <v>263.29999999999984</v>
      </c>
      <c r="AS15" s="114">
        <f t="shared" si="13"/>
        <v>316.09999999999991</v>
      </c>
      <c r="AT15" s="114">
        <f t="shared" si="13"/>
        <v>319.89999999999998</v>
      </c>
      <c r="AU15" s="114">
        <f t="shared" ref="AU15:BN15" si="14">AU13+AU14</f>
        <v>322.4000000000002</v>
      </c>
      <c r="AV15" s="114">
        <f t="shared" si="14"/>
        <v>286.79999999999995</v>
      </c>
      <c r="AW15" s="114">
        <f t="shared" si="14"/>
        <v>283.66000000000008</v>
      </c>
      <c r="AX15" s="114">
        <f t="shared" si="14"/>
        <v>342.69999999999959</v>
      </c>
      <c r="AY15" s="114">
        <f t="shared" si="14"/>
        <v>337.66899999999987</v>
      </c>
      <c r="AZ15" s="114">
        <f t="shared" si="14"/>
        <v>413.59299999999985</v>
      </c>
      <c r="BA15" s="114">
        <f t="shared" si="14"/>
        <v>434.47</v>
      </c>
      <c r="BB15" s="114">
        <f t="shared" si="14"/>
        <v>469.10192098000016</v>
      </c>
      <c r="BC15" s="114">
        <f t="shared" si="14"/>
        <v>343.81999999999994</v>
      </c>
      <c r="BD15" s="114">
        <f t="shared" si="14"/>
        <v>447.63500000000022</v>
      </c>
      <c r="BE15" s="114">
        <f t="shared" si="14"/>
        <v>432.94799999999964</v>
      </c>
      <c r="BF15" s="114">
        <f t="shared" si="14"/>
        <v>471.70699999999988</v>
      </c>
      <c r="BG15" s="114">
        <f t="shared" si="14"/>
        <v>425.85700000000043</v>
      </c>
      <c r="BH15" s="114">
        <f t="shared" si="14"/>
        <v>547.39000000000055</v>
      </c>
      <c r="BI15" s="114">
        <f t="shared" si="14"/>
        <v>571.13299999999981</v>
      </c>
      <c r="BJ15" s="114">
        <f t="shared" si="14"/>
        <v>520.64899999999989</v>
      </c>
      <c r="BK15" s="114">
        <f t="shared" si="14"/>
        <v>480.69499999999971</v>
      </c>
      <c r="BL15" s="114">
        <f t="shared" si="14"/>
        <v>549.99094813599777</v>
      </c>
      <c r="BM15" s="114">
        <f t="shared" si="14"/>
        <v>573.66617630202018</v>
      </c>
      <c r="BN15" s="114">
        <f t="shared" si="14"/>
        <v>579.72600000000011</v>
      </c>
      <c r="BO15" s="114">
        <f t="shared" ref="BO15:BT15" si="15">BO13+BO14</f>
        <v>572.57846301382278</v>
      </c>
      <c r="BP15" s="114">
        <f t="shared" si="15"/>
        <v>625.97035650597263</v>
      </c>
      <c r="BQ15" s="114">
        <f t="shared" si="15"/>
        <v>698.26400000000012</v>
      </c>
      <c r="BR15" s="114">
        <f t="shared" si="15"/>
        <v>534.23499999999967</v>
      </c>
      <c r="BS15" s="114">
        <f t="shared" si="15"/>
        <v>531.47899999999981</v>
      </c>
      <c r="BT15" s="114">
        <f t="shared" si="15"/>
        <v>606.07000000000016</v>
      </c>
      <c r="BU15" s="114">
        <v>673.78099999999995</v>
      </c>
      <c r="BV15" s="228"/>
      <c r="BW15" s="85">
        <f t="shared" ref="BW15:CF15" si="16">BW13+BW14</f>
        <v>231.02300000000002</v>
      </c>
      <c r="BX15" s="85">
        <f t="shared" si="16"/>
        <v>347.08600000000001</v>
      </c>
      <c r="BY15" s="114">
        <f t="shared" si="16"/>
        <v>299.21599999999989</v>
      </c>
      <c r="BZ15" s="64">
        <f t="shared" si="16"/>
        <v>341.01400000000012</v>
      </c>
      <c r="CA15" s="64">
        <f t="shared" si="16"/>
        <v>484.25400000000013</v>
      </c>
      <c r="CB15" s="64">
        <f t="shared" si="16"/>
        <v>668.38099999999986</v>
      </c>
      <c r="CC15" s="64">
        <f t="shared" si="16"/>
        <v>879.10899999999992</v>
      </c>
      <c r="CD15" s="64">
        <f t="shared" si="16"/>
        <v>851.41699999999992</v>
      </c>
      <c r="CE15" s="64">
        <f t="shared" si="16"/>
        <v>1034.1490000000003</v>
      </c>
      <c r="CF15" s="64">
        <f t="shared" si="16"/>
        <v>1221.1989999999992</v>
      </c>
      <c r="CG15" s="64">
        <f t="shared" ref="CG15:CN15" si="17">CG13+CG14</f>
        <v>1150.5000000000009</v>
      </c>
      <c r="CH15" s="64">
        <f t="shared" si="17"/>
        <v>1221.6999999999994</v>
      </c>
      <c r="CI15" s="64">
        <f t="shared" si="17"/>
        <v>1250.8289999999997</v>
      </c>
      <c r="CJ15" s="64">
        <f t="shared" si="17"/>
        <v>1660.9850000000015</v>
      </c>
      <c r="CK15" s="64">
        <f t="shared" si="17"/>
        <v>1778.1469999999981</v>
      </c>
      <c r="CL15" s="64">
        <f t="shared" si="17"/>
        <v>2119.8630000000012</v>
      </c>
      <c r="CM15" s="64">
        <f t="shared" si="17"/>
        <v>2275.9641244380182</v>
      </c>
      <c r="CN15" s="64">
        <f t="shared" si="17"/>
        <v>2389.9481071583959</v>
      </c>
    </row>
    <row r="16" spans="1:92" s="18" customFormat="1" x14ac:dyDescent="0.35">
      <c r="A16" s="91"/>
      <c r="B16" s="29" t="str">
        <f>IF(Control!$D$5=1,"(-) Selling Expenses","(-) Despesas com Vendas")</f>
        <v>(-) Despesas com Vendas</v>
      </c>
      <c r="C16" s="29"/>
      <c r="D16" s="66">
        <v>-35.776000000000003</v>
      </c>
      <c r="E16" s="87">
        <v>-38.943999999999996</v>
      </c>
      <c r="F16" s="87">
        <v>-43.281999999999996</v>
      </c>
      <c r="G16" s="86">
        <v>-41.414999999999999</v>
      </c>
      <c r="H16" s="66">
        <v>-43.04</v>
      </c>
      <c r="I16" s="86">
        <v>-45.143999999999998</v>
      </c>
      <c r="J16" s="86">
        <v>-41.561</v>
      </c>
      <c r="K16" s="86">
        <v>-34.990999999999978</v>
      </c>
      <c r="L16" s="71">
        <v>-40.020000000000003</v>
      </c>
      <c r="M16" s="87">
        <v>-46.449999999999996</v>
      </c>
      <c r="N16" s="87">
        <v>-44.076000000000001</v>
      </c>
      <c r="O16" s="86">
        <v>-40.878000000000021</v>
      </c>
      <c r="P16" s="66">
        <v>-51.71</v>
      </c>
      <c r="Q16" s="86">
        <v>-63.372999999999998</v>
      </c>
      <c r="R16" s="86">
        <v>-65.459000000000003</v>
      </c>
      <c r="S16" s="86">
        <v>-62.786000000000008</v>
      </c>
      <c r="T16" s="66">
        <v>-70.605000000000004</v>
      </c>
      <c r="U16" s="86">
        <v>-72.17</v>
      </c>
      <c r="V16" s="86">
        <v>-87.678999999999988</v>
      </c>
      <c r="W16" s="86">
        <v>-87.469000000000008</v>
      </c>
      <c r="X16" s="86">
        <v>-104.605</v>
      </c>
      <c r="Y16" s="87">
        <v>-108.345</v>
      </c>
      <c r="Z16" s="87">
        <v>-96.927999999999997</v>
      </c>
      <c r="AA16" s="86">
        <v>-103.509</v>
      </c>
      <c r="AB16" s="66">
        <v>-105.252</v>
      </c>
      <c r="AC16" s="86">
        <v>-100.038</v>
      </c>
      <c r="AD16" s="86">
        <v>-100.41299999999997</v>
      </c>
      <c r="AE16" s="86">
        <v>-96.396000000000029</v>
      </c>
      <c r="AF16" s="66">
        <v>-101.048</v>
      </c>
      <c r="AG16" s="86">
        <v>-109.33500000000001</v>
      </c>
      <c r="AH16" s="86">
        <v>-116.273</v>
      </c>
      <c r="AI16" s="86">
        <v>-117.77400000000003</v>
      </c>
      <c r="AJ16" s="66">
        <v>-128.267</v>
      </c>
      <c r="AK16" s="86">
        <v>-129.19600000000003</v>
      </c>
      <c r="AL16" s="86">
        <v>-115.28199999999998</v>
      </c>
      <c r="AM16" s="86">
        <v>-135.90899999999999</v>
      </c>
      <c r="AN16" s="66">
        <v>-133.38999999999999</v>
      </c>
      <c r="AO16" s="86">
        <v>-142.10000000000002</v>
      </c>
      <c r="AP16" s="86">
        <v>-129.601</v>
      </c>
      <c r="AQ16" s="86">
        <v>-138.50900000000001</v>
      </c>
      <c r="AR16" s="87">
        <v>-134.1</v>
      </c>
      <c r="AS16" s="87">
        <v>-153.4</v>
      </c>
      <c r="AT16" s="87">
        <v>-159.5</v>
      </c>
      <c r="AU16" s="87">
        <v>-184.1</v>
      </c>
      <c r="AV16" s="87">
        <v>-161.19999999999999</v>
      </c>
      <c r="AW16" s="87">
        <v>-148.767</v>
      </c>
      <c r="AX16" s="87">
        <v>-164.00400000000002</v>
      </c>
      <c r="AY16" s="87">
        <v>-168.959</v>
      </c>
      <c r="AZ16" s="87">
        <v>-176.41399999999999</v>
      </c>
      <c r="BA16" s="87">
        <v>-188.36500000000001</v>
      </c>
      <c r="BB16" s="87">
        <v>-177.68899999999999</v>
      </c>
      <c r="BC16" s="87">
        <v>-158.75399999999999</v>
      </c>
      <c r="BD16" s="87">
        <v>-187.22499999999999</v>
      </c>
      <c r="BE16" s="87">
        <v>-189.744</v>
      </c>
      <c r="BF16" s="87">
        <v>-205.76300000000001</v>
      </c>
      <c r="BG16" s="87">
        <v>-224.79300000000001</v>
      </c>
      <c r="BH16" s="87">
        <v>-233.40700000000001</v>
      </c>
      <c r="BI16" s="87">
        <v>-292.685</v>
      </c>
      <c r="BJ16" s="87">
        <v>-276.21100000000001</v>
      </c>
      <c r="BK16" s="87">
        <v>-258.00299999999999</v>
      </c>
      <c r="BL16" s="87">
        <v>-280.79000000000002</v>
      </c>
      <c r="BM16" s="87">
        <v>-292.97399999999999</v>
      </c>
      <c r="BN16" s="87">
        <v>-273.822</v>
      </c>
      <c r="BO16" s="87">
        <v>-248.42039176806696</v>
      </c>
      <c r="BP16" s="87">
        <v>-295.83456309234515</v>
      </c>
      <c r="BQ16" s="87">
        <v>-316.18200000000002</v>
      </c>
      <c r="BR16" s="87">
        <v>-286.65100000000001</v>
      </c>
      <c r="BS16" s="87">
        <v>-295.21300000000002</v>
      </c>
      <c r="BT16" s="87">
        <v>-292.47300000000001</v>
      </c>
      <c r="BU16" s="87">
        <v>-331.77399999999994</v>
      </c>
      <c r="BV16" s="197"/>
      <c r="BW16" s="86">
        <v>-121.751</v>
      </c>
      <c r="BX16" s="86">
        <v>-159.417</v>
      </c>
      <c r="BY16" s="87">
        <v>-164.73599999999999</v>
      </c>
      <c r="BZ16" s="66">
        <v>-171.42400000000001</v>
      </c>
      <c r="CA16" s="66">
        <v>-243.328</v>
      </c>
      <c r="CB16" s="66">
        <v>-317.923</v>
      </c>
      <c r="CC16" s="66">
        <v>-413.387</v>
      </c>
      <c r="CD16" s="66">
        <v>-402.09899999999999</v>
      </c>
      <c r="CE16" s="66">
        <v>-444.43</v>
      </c>
      <c r="CF16" s="66">
        <v>-508.654</v>
      </c>
      <c r="CG16" s="66">
        <v>-543.6</v>
      </c>
      <c r="CH16" s="71">
        <v>-631.1</v>
      </c>
      <c r="CI16" s="71">
        <v>-642.93000000000006</v>
      </c>
      <c r="CJ16" s="71">
        <v>-701.22199999999998</v>
      </c>
      <c r="CK16" s="71">
        <v>-807.52499999999998</v>
      </c>
      <c r="CL16" s="71">
        <v>-1060.306</v>
      </c>
      <c r="CM16" s="71">
        <v>-1096.006391768067</v>
      </c>
      <c r="CN16" s="71">
        <v>-1193.8805630923453</v>
      </c>
    </row>
    <row r="17" spans="1:93" s="18" customFormat="1" x14ac:dyDescent="0.35">
      <c r="A17" s="91"/>
      <c r="B17" s="29" t="str">
        <f>IF(Control!$D$5=1,"(-) G&amp;A Expenses","(-) Despesas Gerais e Administrativas")</f>
        <v>(-) Despesas Gerais e Administrativas</v>
      </c>
      <c r="C17" s="29"/>
      <c r="D17" s="66">
        <v>-10.295000000000002</v>
      </c>
      <c r="E17" s="87">
        <v>-10.77</v>
      </c>
      <c r="F17" s="87">
        <v>-9.9789999999999992</v>
      </c>
      <c r="G17" s="86">
        <v>-12.001000000000001</v>
      </c>
      <c r="H17" s="66">
        <v>-10.627000000000001</v>
      </c>
      <c r="I17" s="86">
        <v>-10.887999999999996</v>
      </c>
      <c r="J17" s="86">
        <v>-9.7940000000000058</v>
      </c>
      <c r="K17" s="86">
        <v>-13.263999999999998</v>
      </c>
      <c r="L17" s="71">
        <v>-13.798999999999999</v>
      </c>
      <c r="M17" s="87">
        <v>-17.259</v>
      </c>
      <c r="N17" s="87">
        <v>-16.203000000000003</v>
      </c>
      <c r="O17" s="86">
        <v>-18.020999999999994</v>
      </c>
      <c r="P17" s="66">
        <v>-17.122</v>
      </c>
      <c r="Q17" s="86">
        <v>-21.324999999999996</v>
      </c>
      <c r="R17" s="86">
        <v>-23.746000000000009</v>
      </c>
      <c r="S17" s="86">
        <v>-34.214999999999996</v>
      </c>
      <c r="T17" s="66">
        <v>-27.692</v>
      </c>
      <c r="U17" s="86">
        <v>-21.359000000000002</v>
      </c>
      <c r="V17" s="86">
        <v>-31.296999999999997</v>
      </c>
      <c r="W17" s="86">
        <v>-44.275999999999989</v>
      </c>
      <c r="X17" s="86">
        <v>-39.692999999999998</v>
      </c>
      <c r="Y17" s="87">
        <v>-46.963999999999999</v>
      </c>
      <c r="Z17" s="87">
        <v>-36.890999999999998</v>
      </c>
      <c r="AA17" s="86">
        <v>-38.584000000000017</v>
      </c>
      <c r="AB17" s="66">
        <v>-47.069000000000003</v>
      </c>
      <c r="AC17" s="86">
        <v>-43.893000000000001</v>
      </c>
      <c r="AD17" s="86">
        <v>-43.189999999999984</v>
      </c>
      <c r="AE17" s="86">
        <v>-39.755000000000038</v>
      </c>
      <c r="AF17" s="66">
        <v>-48.15</v>
      </c>
      <c r="AG17" s="86">
        <v>-49.991999999999997</v>
      </c>
      <c r="AH17" s="86">
        <v>-56.402999999999999</v>
      </c>
      <c r="AI17" s="86">
        <v>-72.536000000000001</v>
      </c>
      <c r="AJ17" s="66">
        <v>-53.167000000000002</v>
      </c>
      <c r="AK17" s="86">
        <v>-70.959999999999994</v>
      </c>
      <c r="AL17" s="86">
        <v>-54.509</v>
      </c>
      <c r="AM17" s="86">
        <v>-77.388000000000005</v>
      </c>
      <c r="AN17" s="66">
        <v>-61.578000000000003</v>
      </c>
      <c r="AO17" s="86">
        <v>-59.019999999999996</v>
      </c>
      <c r="AP17" s="86">
        <v>-58.517000000000003</v>
      </c>
      <c r="AQ17" s="86">
        <v>-59.484999999999985</v>
      </c>
      <c r="AR17" s="87">
        <v>-68.900000000000006</v>
      </c>
      <c r="AS17" s="87">
        <v>-73.5</v>
      </c>
      <c r="AT17" s="87">
        <v>-71.599999999999994</v>
      </c>
      <c r="AU17" s="87">
        <v>-78.900000000000006</v>
      </c>
      <c r="AV17" s="87">
        <v>-77.3</v>
      </c>
      <c r="AW17" s="87">
        <v>-78.885000000000005</v>
      </c>
      <c r="AX17" s="87">
        <v>-80.273000000000025</v>
      </c>
      <c r="AY17" s="87">
        <v>-75.069999999999993</v>
      </c>
      <c r="AZ17" s="87">
        <v>-84.012</v>
      </c>
      <c r="BA17" s="87">
        <v>-89.872</v>
      </c>
      <c r="BB17" s="87">
        <v>-96.757999999999996</v>
      </c>
      <c r="BC17" s="87">
        <v>-90.215999999999994</v>
      </c>
      <c r="BD17" s="87">
        <v>-109.021</v>
      </c>
      <c r="BE17" s="87">
        <v>-97.397999999999996</v>
      </c>
      <c r="BF17" s="87">
        <v>-114.09699999999999</v>
      </c>
      <c r="BG17" s="87">
        <v>-122.681</v>
      </c>
      <c r="BH17" s="87">
        <v>-125.499</v>
      </c>
      <c r="BI17" s="87">
        <v>-127.203</v>
      </c>
      <c r="BJ17" s="87">
        <v>-177.17500000000001</v>
      </c>
      <c r="BK17" s="87">
        <v>-156.727</v>
      </c>
      <c r="BL17" s="87">
        <v>-157.54900000000001</v>
      </c>
      <c r="BM17" s="87">
        <v>-138.81299999999999</v>
      </c>
      <c r="BN17" s="87">
        <v>-151.53800000000001</v>
      </c>
      <c r="BO17" s="87">
        <v>-138.286</v>
      </c>
      <c r="BP17" s="87">
        <v>-143.71844248011095</v>
      </c>
      <c r="BQ17" s="87">
        <v>-161.71199999999999</v>
      </c>
      <c r="BR17" s="87">
        <v>-160.63</v>
      </c>
      <c r="BS17" s="87">
        <v>-143.137</v>
      </c>
      <c r="BT17" s="87">
        <v>-150.636</v>
      </c>
      <c r="BU17" s="87">
        <v>-166.173</v>
      </c>
      <c r="BV17" s="197"/>
      <c r="BW17" s="86">
        <v>-37.097000000000001</v>
      </c>
      <c r="BX17" s="86">
        <v>-43.045000000000002</v>
      </c>
      <c r="BY17" s="87">
        <v>-44.573</v>
      </c>
      <c r="BZ17" s="66">
        <v>-65.281999999999996</v>
      </c>
      <c r="CA17" s="66">
        <v>-96.408000000000001</v>
      </c>
      <c r="CB17" s="66">
        <v>-124.624</v>
      </c>
      <c r="CC17" s="66">
        <v>-162.13200000000001</v>
      </c>
      <c r="CD17" s="66">
        <v>-173.90700000000001</v>
      </c>
      <c r="CE17" s="66">
        <v>-227.08099999999999</v>
      </c>
      <c r="CF17" s="66">
        <v>-256.024</v>
      </c>
      <c r="CG17" s="66">
        <v>-238.6</v>
      </c>
      <c r="CH17" s="71">
        <v>-292.89999999999998</v>
      </c>
      <c r="CI17" s="71">
        <v>-311.52800000000002</v>
      </c>
      <c r="CJ17" s="71">
        <v>-360.858</v>
      </c>
      <c r="CK17" s="71">
        <v>-443.197</v>
      </c>
      <c r="CL17" s="71">
        <v>-586.60400000000004</v>
      </c>
      <c r="CM17" s="71">
        <v>-586.18599999999992</v>
      </c>
      <c r="CN17" s="71">
        <v>-609.19744248011102</v>
      </c>
    </row>
    <row r="18" spans="1:93" s="18" customFormat="1" x14ac:dyDescent="0.35">
      <c r="B18" s="29" t="str">
        <f>IF(Control!$D$5=1,"(+/-) Equity (Earnings)/Losses in Uncons. Subs.","(+/-) Resultado da Equivalência Patrimonial")</f>
        <v>(+/-) Resultado da Equivalência Patrimonial</v>
      </c>
      <c r="C18" s="29"/>
      <c r="D18" s="66">
        <v>-0.69799999999999995</v>
      </c>
      <c r="E18" s="87">
        <v>0.42299999999999999</v>
      </c>
      <c r="F18" s="87">
        <v>-0.151</v>
      </c>
      <c r="G18" s="86">
        <v>0.5129999999999999</v>
      </c>
      <c r="H18" s="66">
        <v>-0.48899999999999999</v>
      </c>
      <c r="I18" s="86">
        <v>0.249</v>
      </c>
      <c r="J18" s="86">
        <v>-3.8000000000000034E-2</v>
      </c>
      <c r="K18" s="86">
        <v>0.26400000000000001</v>
      </c>
      <c r="L18" s="71">
        <v>-0.45300000000000001</v>
      </c>
      <c r="M18" s="87">
        <v>-0.49899999999999994</v>
      </c>
      <c r="N18" s="87">
        <v>-0.2890000000000002</v>
      </c>
      <c r="O18" s="86">
        <v>1.1310000000000002</v>
      </c>
      <c r="P18" s="66">
        <v>-0.38300000000000001</v>
      </c>
      <c r="Q18" s="86">
        <v>-0.23099999999999998</v>
      </c>
      <c r="R18" s="86">
        <v>-0.378</v>
      </c>
      <c r="S18" s="86">
        <v>-0.16900000000000004</v>
      </c>
      <c r="T18" s="66">
        <v>0.255</v>
      </c>
      <c r="U18" s="86">
        <v>0.91299999999999992</v>
      </c>
      <c r="V18" s="86">
        <v>1.7190000000000003</v>
      </c>
      <c r="W18" s="86">
        <v>1.1439999999999997</v>
      </c>
      <c r="X18" s="86">
        <v>-0.36099999999999999</v>
      </c>
      <c r="Y18" s="87">
        <v>0.437</v>
      </c>
      <c r="Z18" s="87">
        <v>-0.38200000000000001</v>
      </c>
      <c r="AA18" s="86">
        <v>-0.92900000000000005</v>
      </c>
      <c r="AB18" s="66">
        <v>-0.23300000000000001</v>
      </c>
      <c r="AC18" s="86">
        <v>0.64</v>
      </c>
      <c r="AD18" s="86">
        <v>-0.16500000000000001</v>
      </c>
      <c r="AE18" s="86">
        <v>-0.54500000000000004</v>
      </c>
      <c r="AF18" s="66">
        <v>-1.3029999999999999</v>
      </c>
      <c r="AG18" s="86">
        <v>0.17700000000000005</v>
      </c>
      <c r="AH18" s="86">
        <v>-2.4119999999999999</v>
      </c>
      <c r="AI18" s="86">
        <v>-2.1190000000000002</v>
      </c>
      <c r="AJ18" s="66">
        <v>-0.996</v>
      </c>
      <c r="AK18" s="86">
        <v>0.53600000000000003</v>
      </c>
      <c r="AL18" s="86">
        <v>-0.45100000000000007</v>
      </c>
      <c r="AM18" s="86">
        <v>1.6520000000000001</v>
      </c>
      <c r="AN18" s="66">
        <v>-0.875</v>
      </c>
      <c r="AO18" s="86">
        <v>0.41</v>
      </c>
      <c r="AP18" s="86">
        <v>-0.871</v>
      </c>
      <c r="AQ18" s="86">
        <v>-0.56399999999999983</v>
      </c>
      <c r="AR18" s="87">
        <v>-0.9</v>
      </c>
      <c r="AS18" s="87">
        <v>0.7</v>
      </c>
      <c r="AT18" s="87">
        <v>-0.30000000000000004</v>
      </c>
      <c r="AU18" s="87">
        <v>-0.4</v>
      </c>
      <c r="AV18" s="87">
        <v>-0.4</v>
      </c>
      <c r="AW18" s="87">
        <v>-1.837</v>
      </c>
      <c r="AX18" s="87">
        <v>-0.94500000000000028</v>
      </c>
      <c r="AY18" s="87">
        <v>2.5960000000000001</v>
      </c>
      <c r="AZ18" s="87">
        <v>-0.14899999999999999</v>
      </c>
      <c r="BA18" s="87">
        <v>0.10299999999999999</v>
      </c>
      <c r="BB18" s="87">
        <v>-1.4690000000000001</v>
      </c>
      <c r="BC18" s="87">
        <v>0.19800000000000001</v>
      </c>
      <c r="BD18" s="87">
        <v>8.6999999999999994E-2</v>
      </c>
      <c r="BE18" s="87">
        <v>0.32100000000000001</v>
      </c>
      <c r="BF18" s="87">
        <v>-0.159</v>
      </c>
      <c r="BG18" s="87">
        <v>-8.5000000000000006E-2</v>
      </c>
      <c r="BH18" s="87">
        <v>0.61399999999999999</v>
      </c>
      <c r="BI18" s="87">
        <v>0.115</v>
      </c>
      <c r="BJ18" s="87">
        <v>-0.97199999999999998</v>
      </c>
      <c r="BK18" s="87">
        <v>-0.39100000000000001</v>
      </c>
      <c r="BL18" s="87">
        <v>0</v>
      </c>
      <c r="BM18" s="87">
        <v>2.2650000000000001</v>
      </c>
      <c r="BN18" s="87">
        <v>4.2999999999999997E-2</v>
      </c>
      <c r="BO18" s="87">
        <v>-1.2247727733186371</v>
      </c>
      <c r="BP18" s="87">
        <v>0.37204855386015695</v>
      </c>
      <c r="BQ18" s="87">
        <v>-1.72</v>
      </c>
      <c r="BR18" s="87">
        <v>0</v>
      </c>
      <c r="BS18" s="87">
        <v>-2.8170000000000002</v>
      </c>
      <c r="BT18" s="87">
        <v>0.05</v>
      </c>
      <c r="BU18" s="87" t="s">
        <v>17</v>
      </c>
      <c r="BV18" s="197"/>
      <c r="BW18" s="86">
        <v>0.78400000000000003</v>
      </c>
      <c r="BX18" s="86">
        <v>8.6999999999999994E-2</v>
      </c>
      <c r="BY18" s="87">
        <v>-1.4E-2</v>
      </c>
      <c r="BZ18" s="66">
        <v>-0.11</v>
      </c>
      <c r="CA18" s="66">
        <v>-1.161</v>
      </c>
      <c r="CB18" s="66">
        <v>4.0309999999999997</v>
      </c>
      <c r="CC18" s="66">
        <v>-1.2350000000000001</v>
      </c>
      <c r="CD18" s="66">
        <v>-0.30299999999999999</v>
      </c>
      <c r="CE18" s="66">
        <v>-5.657</v>
      </c>
      <c r="CF18" s="66">
        <v>0.74099999999999999</v>
      </c>
      <c r="CG18" s="66">
        <v>-1.9</v>
      </c>
      <c r="CH18" s="71">
        <v>-0.90000000000000013</v>
      </c>
      <c r="CI18" s="71">
        <v>-0.5860000000000003</v>
      </c>
      <c r="CJ18" s="71">
        <v>-1.3169999999999999</v>
      </c>
      <c r="CK18" s="71">
        <v>0.16400000000000001</v>
      </c>
      <c r="CL18" s="71">
        <v>-0.63400000000000001</v>
      </c>
      <c r="CM18" s="71">
        <v>1.0832272266813632</v>
      </c>
      <c r="CN18" s="71">
        <v>-4.1649514461398436</v>
      </c>
    </row>
    <row r="19" spans="1:93" s="18" customFormat="1" x14ac:dyDescent="0.35">
      <c r="A19" s="91"/>
      <c r="B19" s="29" t="str">
        <f>IF(Control!$D$5=1,"Other Operating Income","(+) Outras Receitas Operacionais")</f>
        <v>(+) Outras Receitas Operacionais</v>
      </c>
      <c r="C19" s="29"/>
      <c r="D19" s="66">
        <v>1.107</v>
      </c>
      <c r="E19" s="87">
        <v>6.9749999999999996</v>
      </c>
      <c r="F19" s="87">
        <v>4.0759999999999996</v>
      </c>
      <c r="G19" s="86">
        <v>-1.2829999999999993</v>
      </c>
      <c r="H19" s="66">
        <v>-3.7000000000000002E-3</v>
      </c>
      <c r="I19" s="86">
        <v>10.0007</v>
      </c>
      <c r="J19" s="86">
        <v>1.1020000000000001</v>
      </c>
      <c r="K19" s="86">
        <v>3.1240000000000001</v>
      </c>
      <c r="L19" s="71">
        <v>2.4249999999999998</v>
      </c>
      <c r="M19" s="87">
        <v>1.9089999999999998</v>
      </c>
      <c r="N19" s="87">
        <v>0.54300000000000015</v>
      </c>
      <c r="O19" s="86">
        <v>6.97</v>
      </c>
      <c r="P19" s="66">
        <v>0.13800000000000001</v>
      </c>
      <c r="Q19" s="86">
        <v>4.22</v>
      </c>
      <c r="R19" s="86">
        <v>5.4070000000000009</v>
      </c>
      <c r="S19" s="86">
        <v>12.837000000000002</v>
      </c>
      <c r="T19" s="66">
        <v>15.645</v>
      </c>
      <c r="U19" s="86">
        <v>6.5030000000000001</v>
      </c>
      <c r="V19" s="86">
        <v>1.2370000000000019</v>
      </c>
      <c r="W19" s="86">
        <v>3.472999999999999</v>
      </c>
      <c r="X19" s="86">
        <v>-7.2039999999999997</v>
      </c>
      <c r="Y19" s="87">
        <v>0.51600000000000001</v>
      </c>
      <c r="Z19" s="87">
        <v>1.9119999999999999</v>
      </c>
      <c r="AA19" s="86">
        <v>1.3120000000000003</v>
      </c>
      <c r="AB19" s="66">
        <v>1.726</v>
      </c>
      <c r="AC19" s="86">
        <v>-1.0979999999999999</v>
      </c>
      <c r="AD19" s="86">
        <v>6.9690000000000003</v>
      </c>
      <c r="AE19" s="86">
        <v>2.319</v>
      </c>
      <c r="AF19" s="66">
        <v>-0.97499999999999998</v>
      </c>
      <c r="AG19" s="86">
        <v>-3.4620000000000002</v>
      </c>
      <c r="AH19" s="86">
        <v>-16.448</v>
      </c>
      <c r="AI19" s="86">
        <v>1.0600000000000014</v>
      </c>
      <c r="AJ19" s="66">
        <v>-8.0589999999999993</v>
      </c>
      <c r="AK19" s="86">
        <v>2.3059999999999992</v>
      </c>
      <c r="AL19" s="86">
        <v>0.75300000000000011</v>
      </c>
      <c r="AM19" s="86">
        <v>8.1909999999999989</v>
      </c>
      <c r="AN19" s="66">
        <v>4.4939999999999998</v>
      </c>
      <c r="AO19" s="86">
        <v>10.209</v>
      </c>
      <c r="AP19" s="86">
        <v>8.7110000000000003</v>
      </c>
      <c r="AQ19" s="86">
        <v>9.7860000000000014</v>
      </c>
      <c r="AR19" s="87">
        <v>-2.1</v>
      </c>
      <c r="AS19" s="87">
        <v>19.100000000000001</v>
      </c>
      <c r="AT19" s="87">
        <v>39.200000000000003</v>
      </c>
      <c r="AU19" s="87">
        <v>28.9</v>
      </c>
      <c r="AV19" s="87">
        <v>1.4</v>
      </c>
      <c r="AW19" s="87">
        <v>0.80400000000000005</v>
      </c>
      <c r="AX19" s="87">
        <v>-0.5</v>
      </c>
      <c r="AY19" s="87">
        <v>0.81100000000000005</v>
      </c>
      <c r="AZ19" s="87">
        <v>2.6160000000000001</v>
      </c>
      <c r="BA19" s="87">
        <v>9.9450000000000003</v>
      </c>
      <c r="BB19" s="87">
        <v>2.6709999999999998</v>
      </c>
      <c r="BC19" s="87">
        <v>9.3729999999999993</v>
      </c>
      <c r="BD19" s="87">
        <v>-8.7110000000000003</v>
      </c>
      <c r="BE19" s="87">
        <v>4.3570000000000002</v>
      </c>
      <c r="BF19" s="87">
        <v>7.1349999999999998</v>
      </c>
      <c r="BG19" s="87">
        <v>106.554</v>
      </c>
      <c r="BH19" s="87">
        <v>0.91</v>
      </c>
      <c r="BI19" s="87">
        <v>3.45</v>
      </c>
      <c r="BJ19" s="87">
        <v>184.44200000000001</v>
      </c>
      <c r="BK19" s="87">
        <v>24.67</v>
      </c>
      <c r="BL19" s="87">
        <v>22.050999999999998</v>
      </c>
      <c r="BM19" s="87">
        <v>3.004</v>
      </c>
      <c r="BN19" s="87">
        <v>28.521000000000001</v>
      </c>
      <c r="BO19" s="87">
        <v>3.656247725951125</v>
      </c>
      <c r="BP19" s="87">
        <v>2.8610000000000002</v>
      </c>
      <c r="BQ19" s="87">
        <v>2.78</v>
      </c>
      <c r="BR19" s="87">
        <v>16.123999999999999</v>
      </c>
      <c r="BS19" s="87">
        <v>36.525999999999996</v>
      </c>
      <c r="BT19" s="87">
        <v>3.214</v>
      </c>
      <c r="BU19" s="87">
        <v>7.8479999999999999</v>
      </c>
      <c r="BV19" s="197"/>
      <c r="BW19" s="86">
        <v>37.054000000000002</v>
      </c>
      <c r="BX19" s="86">
        <v>10.875</v>
      </c>
      <c r="BY19" s="87">
        <v>14.223000000000001</v>
      </c>
      <c r="BZ19" s="66">
        <v>11.847</v>
      </c>
      <c r="CA19" s="66">
        <v>22.602</v>
      </c>
      <c r="CB19" s="66">
        <v>26.858000000000001</v>
      </c>
      <c r="CC19" s="66">
        <v>-3.464</v>
      </c>
      <c r="CD19" s="66">
        <v>9.9160000000000004</v>
      </c>
      <c r="CE19" s="66">
        <v>-19.824999999999999</v>
      </c>
      <c r="CF19" s="66">
        <v>3.1909999999999998</v>
      </c>
      <c r="CG19" s="66">
        <v>33.200000000000003</v>
      </c>
      <c r="CH19" s="71">
        <v>85.1</v>
      </c>
      <c r="CI19" s="71">
        <v>2.5149999999999997</v>
      </c>
      <c r="CJ19" s="71">
        <v>24.603999999999999</v>
      </c>
      <c r="CK19" s="71">
        <v>109.334</v>
      </c>
      <c r="CL19" s="71">
        <v>213.46899999999999</v>
      </c>
      <c r="CM19" s="71">
        <v>57.232247725951126</v>
      </c>
      <c r="CN19" s="71">
        <v>58.290999999999997</v>
      </c>
    </row>
    <row r="20" spans="1:93" s="6" customFormat="1" x14ac:dyDescent="0.35">
      <c r="A20" s="18"/>
      <c r="B20" s="28" t="str">
        <f>IF(Control!$D$5=1,"EBIT","Lucro Operacional (EBIT)")</f>
        <v>Lucro Operacional (EBIT)</v>
      </c>
      <c r="C20" s="28"/>
      <c r="D20" s="114">
        <f t="shared" ref="D20:AI20" si="18">+D15+SUM(D16:D19)</f>
        <v>46.012999999999977</v>
      </c>
      <c r="E20" s="114">
        <f t="shared" si="18"/>
        <v>59.16099999999998</v>
      </c>
      <c r="F20" s="114">
        <f t="shared" si="18"/>
        <v>36.760000000000005</v>
      </c>
      <c r="G20" s="114">
        <f t="shared" si="18"/>
        <v>13.652000000000079</v>
      </c>
      <c r="H20" s="114">
        <f t="shared" si="18"/>
        <v>34.752299999999977</v>
      </c>
      <c r="I20" s="114">
        <f t="shared" si="18"/>
        <v>29.006699999999995</v>
      </c>
      <c r="J20" s="114">
        <f t="shared" si="18"/>
        <v>16.139999999999922</v>
      </c>
      <c r="K20" s="114">
        <f t="shared" si="18"/>
        <v>24.217000000000205</v>
      </c>
      <c r="L20" s="114">
        <f t="shared" si="18"/>
        <v>39.279000000000025</v>
      </c>
      <c r="M20" s="114">
        <f t="shared" si="18"/>
        <v>25.165999999999919</v>
      </c>
      <c r="N20" s="114">
        <f t="shared" si="18"/>
        <v>25.894000000000034</v>
      </c>
      <c r="O20" s="114">
        <f t="shared" si="18"/>
        <v>25.706000000000117</v>
      </c>
      <c r="P20" s="114">
        <f t="shared" si="18"/>
        <v>39.060999999999993</v>
      </c>
      <c r="Q20" s="114">
        <f t="shared" si="18"/>
        <v>45.396000000000029</v>
      </c>
      <c r="R20" s="114">
        <f t="shared" si="18"/>
        <v>40.097999999999985</v>
      </c>
      <c r="S20" s="114">
        <f t="shared" si="18"/>
        <v>41.404000000000195</v>
      </c>
      <c r="T20" s="114">
        <f t="shared" si="18"/>
        <v>61.906000000000049</v>
      </c>
      <c r="U20" s="114">
        <f t="shared" si="18"/>
        <v>61.444999999999936</v>
      </c>
      <c r="V20" s="114">
        <f t="shared" si="18"/>
        <v>74.472999999999956</v>
      </c>
      <c r="W20" s="114">
        <f t="shared" si="18"/>
        <v>58.899000000000044</v>
      </c>
      <c r="X20" s="114">
        <f t="shared" si="18"/>
        <v>89.818999999999903</v>
      </c>
      <c r="Y20" s="114">
        <f t="shared" si="18"/>
        <v>70.000000000000114</v>
      </c>
      <c r="Z20" s="114">
        <f t="shared" si="18"/>
        <v>65.903999999999996</v>
      </c>
      <c r="AA20" s="114">
        <f t="shared" si="18"/>
        <v>73.167999999999807</v>
      </c>
      <c r="AB20" s="114">
        <f t="shared" si="18"/>
        <v>85.643999999999977</v>
      </c>
      <c r="AC20" s="114">
        <f t="shared" si="18"/>
        <v>72.697999999999752</v>
      </c>
      <c r="AD20" s="114">
        <f t="shared" si="18"/>
        <v>70.229999999999819</v>
      </c>
      <c r="AE20" s="114">
        <f t="shared" si="18"/>
        <v>56.452000000000794</v>
      </c>
      <c r="AF20" s="114">
        <f t="shared" si="18"/>
        <v>82.240999999999985</v>
      </c>
      <c r="AG20" s="114">
        <f t="shared" si="18"/>
        <v>85.00599999999983</v>
      </c>
      <c r="AH20" s="114">
        <f t="shared" si="18"/>
        <v>87.071000000000311</v>
      </c>
      <c r="AI20" s="114">
        <f t="shared" si="18"/>
        <v>82.837999999999738</v>
      </c>
      <c r="AJ20" s="114">
        <f t="shared" ref="AJ20:BN20" si="19">+AJ15+SUM(AJ16:AJ19)</f>
        <v>103.36900000000006</v>
      </c>
      <c r="AK20" s="114">
        <f t="shared" si="19"/>
        <v>155.61199999999982</v>
      </c>
      <c r="AL20" s="114">
        <f t="shared" si="19"/>
        <v>124.45700000000005</v>
      </c>
      <c r="AM20" s="114">
        <f t="shared" si="19"/>
        <v>76.954000000000008</v>
      </c>
      <c r="AN20" s="114">
        <f t="shared" si="19"/>
        <v>106.05099999999999</v>
      </c>
      <c r="AO20" s="114">
        <f t="shared" si="19"/>
        <v>91.753999999999763</v>
      </c>
      <c r="AP20" s="114">
        <f t="shared" si="19"/>
        <v>105.66400000000002</v>
      </c>
      <c r="AQ20" s="114">
        <f t="shared" si="19"/>
        <v>96.131000000000483</v>
      </c>
      <c r="AR20" s="114">
        <f t="shared" si="19"/>
        <v>57.299999999999841</v>
      </c>
      <c r="AS20" s="114">
        <f t="shared" si="19"/>
        <v>108.99999999999989</v>
      </c>
      <c r="AT20" s="114">
        <f t="shared" si="19"/>
        <v>127.69999999999999</v>
      </c>
      <c r="AU20" s="114">
        <f t="shared" si="19"/>
        <v>87.900000000000233</v>
      </c>
      <c r="AV20" s="114">
        <f t="shared" si="19"/>
        <v>49.299999999999955</v>
      </c>
      <c r="AW20" s="114">
        <f t="shared" si="19"/>
        <v>54.975000000000108</v>
      </c>
      <c r="AX20" s="114">
        <f t="shared" si="19"/>
        <v>96.977999999999554</v>
      </c>
      <c r="AY20" s="114">
        <f t="shared" si="19"/>
        <v>97.046999999999883</v>
      </c>
      <c r="AZ20" s="114">
        <f t="shared" si="19"/>
        <v>155.63399999999984</v>
      </c>
      <c r="BA20" s="114">
        <f t="shared" si="19"/>
        <v>166.28100000000001</v>
      </c>
      <c r="BB20" s="114">
        <f t="shared" si="19"/>
        <v>195.85692098000015</v>
      </c>
      <c r="BC20" s="114">
        <f t="shared" si="19"/>
        <v>104.42099999999996</v>
      </c>
      <c r="BD20" s="114">
        <f t="shared" si="19"/>
        <v>142.76500000000021</v>
      </c>
      <c r="BE20" s="114">
        <f t="shared" si="19"/>
        <v>150.4839999999997</v>
      </c>
      <c r="BF20" s="114">
        <f t="shared" si="19"/>
        <v>158.82299999999987</v>
      </c>
      <c r="BG20" s="114">
        <f t="shared" si="19"/>
        <v>184.85200000000046</v>
      </c>
      <c r="BH20" s="114">
        <f t="shared" si="19"/>
        <v>190.00800000000055</v>
      </c>
      <c r="BI20" s="114">
        <f t="shared" si="19"/>
        <v>154.80999999999977</v>
      </c>
      <c r="BJ20" s="114">
        <f t="shared" si="19"/>
        <v>250.73299999999989</v>
      </c>
      <c r="BK20" s="114">
        <f t="shared" si="19"/>
        <v>90.243999999999687</v>
      </c>
      <c r="BL20" s="114">
        <f t="shared" si="19"/>
        <v>133.7029481359977</v>
      </c>
      <c r="BM20" s="114">
        <f t="shared" si="19"/>
        <v>147.1481763020202</v>
      </c>
      <c r="BN20" s="114">
        <f t="shared" si="19"/>
        <v>182.93000000000012</v>
      </c>
      <c r="BO20" s="114">
        <f t="shared" ref="BO20:BT20" si="20">+BO15+SUM(BO16:BO19)</f>
        <v>188.30354619838829</v>
      </c>
      <c r="BP20" s="114">
        <f t="shared" si="20"/>
        <v>189.65039948737672</v>
      </c>
      <c r="BQ20" s="114">
        <f t="shared" si="20"/>
        <v>221.43000000000006</v>
      </c>
      <c r="BR20" s="114">
        <f t="shared" si="20"/>
        <v>103.07799999999969</v>
      </c>
      <c r="BS20" s="114">
        <f t="shared" si="20"/>
        <v>126.83799999999979</v>
      </c>
      <c r="BT20" s="114">
        <f t="shared" si="20"/>
        <v>166.22500000000014</v>
      </c>
      <c r="BU20" s="114">
        <v>183.68200000000002</v>
      </c>
      <c r="BV20" s="197"/>
      <c r="BW20" s="114">
        <f t="shared" ref="BW20:CL20" si="21">+BW15+SUM(BW16:BW19)</f>
        <v>110.01300000000001</v>
      </c>
      <c r="BX20" s="114">
        <f t="shared" si="21"/>
        <v>155.58600000000001</v>
      </c>
      <c r="BY20" s="114">
        <f t="shared" si="21"/>
        <v>104.1159999999999</v>
      </c>
      <c r="BZ20" s="114">
        <f t="shared" si="21"/>
        <v>116.0450000000001</v>
      </c>
      <c r="CA20" s="114">
        <f t="shared" si="21"/>
        <v>165.95900000000012</v>
      </c>
      <c r="CB20" s="114">
        <f t="shared" si="21"/>
        <v>256.72299999999984</v>
      </c>
      <c r="CC20" s="114">
        <f t="shared" si="21"/>
        <v>298.89099999999985</v>
      </c>
      <c r="CD20" s="114">
        <f t="shared" si="21"/>
        <v>285.024</v>
      </c>
      <c r="CE20" s="114">
        <f t="shared" si="21"/>
        <v>337.15600000000029</v>
      </c>
      <c r="CF20" s="114">
        <f t="shared" si="21"/>
        <v>460.45299999999918</v>
      </c>
      <c r="CG20" s="114">
        <f t="shared" si="21"/>
        <v>399.60000000000093</v>
      </c>
      <c r="CH20" s="114">
        <f t="shared" si="21"/>
        <v>381.89999999999941</v>
      </c>
      <c r="CI20" s="114">
        <f t="shared" si="21"/>
        <v>298.29999999999961</v>
      </c>
      <c r="CJ20" s="114">
        <f t="shared" si="21"/>
        <v>622.1920000000016</v>
      </c>
      <c r="CK20" s="114">
        <f t="shared" si="21"/>
        <v>636.92299999999818</v>
      </c>
      <c r="CL20" s="114">
        <f t="shared" si="21"/>
        <v>685.78800000000115</v>
      </c>
      <c r="CM20" s="114">
        <f>+CM15+SUM(CM16:CM19)</f>
        <v>652.08720762258372</v>
      </c>
      <c r="CN20" s="114">
        <f>+CN15+SUM(CN16:CN19)</f>
        <v>640.99615013979974</v>
      </c>
    </row>
    <row r="21" spans="1:93" s="18" customFormat="1" x14ac:dyDescent="0.35">
      <c r="B21" s="29" t="str">
        <f>IF(Control!$D$5=1,"(+/-) Finacial Result","(+/-) Resultado Financeiro")</f>
        <v>(+/-) Resultado Financeiro</v>
      </c>
      <c r="C21" s="29"/>
      <c r="D21" s="86">
        <f t="shared" ref="D21:AR21" si="22">+SUM(D22:D23)</f>
        <v>-3.8090000000000002</v>
      </c>
      <c r="E21" s="86">
        <f t="shared" si="22"/>
        <v>-7.3850000000000007</v>
      </c>
      <c r="F21" s="86">
        <f t="shared" si="22"/>
        <v>-39.274000000000001</v>
      </c>
      <c r="G21" s="86">
        <f t="shared" si="22"/>
        <v>-6.5470000000000041</v>
      </c>
      <c r="H21" s="66">
        <f t="shared" si="22"/>
        <v>1.4420000000000002</v>
      </c>
      <c r="I21" s="86">
        <f t="shared" si="22"/>
        <v>-4.2489999999999988</v>
      </c>
      <c r="J21" s="86">
        <f t="shared" si="22"/>
        <v>-5.0010000000000012</v>
      </c>
      <c r="K21" s="86">
        <f t="shared" si="22"/>
        <v>-7.7019999999999946</v>
      </c>
      <c r="L21" s="71">
        <f t="shared" si="22"/>
        <v>-6.4510000000000005</v>
      </c>
      <c r="M21" s="87">
        <f t="shared" si="22"/>
        <v>-9.4850000000000012</v>
      </c>
      <c r="N21" s="87">
        <f t="shared" si="22"/>
        <v>-9.1869999999999976</v>
      </c>
      <c r="O21" s="86">
        <f t="shared" si="22"/>
        <v>-10.532000000000002</v>
      </c>
      <c r="P21" s="66">
        <f t="shared" si="22"/>
        <v>-8.5830000000000002</v>
      </c>
      <c r="Q21" s="86">
        <f t="shared" si="22"/>
        <v>-28.164999999999999</v>
      </c>
      <c r="R21" s="86">
        <f t="shared" si="22"/>
        <v>-17.654000000000011</v>
      </c>
      <c r="S21" s="86">
        <f t="shared" si="22"/>
        <v>-11.639999999999992</v>
      </c>
      <c r="T21" s="66">
        <f t="shared" si="22"/>
        <v>-19.709999999999994</v>
      </c>
      <c r="U21" s="86">
        <f t="shared" si="22"/>
        <v>-13.321000000000005</v>
      </c>
      <c r="V21" s="86">
        <f t="shared" si="22"/>
        <v>-15.535000000000004</v>
      </c>
      <c r="W21" s="86">
        <f t="shared" si="22"/>
        <v>-19.102999999999994</v>
      </c>
      <c r="X21" s="86">
        <f t="shared" si="22"/>
        <v>-21.224999999999998</v>
      </c>
      <c r="Y21" s="87">
        <f t="shared" si="22"/>
        <v>-33.999000000000002</v>
      </c>
      <c r="Z21" s="87">
        <f t="shared" si="22"/>
        <v>-32.29</v>
      </c>
      <c r="AA21" s="86">
        <f t="shared" si="22"/>
        <v>-32.078000000000017</v>
      </c>
      <c r="AB21" s="66">
        <f t="shared" si="22"/>
        <v>-29.664999999999999</v>
      </c>
      <c r="AC21" s="86">
        <f t="shared" si="22"/>
        <v>-33.003999999999998</v>
      </c>
      <c r="AD21" s="86">
        <f t="shared" si="22"/>
        <v>-34.630999999999993</v>
      </c>
      <c r="AE21" s="86">
        <f t="shared" si="22"/>
        <v>-30.969000000000001</v>
      </c>
      <c r="AF21" s="66">
        <f t="shared" si="22"/>
        <v>-27.275000000000002</v>
      </c>
      <c r="AG21" s="86">
        <f t="shared" si="22"/>
        <v>-42.408000000000001</v>
      </c>
      <c r="AH21" s="86">
        <f t="shared" si="22"/>
        <v>-44.309999999999974</v>
      </c>
      <c r="AI21" s="86">
        <f t="shared" si="22"/>
        <v>-41.952000000000012</v>
      </c>
      <c r="AJ21" s="66">
        <f t="shared" si="22"/>
        <v>-32.713000000000001</v>
      </c>
      <c r="AK21" s="86">
        <f t="shared" si="22"/>
        <v>-52.655999999999985</v>
      </c>
      <c r="AL21" s="86">
        <f t="shared" si="22"/>
        <v>-33.31600000000001</v>
      </c>
      <c r="AM21" s="86">
        <f t="shared" si="22"/>
        <v>-39.329000000000008</v>
      </c>
      <c r="AN21" s="66">
        <f t="shared" si="22"/>
        <v>-22.795999999999999</v>
      </c>
      <c r="AO21" s="86">
        <f t="shared" si="22"/>
        <v>-26.029000000000011</v>
      </c>
      <c r="AP21" s="86">
        <f t="shared" si="22"/>
        <v>-12.557000000000002</v>
      </c>
      <c r="AQ21" s="86">
        <f t="shared" si="22"/>
        <v>-13.018000000000001</v>
      </c>
      <c r="AR21" s="87">
        <f t="shared" si="22"/>
        <v>-12</v>
      </c>
      <c r="AS21" s="87">
        <f t="shared" ref="AS21:AX21" si="23">+SUM(AS22:AS23)</f>
        <v>-6.1000000000000014</v>
      </c>
      <c r="AT21" s="87">
        <f t="shared" si="23"/>
        <v>18.799999999999997</v>
      </c>
      <c r="AU21" s="87">
        <f t="shared" si="23"/>
        <v>-16.600000000000001</v>
      </c>
      <c r="AV21" s="87">
        <f t="shared" si="23"/>
        <v>-10.800000000000004</v>
      </c>
      <c r="AW21" s="87">
        <f t="shared" si="23"/>
        <v>-18.206000000000003</v>
      </c>
      <c r="AX21" s="87">
        <f t="shared" si="23"/>
        <v>-19.404999999999973</v>
      </c>
      <c r="AY21" s="87">
        <f t="shared" ref="AY21:BN21" si="24">+SUM(AY22:AY23)</f>
        <v>-13.670999999999999</v>
      </c>
      <c r="AZ21" s="87">
        <f t="shared" si="24"/>
        <v>-16.798000000000002</v>
      </c>
      <c r="BA21" s="87">
        <f t="shared" si="24"/>
        <v>-14.368000000000009</v>
      </c>
      <c r="BB21" s="87">
        <f t="shared" si="24"/>
        <v>-29.432000000000002</v>
      </c>
      <c r="BC21" s="87">
        <f t="shared" si="24"/>
        <v>-24.431000000000004</v>
      </c>
      <c r="BD21" s="87">
        <f t="shared" si="24"/>
        <v>-25.023000000000003</v>
      </c>
      <c r="BE21" s="87">
        <f t="shared" si="24"/>
        <v>-24.476999999999997</v>
      </c>
      <c r="BF21" s="87">
        <f t="shared" si="24"/>
        <v>-25.397999999999996</v>
      </c>
      <c r="BG21" s="87">
        <f t="shared" si="24"/>
        <v>-52.692000000000007</v>
      </c>
      <c r="BH21" s="87">
        <f t="shared" si="24"/>
        <v>-84.921000000000006</v>
      </c>
      <c r="BI21" s="87">
        <f t="shared" si="24"/>
        <v>-51.532999999999987</v>
      </c>
      <c r="BJ21" s="87">
        <f t="shared" si="24"/>
        <v>-73.833999999999989</v>
      </c>
      <c r="BK21" s="87">
        <f t="shared" si="24"/>
        <v>-80.274999999999991</v>
      </c>
      <c r="BL21" s="87">
        <f t="shared" si="24"/>
        <v>-105.18200000000002</v>
      </c>
      <c r="BM21" s="87">
        <f t="shared" si="24"/>
        <v>-107.91300000000001</v>
      </c>
      <c r="BN21" s="87">
        <f t="shared" si="24"/>
        <v>-110.01900000000001</v>
      </c>
      <c r="BO21" s="87">
        <f t="shared" ref="BO21:BT21" si="25">+SUM(BO22:BO23)</f>
        <v>-100.61694631559209</v>
      </c>
      <c r="BP21" s="87">
        <f t="shared" si="25"/>
        <v>-98.625397196439863</v>
      </c>
      <c r="BQ21" s="87">
        <f t="shared" si="25"/>
        <v>-89.453000000000003</v>
      </c>
      <c r="BR21" s="87">
        <f t="shared" si="25"/>
        <v>-115.23900000000002</v>
      </c>
      <c r="BS21" s="87">
        <f t="shared" si="25"/>
        <v>-161.04899999999998</v>
      </c>
      <c r="BT21" s="87">
        <f t="shared" si="25"/>
        <v>-118.36199999999999</v>
      </c>
      <c r="BU21" s="87">
        <v>-141.58199999999999</v>
      </c>
      <c r="BV21" s="197"/>
      <c r="BW21" s="86">
        <f>+SUM(BW22:BW23)</f>
        <v>-26.641999999999996</v>
      </c>
      <c r="BX21" s="86">
        <f>+SUM(BX22:BX23)</f>
        <v>-57.015000000000001</v>
      </c>
      <c r="BY21" s="87">
        <f>+SUM(BY22:BY23)</f>
        <v>-15.509999999999998</v>
      </c>
      <c r="BZ21" s="66">
        <f>+SUM(BZ22:BZ23)</f>
        <v>-35.655000000000001</v>
      </c>
      <c r="CA21" s="66">
        <f t="shared" ref="CA21:CG21" si="26">+SUM(CA22:CA23)</f>
        <v>-66.042000000000002</v>
      </c>
      <c r="CB21" s="66">
        <f t="shared" si="26"/>
        <v>-67.668999999999997</v>
      </c>
      <c r="CC21" s="66">
        <f t="shared" si="26"/>
        <v>-119.59200000000001</v>
      </c>
      <c r="CD21" s="66">
        <f t="shared" si="26"/>
        <v>-128.26900000000001</v>
      </c>
      <c r="CE21" s="66">
        <f t="shared" si="26"/>
        <v>-155.94499999999999</v>
      </c>
      <c r="CF21" s="66">
        <f t="shared" si="26"/>
        <v>-158.01400000000001</v>
      </c>
      <c r="CG21" s="66">
        <f t="shared" si="26"/>
        <v>-74.399999999999991</v>
      </c>
      <c r="CH21" s="66">
        <f t="shared" ref="CH21:CN21" si="27">+SUM(CH22:CH23)</f>
        <v>-15.900000000000006</v>
      </c>
      <c r="CI21" s="66">
        <f t="shared" si="27"/>
        <v>-62.081999999999979</v>
      </c>
      <c r="CJ21" s="66">
        <f t="shared" si="27"/>
        <v>-85.028999999999996</v>
      </c>
      <c r="CK21" s="66">
        <f t="shared" si="27"/>
        <v>-127.59</v>
      </c>
      <c r="CL21" s="66">
        <f t="shared" si="27"/>
        <v>-290.56299999999999</v>
      </c>
      <c r="CM21" s="66">
        <f t="shared" si="27"/>
        <v>-423.73094631559206</v>
      </c>
      <c r="CN21" s="66">
        <f t="shared" si="27"/>
        <v>-464.36639719643972</v>
      </c>
    </row>
    <row r="22" spans="1:93" s="18" customFormat="1" x14ac:dyDescent="0.35">
      <c r="B22" s="30" t="str">
        <f>IF(Control!$D$5=1,"(-) Debt Interest Expense","(-) Despesas Financeiras")</f>
        <v>(-) Despesas Financeiras</v>
      </c>
      <c r="C22" s="30"/>
      <c r="D22" s="66">
        <v>-7.0590000000000002</v>
      </c>
      <c r="E22" s="87">
        <v>-8.4700000000000006</v>
      </c>
      <c r="F22" s="87">
        <v>-46.061</v>
      </c>
      <c r="G22" s="86">
        <v>-18.024000000000004</v>
      </c>
      <c r="H22" s="66">
        <v>-10.111000000000001</v>
      </c>
      <c r="I22" s="86">
        <v>-10.722999999999999</v>
      </c>
      <c r="J22" s="86">
        <v>-10.279</v>
      </c>
      <c r="K22" s="86">
        <v>-13.670999999999996</v>
      </c>
      <c r="L22" s="71">
        <v>-14.255000000000001</v>
      </c>
      <c r="M22" s="87">
        <v>-17.411000000000001</v>
      </c>
      <c r="N22" s="87">
        <v>-16.259999999999998</v>
      </c>
      <c r="O22" s="86">
        <v>-18.89</v>
      </c>
      <c r="P22" s="66">
        <v>-18.163</v>
      </c>
      <c r="Q22" s="86">
        <v>-37.790999999999997</v>
      </c>
      <c r="R22" s="86">
        <v>-27.032000000000007</v>
      </c>
      <c r="S22" s="86">
        <v>-25.701999999999995</v>
      </c>
      <c r="T22" s="66">
        <v>-65.224999999999994</v>
      </c>
      <c r="U22" s="86">
        <v>-28.412000000000006</v>
      </c>
      <c r="V22" s="86">
        <v>-22.165000000000006</v>
      </c>
      <c r="W22" s="86">
        <v>-8.8399999999999892</v>
      </c>
      <c r="X22" s="86">
        <v>-43.485999999999997</v>
      </c>
      <c r="Y22" s="87">
        <v>-52.999000000000002</v>
      </c>
      <c r="Z22" s="87">
        <v>-44.41</v>
      </c>
      <c r="AA22" s="86">
        <v>-44.559000000000019</v>
      </c>
      <c r="AB22" s="66">
        <v>-43.765000000000001</v>
      </c>
      <c r="AC22" s="86">
        <v>-51.897999999999996</v>
      </c>
      <c r="AD22" s="86">
        <v>-59.352999999999994</v>
      </c>
      <c r="AE22" s="86">
        <v>-49.051000000000002</v>
      </c>
      <c r="AF22" s="66">
        <v>-54.411000000000001</v>
      </c>
      <c r="AG22" s="86">
        <v>-58.218000000000004</v>
      </c>
      <c r="AH22" s="86">
        <v>-57.445999999999984</v>
      </c>
      <c r="AI22" s="86">
        <v>-57.83</v>
      </c>
      <c r="AJ22" s="66">
        <v>-49.484000000000002</v>
      </c>
      <c r="AK22" s="86">
        <v>-67.466999999999985</v>
      </c>
      <c r="AL22" s="86">
        <v>-44.965000000000011</v>
      </c>
      <c r="AM22" s="86">
        <v>-62.970000000000006</v>
      </c>
      <c r="AN22" s="66">
        <v>-54.692</v>
      </c>
      <c r="AO22" s="86">
        <v>-52.357000000000006</v>
      </c>
      <c r="AP22" s="86">
        <v>-40.432000000000002</v>
      </c>
      <c r="AQ22" s="86">
        <v>-33.619</v>
      </c>
      <c r="AR22" s="87">
        <v>-42.6</v>
      </c>
      <c r="AS22" s="87">
        <v>-64.5</v>
      </c>
      <c r="AT22" s="87">
        <v>-63.5</v>
      </c>
      <c r="AU22" s="87">
        <v>-47.2</v>
      </c>
      <c r="AV22" s="87">
        <v>-50.6</v>
      </c>
      <c r="AW22" s="87">
        <v>-49.182000000000002</v>
      </c>
      <c r="AX22" s="87">
        <v>-43.34699999999998</v>
      </c>
      <c r="AY22" s="87">
        <v>-46.201000000000001</v>
      </c>
      <c r="AZ22" s="87">
        <v>-88.957999999999998</v>
      </c>
      <c r="BA22" s="87">
        <v>-79.272000000000006</v>
      </c>
      <c r="BB22" s="87">
        <v>-110.742</v>
      </c>
      <c r="BC22" s="87">
        <v>-84.263000000000005</v>
      </c>
      <c r="BD22" s="87">
        <v>-64.376000000000005</v>
      </c>
      <c r="BE22" s="87">
        <v>-76.72</v>
      </c>
      <c r="BF22" s="87">
        <v>-88.094999999999999</v>
      </c>
      <c r="BG22" s="87">
        <v>-116.718</v>
      </c>
      <c r="BH22" s="87">
        <v>-153.50800000000001</v>
      </c>
      <c r="BI22" s="87">
        <v>-138.02799999999999</v>
      </c>
      <c r="BJ22" s="87">
        <v>-160.26599999999999</v>
      </c>
      <c r="BK22" s="87">
        <v>-140.74199999999999</v>
      </c>
      <c r="BL22" s="87">
        <v>-164.43600000000001</v>
      </c>
      <c r="BM22" s="87">
        <v>-190.55500000000001</v>
      </c>
      <c r="BN22" s="87">
        <v>-200.583</v>
      </c>
      <c r="BO22" s="87">
        <v>-200.995</v>
      </c>
      <c r="BP22" s="87">
        <v>-190.2087912646129</v>
      </c>
      <c r="BQ22" s="87">
        <v>-231.75399999999999</v>
      </c>
      <c r="BR22" s="87">
        <v>-240.86600000000001</v>
      </c>
      <c r="BS22" s="87">
        <v>-233.19499999999999</v>
      </c>
      <c r="BT22" s="87">
        <v>-180.05099999999999</v>
      </c>
      <c r="BU22" s="87">
        <v>-222.50299999999999</v>
      </c>
      <c r="BV22" s="197"/>
      <c r="BW22" s="86">
        <v>-45.174999999999997</v>
      </c>
      <c r="BX22" s="86">
        <v>-79.614000000000004</v>
      </c>
      <c r="BY22" s="87">
        <v>-44.783999999999999</v>
      </c>
      <c r="BZ22" s="66">
        <v>-66.816000000000003</v>
      </c>
      <c r="CA22" s="66">
        <v>-108.688</v>
      </c>
      <c r="CB22" s="66">
        <v>-124.642</v>
      </c>
      <c r="CC22" s="66">
        <v>-185.45400000000001</v>
      </c>
      <c r="CD22" s="66">
        <v>-204.06700000000001</v>
      </c>
      <c r="CE22" s="66">
        <v>-227.905</v>
      </c>
      <c r="CF22" s="66">
        <v>-224.886</v>
      </c>
      <c r="CG22" s="66">
        <v>-181.1</v>
      </c>
      <c r="CH22" s="71">
        <v>-217.8</v>
      </c>
      <c r="CI22" s="71">
        <v>-189.32999999999998</v>
      </c>
      <c r="CJ22" s="71">
        <v>-363.23500000000001</v>
      </c>
      <c r="CK22" s="71">
        <v>-345.90899999999999</v>
      </c>
      <c r="CL22" s="71">
        <v>-592.54399999999998</v>
      </c>
      <c r="CM22" s="71">
        <v>-756.56899999999996</v>
      </c>
      <c r="CN22" s="71">
        <v>-896.02379126461278</v>
      </c>
      <c r="CO22" s="19"/>
    </row>
    <row r="23" spans="1:93" s="18" customFormat="1" x14ac:dyDescent="0.35">
      <c r="B23" s="30" t="str">
        <f>IF(Control!$D$5=1,"(+) Interest Income","(+) Receitas Financeiras")</f>
        <v>(+) Receitas Financeiras</v>
      </c>
      <c r="C23" s="30"/>
      <c r="D23" s="66">
        <v>3.25</v>
      </c>
      <c r="E23" s="87">
        <v>1.085</v>
      </c>
      <c r="F23" s="87">
        <v>6.7869999999999999</v>
      </c>
      <c r="G23" s="86">
        <v>11.477</v>
      </c>
      <c r="H23" s="66">
        <v>11.553000000000001</v>
      </c>
      <c r="I23" s="86">
        <v>6.4740000000000002</v>
      </c>
      <c r="J23" s="86">
        <v>5.2779999999999987</v>
      </c>
      <c r="K23" s="86">
        <v>5.9690000000000012</v>
      </c>
      <c r="L23" s="71">
        <v>7.8040000000000003</v>
      </c>
      <c r="M23" s="87">
        <v>7.9260000000000002</v>
      </c>
      <c r="N23" s="87">
        <v>7.0730000000000004</v>
      </c>
      <c r="O23" s="86">
        <v>8.3579999999999988</v>
      </c>
      <c r="P23" s="66">
        <v>9.58</v>
      </c>
      <c r="Q23" s="86">
        <v>9.6259999999999994</v>
      </c>
      <c r="R23" s="86">
        <v>9.3779999999999983</v>
      </c>
      <c r="S23" s="86">
        <v>14.062000000000003</v>
      </c>
      <c r="T23" s="66">
        <v>45.515000000000001</v>
      </c>
      <c r="U23" s="86">
        <v>15.091000000000001</v>
      </c>
      <c r="V23" s="86">
        <v>6.6300000000000026</v>
      </c>
      <c r="W23" s="86">
        <v>-10.263000000000005</v>
      </c>
      <c r="X23" s="86">
        <v>22.260999999999999</v>
      </c>
      <c r="Y23" s="87">
        <v>19</v>
      </c>
      <c r="Z23" s="87">
        <v>12.12</v>
      </c>
      <c r="AA23" s="86">
        <v>12.480999999999998</v>
      </c>
      <c r="AB23" s="66">
        <v>14.1</v>
      </c>
      <c r="AC23" s="86">
        <v>18.893999999999998</v>
      </c>
      <c r="AD23" s="86">
        <v>24.722000000000001</v>
      </c>
      <c r="AE23" s="86">
        <v>18.082000000000001</v>
      </c>
      <c r="AF23" s="66">
        <v>27.135999999999999</v>
      </c>
      <c r="AG23" s="86">
        <v>15.809999999999999</v>
      </c>
      <c r="AH23" s="86">
        <v>13.136000000000006</v>
      </c>
      <c r="AI23" s="86">
        <v>15.877999999999982</v>
      </c>
      <c r="AJ23" s="66">
        <v>16.771000000000001</v>
      </c>
      <c r="AK23" s="86">
        <v>14.811</v>
      </c>
      <c r="AL23" s="86">
        <v>11.649000000000001</v>
      </c>
      <c r="AM23" s="86">
        <v>23.640999999999998</v>
      </c>
      <c r="AN23" s="66">
        <v>31.896000000000001</v>
      </c>
      <c r="AO23" s="86">
        <v>26.327999999999996</v>
      </c>
      <c r="AP23" s="86">
        <v>27.875</v>
      </c>
      <c r="AQ23" s="86">
        <v>20.600999999999999</v>
      </c>
      <c r="AR23" s="87">
        <v>30.6</v>
      </c>
      <c r="AS23" s="87">
        <v>58.4</v>
      </c>
      <c r="AT23" s="87">
        <v>82.3</v>
      </c>
      <c r="AU23" s="87">
        <v>30.6</v>
      </c>
      <c r="AV23" s="87">
        <v>39.799999999999997</v>
      </c>
      <c r="AW23" s="87">
        <v>30.975999999999999</v>
      </c>
      <c r="AX23" s="87">
        <v>23.942000000000007</v>
      </c>
      <c r="AY23" s="87">
        <v>32.53</v>
      </c>
      <c r="AZ23" s="87">
        <v>72.16</v>
      </c>
      <c r="BA23" s="87">
        <v>64.903999999999996</v>
      </c>
      <c r="BB23" s="87">
        <v>81.31</v>
      </c>
      <c r="BC23" s="87">
        <v>59.832000000000001</v>
      </c>
      <c r="BD23" s="87">
        <v>39.353000000000002</v>
      </c>
      <c r="BE23" s="87">
        <v>52.243000000000002</v>
      </c>
      <c r="BF23" s="87">
        <v>62.697000000000003</v>
      </c>
      <c r="BG23" s="87">
        <v>64.025999999999996</v>
      </c>
      <c r="BH23" s="87">
        <v>68.587000000000003</v>
      </c>
      <c r="BI23" s="87">
        <v>86.495000000000005</v>
      </c>
      <c r="BJ23" s="87">
        <v>86.432000000000002</v>
      </c>
      <c r="BK23" s="87">
        <v>60.466999999999999</v>
      </c>
      <c r="BL23" s="87">
        <v>59.253999999999998</v>
      </c>
      <c r="BM23" s="87">
        <v>82.641999999999996</v>
      </c>
      <c r="BN23" s="87">
        <v>90.563999999999993</v>
      </c>
      <c r="BO23" s="87">
        <v>100.37805368440792</v>
      </c>
      <c r="BP23" s="87">
        <v>91.583394068173035</v>
      </c>
      <c r="BQ23" s="87">
        <v>142.30099999999999</v>
      </c>
      <c r="BR23" s="87">
        <v>125.627</v>
      </c>
      <c r="BS23" s="87">
        <v>72.146000000000001</v>
      </c>
      <c r="BT23" s="87">
        <v>61.689</v>
      </c>
      <c r="BU23" s="87">
        <v>80.921999999999997</v>
      </c>
      <c r="BV23" s="197"/>
      <c r="BW23" s="86">
        <v>18.533000000000001</v>
      </c>
      <c r="BX23" s="86">
        <v>22.599</v>
      </c>
      <c r="BY23" s="87">
        <v>29.274000000000001</v>
      </c>
      <c r="BZ23" s="66">
        <v>31.161000000000001</v>
      </c>
      <c r="CA23" s="66">
        <v>42.646000000000001</v>
      </c>
      <c r="CB23" s="66">
        <v>56.972999999999999</v>
      </c>
      <c r="CC23" s="66">
        <v>65.861999999999995</v>
      </c>
      <c r="CD23" s="66">
        <v>75.798000000000002</v>
      </c>
      <c r="CE23" s="66">
        <v>71.959999999999994</v>
      </c>
      <c r="CF23" s="66">
        <v>66.872</v>
      </c>
      <c r="CG23" s="66">
        <v>106.7</v>
      </c>
      <c r="CH23" s="71">
        <v>201.9</v>
      </c>
      <c r="CI23" s="71">
        <v>127.248</v>
      </c>
      <c r="CJ23" s="71">
        <v>278.20600000000002</v>
      </c>
      <c r="CK23" s="71">
        <v>218.31899999999999</v>
      </c>
      <c r="CL23" s="71">
        <v>301.98099999999999</v>
      </c>
      <c r="CM23" s="71">
        <v>332.8380536844079</v>
      </c>
      <c r="CN23" s="71">
        <v>431.65739406817306</v>
      </c>
      <c r="CO23" s="19"/>
    </row>
    <row r="24" spans="1:93" s="18" customFormat="1" hidden="1" outlineLevel="1" x14ac:dyDescent="0.35">
      <c r="B24" s="29" t="str">
        <f>IF(Control!$D$5=1,"(-) Other Non-Operating Expenses/(Income)","(-) Outras Desp./(Receitas) Não Operacionais")</f>
        <v>(-) Outras Desp./(Receitas) Não Operacionais</v>
      </c>
      <c r="C24" s="29"/>
      <c r="D24" s="66">
        <v>-1.2569999999999999</v>
      </c>
      <c r="E24" s="87">
        <v>-1.252</v>
      </c>
      <c r="F24" s="87">
        <v>-1.2569999999999999</v>
      </c>
      <c r="G24" s="86">
        <v>-0.42400000000000082</v>
      </c>
      <c r="H24" s="66">
        <v>-3.6999999999999998E-2</v>
      </c>
      <c r="I24" s="86">
        <v>3.6999999999999998E-2</v>
      </c>
      <c r="J24" s="86">
        <v>0</v>
      </c>
      <c r="K24" s="86">
        <v>0</v>
      </c>
      <c r="L24" s="71">
        <v>0</v>
      </c>
      <c r="M24" s="87">
        <v>0</v>
      </c>
      <c r="N24" s="87">
        <v>0</v>
      </c>
      <c r="O24" s="86">
        <v>0</v>
      </c>
      <c r="P24" s="66">
        <v>0</v>
      </c>
      <c r="Q24" s="86">
        <v>0</v>
      </c>
      <c r="R24" s="86">
        <v>0</v>
      </c>
      <c r="S24" s="86">
        <v>0</v>
      </c>
      <c r="T24" s="66">
        <v>0</v>
      </c>
      <c r="U24" s="86">
        <v>0</v>
      </c>
      <c r="V24" s="86">
        <v>0</v>
      </c>
      <c r="W24" s="86">
        <v>0</v>
      </c>
      <c r="X24" s="66">
        <v>0</v>
      </c>
      <c r="Y24" s="87">
        <v>0</v>
      </c>
      <c r="Z24" s="87">
        <v>0</v>
      </c>
      <c r="AA24" s="86">
        <v>0</v>
      </c>
      <c r="AB24" s="66">
        <v>0</v>
      </c>
      <c r="AC24" s="86">
        <v>0</v>
      </c>
      <c r="AD24" s="86">
        <v>0</v>
      </c>
      <c r="AE24" s="86">
        <v>0</v>
      </c>
      <c r="AF24" s="66">
        <v>0</v>
      </c>
      <c r="AG24" s="86">
        <v>0</v>
      </c>
      <c r="AH24" s="86">
        <v>0</v>
      </c>
      <c r="AI24" s="86">
        <v>0</v>
      </c>
      <c r="AJ24" s="66">
        <v>0</v>
      </c>
      <c r="AK24" s="86">
        <v>0</v>
      </c>
      <c r="AL24" s="86">
        <v>0</v>
      </c>
      <c r="AM24" s="86">
        <v>0</v>
      </c>
      <c r="AN24" s="66">
        <v>0</v>
      </c>
      <c r="AO24" s="86">
        <v>0</v>
      </c>
      <c r="AP24" s="86">
        <v>0</v>
      </c>
      <c r="AQ24" s="86">
        <v>0</v>
      </c>
      <c r="AR24" s="87">
        <v>0</v>
      </c>
      <c r="AS24" s="87">
        <v>0</v>
      </c>
      <c r="AT24" s="87"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v>0</v>
      </c>
      <c r="BA24" s="87">
        <v>0</v>
      </c>
      <c r="BB24" s="87">
        <v>0</v>
      </c>
      <c r="BC24" s="87">
        <v>0</v>
      </c>
      <c r="BD24" s="87">
        <v>0</v>
      </c>
      <c r="BE24" s="87">
        <v>0</v>
      </c>
      <c r="BF24" s="87">
        <v>0</v>
      </c>
      <c r="BG24" s="87">
        <v>0</v>
      </c>
      <c r="BH24" s="87">
        <v>0</v>
      </c>
      <c r="BI24" s="87">
        <v>0</v>
      </c>
      <c r="BJ24" s="87">
        <v>0</v>
      </c>
      <c r="BK24" s="87">
        <v>0</v>
      </c>
      <c r="BL24" s="87">
        <v>0</v>
      </c>
      <c r="BM24" s="87">
        <v>0</v>
      </c>
      <c r="BN24" s="87">
        <v>0</v>
      </c>
      <c r="BO24" s="87">
        <v>0</v>
      </c>
      <c r="BP24" s="87"/>
      <c r="BQ24" s="87"/>
      <c r="BR24" s="87"/>
      <c r="BS24" s="87"/>
      <c r="BT24" s="87"/>
      <c r="BU24" s="87"/>
      <c r="BV24" s="197"/>
      <c r="BW24" s="86">
        <v>-3.2320000000000002</v>
      </c>
      <c r="BX24" s="86">
        <v>-4.1900000000000004</v>
      </c>
      <c r="BY24" s="87">
        <v>0</v>
      </c>
      <c r="BZ24" s="66">
        <v>0</v>
      </c>
      <c r="CA24" s="66">
        <v>0</v>
      </c>
      <c r="CB24" s="66">
        <v>0</v>
      </c>
      <c r="CC24" s="66">
        <v>0</v>
      </c>
      <c r="CD24" s="66">
        <v>0</v>
      </c>
      <c r="CE24" s="66">
        <v>0</v>
      </c>
      <c r="CF24" s="66">
        <v>0</v>
      </c>
      <c r="CG24" s="66">
        <v>0</v>
      </c>
      <c r="CH24" s="66">
        <v>0</v>
      </c>
      <c r="CI24" s="66">
        <v>0</v>
      </c>
      <c r="CJ24" s="66">
        <v>0</v>
      </c>
      <c r="CK24" s="66">
        <v>0</v>
      </c>
      <c r="CL24" s="66">
        <v>0</v>
      </c>
      <c r="CM24" s="66">
        <v>0</v>
      </c>
      <c r="CN24" s="66"/>
    </row>
    <row r="25" spans="1:93" s="6" customFormat="1" collapsed="1" x14ac:dyDescent="0.35">
      <c r="B25" s="28" t="str">
        <f>IF(Control!$D$5=1,"Pre-Tax Income","Resultado antes Impostos")</f>
        <v>Resultado antes Impostos</v>
      </c>
      <c r="C25" s="28"/>
      <c r="D25" s="114">
        <f t="shared" ref="D25:O25" si="28">+D20+D21+D24</f>
        <v>40.946999999999981</v>
      </c>
      <c r="E25" s="114">
        <f t="shared" si="28"/>
        <v>50.52399999999998</v>
      </c>
      <c r="F25" s="114">
        <f t="shared" si="28"/>
        <v>-3.7709999999999955</v>
      </c>
      <c r="G25" s="114">
        <f t="shared" si="28"/>
        <v>6.6810000000000738</v>
      </c>
      <c r="H25" s="64">
        <f t="shared" si="28"/>
        <v>36.157299999999978</v>
      </c>
      <c r="I25" s="85">
        <f t="shared" si="28"/>
        <v>24.794699999999995</v>
      </c>
      <c r="J25" s="85">
        <f t="shared" si="28"/>
        <v>11.138999999999921</v>
      </c>
      <c r="K25" s="85">
        <f t="shared" si="28"/>
        <v>16.51500000000021</v>
      </c>
      <c r="L25" s="70">
        <f t="shared" si="28"/>
        <v>32.828000000000024</v>
      </c>
      <c r="M25" s="114">
        <f t="shared" si="28"/>
        <v>15.680999999999917</v>
      </c>
      <c r="N25" s="114">
        <f t="shared" si="28"/>
        <v>16.707000000000036</v>
      </c>
      <c r="O25" s="85">
        <f t="shared" si="28"/>
        <v>15.174000000000115</v>
      </c>
      <c r="P25" s="64">
        <f t="shared" ref="P25:X25" si="29">+P20+P21+P24</f>
        <v>30.477999999999994</v>
      </c>
      <c r="Q25" s="85">
        <f t="shared" si="29"/>
        <v>17.23100000000003</v>
      </c>
      <c r="R25" s="85">
        <f t="shared" si="29"/>
        <v>22.443999999999974</v>
      </c>
      <c r="S25" s="85">
        <f t="shared" si="29"/>
        <v>29.764000000000202</v>
      </c>
      <c r="T25" s="64">
        <f t="shared" si="29"/>
        <v>42.196000000000055</v>
      </c>
      <c r="U25" s="85">
        <f t="shared" si="29"/>
        <v>48.123999999999931</v>
      </c>
      <c r="V25" s="85">
        <f t="shared" si="29"/>
        <v>58.937999999999953</v>
      </c>
      <c r="W25" s="85">
        <f t="shared" si="29"/>
        <v>39.796000000000049</v>
      </c>
      <c r="X25" s="85">
        <f t="shared" si="29"/>
        <v>68.593999999999909</v>
      </c>
      <c r="Y25" s="114">
        <f t="shared" ref="Y25:AN25" si="30">+Y20+Y21+Y24</f>
        <v>36.001000000000111</v>
      </c>
      <c r="Z25" s="114">
        <f t="shared" si="30"/>
        <v>33.613999999999997</v>
      </c>
      <c r="AA25" s="85">
        <f t="shared" si="30"/>
        <v>41.08999999999979</v>
      </c>
      <c r="AB25" s="64">
        <f t="shared" si="30"/>
        <v>55.978999999999978</v>
      </c>
      <c r="AC25" s="85">
        <f t="shared" si="30"/>
        <v>39.693999999999754</v>
      </c>
      <c r="AD25" s="85">
        <f t="shared" si="30"/>
        <v>35.598999999999826</v>
      </c>
      <c r="AE25" s="85">
        <f t="shared" si="30"/>
        <v>25.483000000000793</v>
      </c>
      <c r="AF25" s="64">
        <f t="shared" si="30"/>
        <v>54.96599999999998</v>
      </c>
      <c r="AG25" s="85">
        <f t="shared" si="30"/>
        <v>42.597999999999828</v>
      </c>
      <c r="AH25" s="85">
        <f t="shared" si="30"/>
        <v>42.761000000000337</v>
      </c>
      <c r="AI25" s="85">
        <f t="shared" si="30"/>
        <v>40.885999999999726</v>
      </c>
      <c r="AJ25" s="64">
        <f t="shared" si="30"/>
        <v>70.656000000000063</v>
      </c>
      <c r="AK25" s="85">
        <f t="shared" si="30"/>
        <v>102.95599999999985</v>
      </c>
      <c r="AL25" s="85">
        <f t="shared" si="30"/>
        <v>91.141000000000048</v>
      </c>
      <c r="AM25" s="85">
        <f t="shared" si="30"/>
        <v>37.625</v>
      </c>
      <c r="AN25" s="64">
        <f t="shared" si="30"/>
        <v>83.254999999999995</v>
      </c>
      <c r="AO25" s="85">
        <f>+AO20+AO21+AO24</f>
        <v>65.724999999999753</v>
      </c>
      <c r="AP25" s="85">
        <f>+AP20+AP21+AP24</f>
        <v>93.107000000000014</v>
      </c>
      <c r="AQ25" s="85">
        <f>+AQ20+AQ21+AQ24</f>
        <v>83.113000000000483</v>
      </c>
      <c r="AR25" s="114">
        <f t="shared" ref="AR25:AW25" si="31">+AR20+AR21+AR24</f>
        <v>45.299999999999841</v>
      </c>
      <c r="AS25" s="114">
        <f t="shared" si="31"/>
        <v>102.89999999999989</v>
      </c>
      <c r="AT25" s="114">
        <f t="shared" si="31"/>
        <v>146.5</v>
      </c>
      <c r="AU25" s="114">
        <f t="shared" si="31"/>
        <v>71.300000000000239</v>
      </c>
      <c r="AV25" s="114">
        <f t="shared" si="31"/>
        <v>38.49999999999995</v>
      </c>
      <c r="AW25" s="114">
        <f t="shared" si="31"/>
        <v>36.769000000000105</v>
      </c>
      <c r="AX25" s="114">
        <f t="shared" ref="AX25:BK25" si="32">+AX20+AX21+AX24</f>
        <v>77.572999999999581</v>
      </c>
      <c r="AY25" s="114">
        <f t="shared" si="32"/>
        <v>83.375999999999891</v>
      </c>
      <c r="AZ25" s="114">
        <f t="shared" si="32"/>
        <v>138.83599999999984</v>
      </c>
      <c r="BA25" s="114">
        <f t="shared" si="32"/>
        <v>151.91300000000001</v>
      </c>
      <c r="BB25" s="114">
        <f t="shared" si="32"/>
        <v>166.42492098000014</v>
      </c>
      <c r="BC25" s="114">
        <f t="shared" si="32"/>
        <v>79.989999999999952</v>
      </c>
      <c r="BD25" s="114">
        <f t="shared" si="32"/>
        <v>117.74200000000022</v>
      </c>
      <c r="BE25" s="114">
        <f t="shared" si="32"/>
        <v>126.00699999999969</v>
      </c>
      <c r="BF25" s="114">
        <f t="shared" si="32"/>
        <v>133.42499999999987</v>
      </c>
      <c r="BG25" s="114">
        <f t="shared" si="32"/>
        <v>132.16000000000045</v>
      </c>
      <c r="BH25" s="114">
        <f t="shared" si="32"/>
        <v>105.08700000000054</v>
      </c>
      <c r="BI25" s="114">
        <f t="shared" si="32"/>
        <v>103.27699999999979</v>
      </c>
      <c r="BJ25" s="114">
        <f t="shared" si="32"/>
        <v>176.89899999999989</v>
      </c>
      <c r="BK25" s="114">
        <f t="shared" si="32"/>
        <v>9.9689999999996957</v>
      </c>
      <c r="BL25" s="114">
        <f t="shared" ref="BL25:BT25" si="33">+BL20+BL21+BL24</f>
        <v>28.520948135997685</v>
      </c>
      <c r="BM25" s="114">
        <f t="shared" si="33"/>
        <v>39.235176302020193</v>
      </c>
      <c r="BN25" s="114">
        <f t="shared" si="33"/>
        <v>72.911000000000115</v>
      </c>
      <c r="BO25" s="114">
        <f t="shared" si="33"/>
        <v>87.686599882796202</v>
      </c>
      <c r="BP25" s="114">
        <f t="shared" si="33"/>
        <v>91.025002290936854</v>
      </c>
      <c r="BQ25" s="114">
        <f t="shared" si="33"/>
        <v>131.97700000000006</v>
      </c>
      <c r="BR25" s="114">
        <f t="shared" si="33"/>
        <v>-12.161000000000328</v>
      </c>
      <c r="BS25" s="114">
        <f t="shared" si="33"/>
        <v>-34.211000000000183</v>
      </c>
      <c r="BT25" s="114">
        <f t="shared" si="33"/>
        <v>47.863000000000142</v>
      </c>
      <c r="BU25" s="114">
        <v>42.101000000000028</v>
      </c>
      <c r="BV25" s="197"/>
      <c r="BW25" s="85">
        <f t="shared" ref="BW25:CG25" si="34">+BW20+BW21+BW24</f>
        <v>80.13900000000001</v>
      </c>
      <c r="BX25" s="85">
        <f t="shared" si="34"/>
        <v>94.381000000000014</v>
      </c>
      <c r="BY25" s="114">
        <f t="shared" si="34"/>
        <v>88.605999999999909</v>
      </c>
      <c r="BZ25" s="64">
        <f t="shared" si="34"/>
        <v>80.3900000000001</v>
      </c>
      <c r="CA25" s="64">
        <f t="shared" si="34"/>
        <v>99.917000000000115</v>
      </c>
      <c r="CB25" s="64">
        <f t="shared" si="34"/>
        <v>189.05399999999986</v>
      </c>
      <c r="CC25" s="64">
        <f t="shared" si="34"/>
        <v>179.29899999999984</v>
      </c>
      <c r="CD25" s="64">
        <f t="shared" si="34"/>
        <v>156.755</v>
      </c>
      <c r="CE25" s="64">
        <f t="shared" si="34"/>
        <v>181.2110000000003</v>
      </c>
      <c r="CF25" s="64">
        <f t="shared" si="34"/>
        <v>302.43899999999917</v>
      </c>
      <c r="CG25" s="64">
        <f t="shared" si="34"/>
        <v>325.20000000000095</v>
      </c>
      <c r="CH25" s="64">
        <f t="shared" ref="CH25:CN25" si="35">+CH20+CH21+CH24</f>
        <v>365.99999999999943</v>
      </c>
      <c r="CI25" s="64">
        <f t="shared" si="35"/>
        <v>236.21799999999962</v>
      </c>
      <c r="CJ25" s="64">
        <f t="shared" si="35"/>
        <v>537.1630000000016</v>
      </c>
      <c r="CK25" s="64">
        <f t="shared" si="35"/>
        <v>509.33299999999815</v>
      </c>
      <c r="CL25" s="64">
        <f t="shared" si="35"/>
        <v>395.22500000000116</v>
      </c>
      <c r="CM25" s="64">
        <f t="shared" si="35"/>
        <v>228.35626130699166</v>
      </c>
      <c r="CN25" s="64">
        <f t="shared" si="35"/>
        <v>176.62975294336002</v>
      </c>
    </row>
    <row r="26" spans="1:93" s="6" customFormat="1" x14ac:dyDescent="0.35">
      <c r="B26" s="10" t="str">
        <f>IF(Control!$D$5=1,"(-) Total Income Taxes","Total Imposto de Renda / CSLL")</f>
        <v>Total Imposto de Renda / CSLL</v>
      </c>
      <c r="C26" s="10"/>
      <c r="D26" s="66">
        <f t="shared" ref="D26:AB26" si="36">SUM(D27:D28)</f>
        <v>-10.081999999999999</v>
      </c>
      <c r="E26" s="66">
        <f t="shared" si="36"/>
        <v>-11.679</v>
      </c>
      <c r="F26" s="66">
        <f t="shared" si="36"/>
        <v>-3.7459999999999996</v>
      </c>
      <c r="G26" s="66">
        <f t="shared" si="36"/>
        <v>-10.807000000000002</v>
      </c>
      <c r="H26" s="66">
        <f t="shared" si="36"/>
        <v>-8.5440000000000005</v>
      </c>
      <c r="I26" s="66">
        <f t="shared" si="36"/>
        <v>1.4280000000000002</v>
      </c>
      <c r="J26" s="66">
        <f t="shared" si="36"/>
        <v>-2.8369999999999989</v>
      </c>
      <c r="K26" s="66">
        <f t="shared" si="36"/>
        <v>-7.2440000000000015</v>
      </c>
      <c r="L26" s="71">
        <f t="shared" si="36"/>
        <v>-8.5440000000000005</v>
      </c>
      <c r="M26" s="71">
        <f t="shared" si="36"/>
        <v>-4.7760000000000007</v>
      </c>
      <c r="N26" s="71">
        <f t="shared" si="36"/>
        <v>-2.9039999999999981</v>
      </c>
      <c r="O26" s="66">
        <f t="shared" si="36"/>
        <v>-7.7369999999999992</v>
      </c>
      <c r="P26" s="66">
        <f t="shared" si="36"/>
        <v>-3.802</v>
      </c>
      <c r="Q26" s="66">
        <f t="shared" si="36"/>
        <v>-8.0410000000000004</v>
      </c>
      <c r="R26" s="66">
        <f t="shared" si="36"/>
        <v>-4.1899999999999977</v>
      </c>
      <c r="S26" s="66">
        <f t="shared" si="36"/>
        <v>-10.052000000000001</v>
      </c>
      <c r="T26" s="66">
        <f t="shared" si="36"/>
        <v>-13.131</v>
      </c>
      <c r="U26" s="66">
        <f t="shared" si="36"/>
        <v>-10.793999999999999</v>
      </c>
      <c r="V26" s="66">
        <f t="shared" si="36"/>
        <v>-24.759000000000004</v>
      </c>
      <c r="W26" s="66">
        <f t="shared" si="36"/>
        <v>-3.7829999999999995</v>
      </c>
      <c r="X26" s="66">
        <f t="shared" si="36"/>
        <v>-23.677</v>
      </c>
      <c r="Y26" s="71">
        <f t="shared" si="36"/>
        <v>-8.9810000000000016</v>
      </c>
      <c r="Z26" s="71">
        <f t="shared" si="36"/>
        <v>-6.2829999999999995</v>
      </c>
      <c r="AA26" s="66">
        <f t="shared" si="36"/>
        <v>-16.143999999999998</v>
      </c>
      <c r="AB26" s="66">
        <f t="shared" si="36"/>
        <v>-15.811</v>
      </c>
      <c r="AC26" s="66">
        <f>SUM(AC27:AC28)</f>
        <v>-6.3460000000000019</v>
      </c>
      <c r="AD26" s="66">
        <f t="shared" ref="AD26:AN26" si="37">SUM(AD27:AD28)</f>
        <v>-14.071999999999999</v>
      </c>
      <c r="AE26" s="66">
        <f t="shared" si="37"/>
        <v>-15.565999999999995</v>
      </c>
      <c r="AF26" s="66">
        <f>SUM(AF27:AF28)</f>
        <v>-21.35</v>
      </c>
      <c r="AG26" s="66">
        <f t="shared" si="37"/>
        <v>-10.249999999999996</v>
      </c>
      <c r="AH26" s="66">
        <f t="shared" si="37"/>
        <v>-15.134</v>
      </c>
      <c r="AI26" s="66">
        <f t="shared" si="37"/>
        <v>-23.701000000000004</v>
      </c>
      <c r="AJ26" s="66">
        <f t="shared" si="37"/>
        <v>-19.824999999999999</v>
      </c>
      <c r="AK26" s="66">
        <f t="shared" si="37"/>
        <v>-39.412999999999997</v>
      </c>
      <c r="AL26" s="66">
        <f t="shared" si="37"/>
        <v>-23.951000000000004</v>
      </c>
      <c r="AM26" s="66">
        <f t="shared" si="37"/>
        <v>-17.657999999999998</v>
      </c>
      <c r="AN26" s="66">
        <f t="shared" si="37"/>
        <v>-22.058</v>
      </c>
      <c r="AO26" s="66">
        <f>SUM(AO27:AO28)</f>
        <v>-25.406000000000002</v>
      </c>
      <c r="AP26" s="66">
        <f>SUM(AP27:AP28)</f>
        <v>-21.198</v>
      </c>
      <c r="AQ26" s="66">
        <f>SUM(AQ27:AQ28)</f>
        <v>-5.8440000000000012</v>
      </c>
      <c r="AR26" s="71">
        <f>SUM(AR27:AR28)</f>
        <v>-12.700000000000001</v>
      </c>
      <c r="AS26" s="71">
        <f t="shared" ref="AS26:AX26" si="38">SUM(AS27:AS28)</f>
        <v>-23.8</v>
      </c>
      <c r="AT26" s="71">
        <f t="shared" si="38"/>
        <v>3.8000000000000007</v>
      </c>
      <c r="AU26" s="71">
        <f t="shared" si="38"/>
        <v>29</v>
      </c>
      <c r="AV26" s="71">
        <f t="shared" si="38"/>
        <v>11.299999999999999</v>
      </c>
      <c r="AW26" s="71">
        <f t="shared" si="38"/>
        <v>3.3460000000000001</v>
      </c>
      <c r="AX26" s="71">
        <f t="shared" si="38"/>
        <v>-11.476999999999999</v>
      </c>
      <c r="AY26" s="71">
        <f t="shared" ref="AY26:BN26" si="39">SUM(AY27:AY28)</f>
        <v>0.247</v>
      </c>
      <c r="AZ26" s="71">
        <f t="shared" si="39"/>
        <v>-29.384</v>
      </c>
      <c r="BA26" s="71">
        <f t="shared" si="39"/>
        <v>-13.269</v>
      </c>
      <c r="BB26" s="71">
        <f t="shared" si="39"/>
        <v>-36.917999999999999</v>
      </c>
      <c r="BC26" s="71">
        <f t="shared" si="39"/>
        <v>5.0839999999999996</v>
      </c>
      <c r="BD26" s="71">
        <f t="shared" si="39"/>
        <v>-9.5659999999999989</v>
      </c>
      <c r="BE26" s="71">
        <f t="shared" si="39"/>
        <v>-19.484000000000002</v>
      </c>
      <c r="BF26" s="71">
        <f t="shared" si="39"/>
        <v>-12.917000000000002</v>
      </c>
      <c r="BG26" s="71">
        <f t="shared" si="39"/>
        <v>11.349</v>
      </c>
      <c r="BH26" s="71">
        <f t="shared" si="39"/>
        <v>-8.2629999999999999</v>
      </c>
      <c r="BI26" s="71">
        <f t="shared" si="39"/>
        <v>-9.3570000000000011</v>
      </c>
      <c r="BJ26" s="71">
        <f t="shared" si="39"/>
        <v>-29.815999999999999</v>
      </c>
      <c r="BK26" s="71">
        <f t="shared" si="39"/>
        <v>5.8949999999999996</v>
      </c>
      <c r="BL26" s="71">
        <f t="shared" si="39"/>
        <v>35.497840886089662</v>
      </c>
      <c r="BM26" s="71">
        <f t="shared" si="39"/>
        <v>7.6239999999999988</v>
      </c>
      <c r="BN26" s="71">
        <f t="shared" si="39"/>
        <v>70.064999999999998</v>
      </c>
      <c r="BO26" s="71">
        <f t="shared" ref="BO26:BT26" si="40">SUM(BO27:BO28)</f>
        <v>18.906920151892248</v>
      </c>
      <c r="BP26" s="71">
        <f t="shared" si="40"/>
        <v>-12.527943975904293</v>
      </c>
      <c r="BQ26" s="71">
        <f t="shared" si="40"/>
        <v>-13.213000000000001</v>
      </c>
      <c r="BR26" s="71">
        <f t="shared" si="40"/>
        <v>56.518000000000001</v>
      </c>
      <c r="BS26" s="71">
        <f t="shared" si="40"/>
        <v>9.5920000000000005</v>
      </c>
      <c r="BT26" s="71">
        <f t="shared" si="40"/>
        <v>18.123000000000001</v>
      </c>
      <c r="BU26" s="71">
        <v>36.606999999999999</v>
      </c>
      <c r="BV26" s="197"/>
      <c r="BW26" s="66">
        <f t="shared" ref="BW26:CG26" si="41">SUM(BW27:BW28)</f>
        <v>-22.691000000000003</v>
      </c>
      <c r="BX26" s="86">
        <f t="shared" si="41"/>
        <v>-36.314</v>
      </c>
      <c r="BY26" s="71">
        <f t="shared" si="41"/>
        <v>-17.196999999999999</v>
      </c>
      <c r="BZ26" s="66">
        <f t="shared" si="41"/>
        <v>-23.960999999999999</v>
      </c>
      <c r="CA26" s="66">
        <f t="shared" si="41"/>
        <v>-26.085000000000001</v>
      </c>
      <c r="CB26" s="66">
        <f t="shared" si="41"/>
        <v>-52.466999999999999</v>
      </c>
      <c r="CC26" s="66">
        <f t="shared" si="41"/>
        <v>-55.085000000000001</v>
      </c>
      <c r="CD26" s="66">
        <f t="shared" si="41"/>
        <v>-51.795000000000002</v>
      </c>
      <c r="CE26" s="66">
        <f t="shared" si="41"/>
        <v>-70.435000000000002</v>
      </c>
      <c r="CF26" s="66">
        <f t="shared" si="41"/>
        <v>-100.84700000000001</v>
      </c>
      <c r="CG26" s="66">
        <f t="shared" si="41"/>
        <v>-74.506</v>
      </c>
      <c r="CH26" s="66">
        <f t="shared" ref="CH26:CM26" si="42">SUM(CH27:CH28)</f>
        <v>-3.6999999999999957</v>
      </c>
      <c r="CI26" s="66">
        <f t="shared" si="42"/>
        <v>3.4160000000000039</v>
      </c>
      <c r="CJ26" s="66">
        <f t="shared" si="42"/>
        <v>-74.486999999999995</v>
      </c>
      <c r="CK26" s="66">
        <f t="shared" si="42"/>
        <v>-30.617999999999999</v>
      </c>
      <c r="CL26" s="66">
        <f t="shared" si="42"/>
        <v>-41.540999999999997</v>
      </c>
      <c r="CM26" s="66">
        <f t="shared" si="42"/>
        <v>132.09376103798192</v>
      </c>
      <c r="CN26" s="66">
        <f>SUM(CN27:CN28)</f>
        <v>40.369056024095698</v>
      </c>
    </row>
    <row r="27" spans="1:93" s="18" customFormat="1" x14ac:dyDescent="0.35">
      <c r="B27" s="30" t="str">
        <f>IF(Control!$D$5=1,"(-) Income Taxes","Imposto de Renda / CSLL")</f>
        <v>Imposto de Renda / CSLL</v>
      </c>
      <c r="C27" s="30"/>
      <c r="D27" s="66">
        <v>-11.167999999999999</v>
      </c>
      <c r="E27" s="87">
        <v>-14.446</v>
      </c>
      <c r="F27" s="87">
        <v>4.2770000000000001</v>
      </c>
      <c r="G27" s="86">
        <v>-6.8800000000000026</v>
      </c>
      <c r="H27" s="66">
        <v>-10.393000000000001</v>
      </c>
      <c r="I27" s="86">
        <v>0.18599999999999994</v>
      </c>
      <c r="J27" s="86">
        <v>-4.831999999999999</v>
      </c>
      <c r="K27" s="86">
        <v>-7.7250000000000014</v>
      </c>
      <c r="L27" s="71">
        <v>-8.3109999999999999</v>
      </c>
      <c r="M27" s="87">
        <v>-6.4120000000000008</v>
      </c>
      <c r="N27" s="87">
        <v>-4.0289999999999981</v>
      </c>
      <c r="O27" s="86">
        <v>-7.5759999999999987</v>
      </c>
      <c r="P27" s="66">
        <v>-6.3490000000000002</v>
      </c>
      <c r="Q27" s="86">
        <v>-8.5090000000000003</v>
      </c>
      <c r="R27" s="86">
        <v>-1.7889999999999979</v>
      </c>
      <c r="S27" s="86">
        <v>-8.1460000000000008</v>
      </c>
      <c r="T27" s="66">
        <v>-7.2880000000000003</v>
      </c>
      <c r="U27" s="86">
        <v>-8.347999999999999</v>
      </c>
      <c r="V27" s="86">
        <v>-18.680000000000003</v>
      </c>
      <c r="W27" s="86">
        <v>-10.247</v>
      </c>
      <c r="X27" s="86">
        <v>-6.5060000000000002</v>
      </c>
      <c r="Y27" s="87">
        <v>-8.5210000000000008</v>
      </c>
      <c r="Z27" s="87">
        <v>-1.302</v>
      </c>
      <c r="AA27" s="86">
        <v>-12.055</v>
      </c>
      <c r="AB27" s="66">
        <v>-5.3129999999999997</v>
      </c>
      <c r="AC27" s="86">
        <v>3.0399999999999996</v>
      </c>
      <c r="AD27" s="86">
        <v>-4.1610000000000005</v>
      </c>
      <c r="AE27" s="86">
        <v>-10.463999999999999</v>
      </c>
      <c r="AF27" s="66">
        <v>-5.1520000000000001</v>
      </c>
      <c r="AG27" s="86">
        <v>-4.6089999999999991</v>
      </c>
      <c r="AH27" s="86">
        <v>-5.47</v>
      </c>
      <c r="AI27" s="86">
        <v>-25.713000000000005</v>
      </c>
      <c r="AJ27" s="66">
        <v>-21.181000000000001</v>
      </c>
      <c r="AK27" s="86">
        <v>-29.526</v>
      </c>
      <c r="AL27" s="86">
        <v>-22.353000000000005</v>
      </c>
      <c r="AM27" s="86">
        <v>-13.910999999999998</v>
      </c>
      <c r="AN27" s="66">
        <v>-16.763000000000002</v>
      </c>
      <c r="AO27" s="86">
        <v>-6.8189999999999991</v>
      </c>
      <c r="AP27" s="86">
        <v>-15.677</v>
      </c>
      <c r="AQ27" s="86">
        <v>0.88600000000000279</v>
      </c>
      <c r="AR27" s="87">
        <v>-13.8</v>
      </c>
      <c r="AS27" s="87">
        <v>-23.7</v>
      </c>
      <c r="AT27" s="87">
        <v>-10.6</v>
      </c>
      <c r="AU27" s="87">
        <v>14.8</v>
      </c>
      <c r="AV27" s="87">
        <v>9.1999999999999993</v>
      </c>
      <c r="AW27" s="87">
        <v>-20.498000000000001</v>
      </c>
      <c r="AX27" s="87">
        <v>-10.202</v>
      </c>
      <c r="AY27" s="87">
        <v>-0.63300000000000001</v>
      </c>
      <c r="AZ27" s="87">
        <v>-14.566000000000001</v>
      </c>
      <c r="BA27" s="87">
        <v>-17.913</v>
      </c>
      <c r="BB27" s="87">
        <v>-38.207999999999998</v>
      </c>
      <c r="BC27" s="87">
        <v>-2.762</v>
      </c>
      <c r="BD27" s="87">
        <v>-14.792999999999999</v>
      </c>
      <c r="BE27" s="87">
        <v>-11.595000000000001</v>
      </c>
      <c r="BF27" s="87">
        <v>-19.701000000000001</v>
      </c>
      <c r="BG27" s="71">
        <v>15.025</v>
      </c>
      <c r="BH27" s="71">
        <v>-8.1180000000000003</v>
      </c>
      <c r="BI27" s="71">
        <v>-10.403</v>
      </c>
      <c r="BJ27" s="71">
        <v>-5.6070000000000002</v>
      </c>
      <c r="BK27" s="71">
        <v>-2.14</v>
      </c>
      <c r="BL27" s="87">
        <v>-10.135</v>
      </c>
      <c r="BM27" s="87">
        <v>-11.864000000000001</v>
      </c>
      <c r="BN27" s="87">
        <v>0.434</v>
      </c>
      <c r="BO27" s="87">
        <v>5.1441940036940617</v>
      </c>
      <c r="BP27" s="71">
        <v>-14.715794056853195</v>
      </c>
      <c r="BQ27" s="71">
        <v>-19.646000000000001</v>
      </c>
      <c r="BR27" s="71">
        <v>-12.180999999999999</v>
      </c>
      <c r="BS27" s="71">
        <v>1.0509999999999999</v>
      </c>
      <c r="BT27" s="71">
        <v>-2.5960000000000001</v>
      </c>
      <c r="BU27" s="71">
        <v>-4.3970000000000002</v>
      </c>
      <c r="BV27" s="197"/>
      <c r="BW27" s="86">
        <v>-17.234000000000002</v>
      </c>
      <c r="BX27" s="86">
        <v>-28.216999999999999</v>
      </c>
      <c r="BY27" s="87">
        <v>-22.763999999999999</v>
      </c>
      <c r="BZ27" s="66">
        <v>-26.327999999999999</v>
      </c>
      <c r="CA27" s="66">
        <v>-24.792999999999999</v>
      </c>
      <c r="CB27" s="66">
        <v>-44.563000000000002</v>
      </c>
      <c r="CC27" s="66">
        <v>-28.384</v>
      </c>
      <c r="CD27" s="66">
        <v>-16.898</v>
      </c>
      <c r="CE27" s="66">
        <v>-40.944000000000003</v>
      </c>
      <c r="CF27" s="66">
        <v>-86.971000000000004</v>
      </c>
      <c r="CG27" s="66">
        <v>-38.372999999999998</v>
      </c>
      <c r="CH27" s="71">
        <v>-33.299999999999997</v>
      </c>
      <c r="CI27" s="71">
        <v>-22.132999999999999</v>
      </c>
      <c r="CJ27" s="71">
        <v>-73.448999999999998</v>
      </c>
      <c r="CK27" s="71">
        <v>-31.064</v>
      </c>
      <c r="CL27" s="71">
        <v>-26.268000000000001</v>
      </c>
      <c r="CM27" s="71">
        <v>-16.420805996305941</v>
      </c>
      <c r="CN27" s="71">
        <v>-45.491794056853195</v>
      </c>
      <c r="CO27" s="19"/>
    </row>
    <row r="28" spans="1:93" s="18" customFormat="1" x14ac:dyDescent="0.35">
      <c r="B28" s="30" t="str">
        <f>IF(Control!$D$5=1,"(-) Diferred Income Taxes","Imposto de Renda / CSLL Diferido")</f>
        <v>Imposto de Renda / CSLL Diferido</v>
      </c>
      <c r="C28" s="30"/>
      <c r="D28" s="66">
        <v>1.0860000000000001</v>
      </c>
      <c r="E28" s="87">
        <v>2.7669999999999999</v>
      </c>
      <c r="F28" s="87">
        <v>-8.0229999999999997</v>
      </c>
      <c r="G28" s="86">
        <v>-3.9269999999999996</v>
      </c>
      <c r="H28" s="66">
        <v>1.849</v>
      </c>
      <c r="I28" s="86">
        <v>1.2420000000000002</v>
      </c>
      <c r="J28" s="86">
        <v>1.9950000000000003</v>
      </c>
      <c r="K28" s="86">
        <v>0.48100000000000009</v>
      </c>
      <c r="L28" s="71">
        <v>-0.23300000000000001</v>
      </c>
      <c r="M28" s="87">
        <v>1.6360000000000001</v>
      </c>
      <c r="N28" s="87">
        <v>1.125</v>
      </c>
      <c r="O28" s="86">
        <v>-0.16100000000000012</v>
      </c>
      <c r="P28" s="66">
        <v>2.5470000000000002</v>
      </c>
      <c r="Q28" s="86">
        <v>0.46799999999999997</v>
      </c>
      <c r="R28" s="86">
        <v>-2.4010000000000002</v>
      </c>
      <c r="S28" s="86">
        <v>-1.9059999999999999</v>
      </c>
      <c r="T28" s="66">
        <v>-5.843</v>
      </c>
      <c r="U28" s="86">
        <v>-2.4459999999999997</v>
      </c>
      <c r="V28" s="86">
        <v>-6.0790000000000006</v>
      </c>
      <c r="W28" s="86">
        <v>6.4640000000000004</v>
      </c>
      <c r="X28" s="86">
        <v>-17.170999999999999</v>
      </c>
      <c r="Y28" s="87">
        <v>-0.46</v>
      </c>
      <c r="Z28" s="87">
        <v>-4.9809999999999999</v>
      </c>
      <c r="AA28" s="86">
        <v>-4.0889999999999986</v>
      </c>
      <c r="AB28" s="66">
        <v>-10.497999999999999</v>
      </c>
      <c r="AC28" s="86">
        <v>-9.386000000000001</v>
      </c>
      <c r="AD28" s="86">
        <v>-9.9109999999999996</v>
      </c>
      <c r="AE28" s="86">
        <v>-5.1019999999999968</v>
      </c>
      <c r="AF28" s="66">
        <v>-16.198</v>
      </c>
      <c r="AG28" s="86">
        <v>-5.6409999999999982</v>
      </c>
      <c r="AH28" s="86">
        <v>-9.6640000000000015</v>
      </c>
      <c r="AI28" s="86">
        <v>2.0120000000000005</v>
      </c>
      <c r="AJ28" s="66">
        <v>1.3560000000000001</v>
      </c>
      <c r="AK28" s="86">
        <v>-9.8870000000000005</v>
      </c>
      <c r="AL28" s="86">
        <v>-1.5979999999999992</v>
      </c>
      <c r="AM28" s="86">
        <v>-3.7469999999999999</v>
      </c>
      <c r="AN28" s="66">
        <v>-5.2949999999999999</v>
      </c>
      <c r="AO28" s="86">
        <v>-18.587000000000003</v>
      </c>
      <c r="AP28" s="86">
        <v>-5.5209999999999999</v>
      </c>
      <c r="AQ28" s="86">
        <v>-6.730000000000004</v>
      </c>
      <c r="AR28" s="87">
        <v>1.1000000000000001</v>
      </c>
      <c r="AS28" s="87">
        <v>-0.10000000000000009</v>
      </c>
      <c r="AT28" s="87">
        <v>14.4</v>
      </c>
      <c r="AU28" s="87">
        <v>14.2</v>
      </c>
      <c r="AV28" s="87">
        <v>2.1</v>
      </c>
      <c r="AW28" s="87">
        <v>23.844000000000001</v>
      </c>
      <c r="AX28" s="87">
        <v>-1.2749999999999986</v>
      </c>
      <c r="AY28" s="87">
        <v>0.88</v>
      </c>
      <c r="AZ28" s="87">
        <v>-14.818</v>
      </c>
      <c r="BA28" s="87">
        <v>4.6440000000000001</v>
      </c>
      <c r="BB28" s="87">
        <v>1.29</v>
      </c>
      <c r="BC28" s="87">
        <v>7.8460000000000001</v>
      </c>
      <c r="BD28" s="87">
        <v>5.2270000000000003</v>
      </c>
      <c r="BE28" s="87">
        <v>-7.8890000000000002</v>
      </c>
      <c r="BF28" s="87">
        <v>6.7839999999999998</v>
      </c>
      <c r="BG28" s="87">
        <v>-3.6760000000000002</v>
      </c>
      <c r="BH28" s="87">
        <v>-0.14499999999999999</v>
      </c>
      <c r="BI28" s="87">
        <v>1.046</v>
      </c>
      <c r="BJ28" s="87">
        <v>-24.209</v>
      </c>
      <c r="BK28" s="87">
        <v>8.0350000000000001</v>
      </c>
      <c r="BL28" s="87">
        <v>45.63284088608966</v>
      </c>
      <c r="BM28" s="87">
        <v>19.488</v>
      </c>
      <c r="BN28" s="87">
        <v>69.631</v>
      </c>
      <c r="BO28" s="87">
        <v>13.762726148198187</v>
      </c>
      <c r="BP28" s="71">
        <v>2.1878500809489019</v>
      </c>
      <c r="BQ28" s="71">
        <v>6.4329999999999998</v>
      </c>
      <c r="BR28" s="71">
        <v>68.698999999999998</v>
      </c>
      <c r="BS28" s="71">
        <v>8.5410000000000004</v>
      </c>
      <c r="BT28" s="71">
        <v>20.719000000000001</v>
      </c>
      <c r="BU28" s="71">
        <v>41.003999999999998</v>
      </c>
      <c r="BV28" s="197"/>
      <c r="BW28" s="86">
        <v>-5.4569999999999999</v>
      </c>
      <c r="BX28" s="86">
        <v>-8.0969999999999995</v>
      </c>
      <c r="BY28" s="87">
        <v>5.5670000000000002</v>
      </c>
      <c r="BZ28" s="66">
        <v>2.367</v>
      </c>
      <c r="CA28" s="66">
        <v>-1.292</v>
      </c>
      <c r="CB28" s="66">
        <v>-7.9039999999999999</v>
      </c>
      <c r="CC28" s="66">
        <v>-26.701000000000001</v>
      </c>
      <c r="CD28" s="66">
        <v>-34.896999999999998</v>
      </c>
      <c r="CE28" s="66">
        <v>-29.491</v>
      </c>
      <c r="CF28" s="66">
        <v>-13.875999999999999</v>
      </c>
      <c r="CG28" s="66">
        <v>-36.133000000000003</v>
      </c>
      <c r="CH28" s="71">
        <v>29.6</v>
      </c>
      <c r="CI28" s="71">
        <v>25.549000000000003</v>
      </c>
      <c r="CJ28" s="71">
        <v>-1.038</v>
      </c>
      <c r="CK28" s="71">
        <v>0.44600000000000001</v>
      </c>
      <c r="CL28" s="71">
        <v>-15.273</v>
      </c>
      <c r="CM28" s="71">
        <v>148.51456703428786</v>
      </c>
      <c r="CN28" s="71">
        <v>85.860850080948893</v>
      </c>
      <c r="CO28" s="19"/>
    </row>
    <row r="29" spans="1:93" s="6" customFormat="1" x14ac:dyDescent="0.35">
      <c r="B29" s="31" t="str">
        <f>IF(Control!$D$5=1,"Net Income","Lucro Líquido")</f>
        <v>Lucro Líquido</v>
      </c>
      <c r="C29" s="31"/>
      <c r="D29" s="65">
        <f t="shared" ref="D29:O29" si="43">+D25+D26</f>
        <v>30.864999999999981</v>
      </c>
      <c r="E29" s="65">
        <f>+E25+E26</f>
        <v>38.844999999999978</v>
      </c>
      <c r="F29" s="65">
        <f t="shared" si="43"/>
        <v>-7.516999999999995</v>
      </c>
      <c r="G29" s="65">
        <f t="shared" si="43"/>
        <v>-4.1259999999999284</v>
      </c>
      <c r="H29" s="65">
        <f t="shared" si="43"/>
        <v>27.613299999999978</v>
      </c>
      <c r="I29" s="65">
        <f t="shared" si="43"/>
        <v>26.222699999999996</v>
      </c>
      <c r="J29" s="65">
        <f t="shared" si="43"/>
        <v>8.3019999999999214</v>
      </c>
      <c r="K29" s="65">
        <f t="shared" si="43"/>
        <v>9.2710000000002086</v>
      </c>
      <c r="L29" s="65">
        <f t="shared" si="43"/>
        <v>24.284000000000024</v>
      </c>
      <c r="M29" s="65">
        <f t="shared" si="43"/>
        <v>10.904999999999916</v>
      </c>
      <c r="N29" s="65">
        <f t="shared" si="43"/>
        <v>13.803000000000038</v>
      </c>
      <c r="O29" s="65">
        <f t="shared" si="43"/>
        <v>7.4370000000001157</v>
      </c>
      <c r="P29" s="65">
        <f t="shared" ref="P29:AN29" si="44">+P25+P26</f>
        <v>26.675999999999995</v>
      </c>
      <c r="Q29" s="65">
        <f t="shared" si="44"/>
        <v>9.1900000000000297</v>
      </c>
      <c r="R29" s="65">
        <f t="shared" si="44"/>
        <v>18.253999999999976</v>
      </c>
      <c r="S29" s="65">
        <f t="shared" si="44"/>
        <v>19.712000000000202</v>
      </c>
      <c r="T29" s="65">
        <f t="shared" si="44"/>
        <v>29.065000000000055</v>
      </c>
      <c r="U29" s="65">
        <f t="shared" si="44"/>
        <v>37.329999999999934</v>
      </c>
      <c r="V29" s="65">
        <f t="shared" si="44"/>
        <v>34.178999999999945</v>
      </c>
      <c r="W29" s="65">
        <f t="shared" si="44"/>
        <v>36.013000000000048</v>
      </c>
      <c r="X29" s="65">
        <f t="shared" si="44"/>
        <v>44.916999999999909</v>
      </c>
      <c r="Y29" s="65">
        <f t="shared" si="44"/>
        <v>27.02000000000011</v>
      </c>
      <c r="Z29" s="65">
        <f t="shared" si="44"/>
        <v>27.330999999999996</v>
      </c>
      <c r="AA29" s="65">
        <f t="shared" si="44"/>
        <v>24.945999999999792</v>
      </c>
      <c r="AB29" s="65">
        <f t="shared" si="44"/>
        <v>40.167999999999978</v>
      </c>
      <c r="AC29" s="65">
        <f t="shared" si="44"/>
        <v>33.34799999999975</v>
      </c>
      <c r="AD29" s="65">
        <f t="shared" si="44"/>
        <v>21.526999999999827</v>
      </c>
      <c r="AE29" s="65">
        <f t="shared" si="44"/>
        <v>9.9170000000007974</v>
      </c>
      <c r="AF29" s="65">
        <f t="shared" si="44"/>
        <v>33.615999999999978</v>
      </c>
      <c r="AG29" s="65">
        <f t="shared" si="44"/>
        <v>32.347999999999828</v>
      </c>
      <c r="AH29" s="65">
        <f t="shared" si="44"/>
        <v>27.627000000000336</v>
      </c>
      <c r="AI29" s="65">
        <f t="shared" si="44"/>
        <v>17.184999999999722</v>
      </c>
      <c r="AJ29" s="65">
        <f t="shared" si="44"/>
        <v>50.83100000000006</v>
      </c>
      <c r="AK29" s="65">
        <f t="shared" si="44"/>
        <v>63.54299999999985</v>
      </c>
      <c r="AL29" s="65">
        <f t="shared" si="44"/>
        <v>67.19000000000004</v>
      </c>
      <c r="AM29" s="65">
        <f t="shared" si="44"/>
        <v>19.967000000000002</v>
      </c>
      <c r="AN29" s="65">
        <f t="shared" si="44"/>
        <v>61.196999999999996</v>
      </c>
      <c r="AO29" s="65">
        <f t="shared" ref="AO29:AT29" si="45">+AO25+AO26</f>
        <v>40.318999999999747</v>
      </c>
      <c r="AP29" s="65">
        <f t="shared" si="45"/>
        <v>71.90900000000002</v>
      </c>
      <c r="AQ29" s="65">
        <f t="shared" si="45"/>
        <v>77.269000000000489</v>
      </c>
      <c r="AR29" s="65">
        <f t="shared" si="45"/>
        <v>32.599999999999838</v>
      </c>
      <c r="AS29" s="65">
        <f t="shared" si="45"/>
        <v>79.099999999999895</v>
      </c>
      <c r="AT29" s="65">
        <f t="shared" si="45"/>
        <v>150.30000000000001</v>
      </c>
      <c r="AU29" s="65">
        <f>+AU25+AU26</f>
        <v>100.30000000000024</v>
      </c>
      <c r="AV29" s="65">
        <f>+AV25+AV26</f>
        <v>49.799999999999947</v>
      </c>
      <c r="AW29" s="65">
        <f>+AW25+AW26</f>
        <v>40.115000000000109</v>
      </c>
      <c r="AX29" s="65">
        <f>+AX25+AX26</f>
        <v>66.095999999999577</v>
      </c>
      <c r="AY29" s="65">
        <f>+AY25+AY26</f>
        <v>83.622999999999891</v>
      </c>
      <c r="AZ29" s="65">
        <f t="shared" ref="AZ29:BN29" si="46">+AZ25+AZ26</f>
        <v>109.45199999999984</v>
      </c>
      <c r="BA29" s="65">
        <f t="shared" si="46"/>
        <v>138.64400000000001</v>
      </c>
      <c r="BB29" s="65">
        <f t="shared" si="46"/>
        <v>129.50692098000013</v>
      </c>
      <c r="BC29" s="65">
        <f t="shared" si="46"/>
        <v>85.073999999999955</v>
      </c>
      <c r="BD29" s="65">
        <f t="shared" si="46"/>
        <v>108.17600000000022</v>
      </c>
      <c r="BE29" s="65">
        <f t="shared" si="46"/>
        <v>106.52299999999968</v>
      </c>
      <c r="BF29" s="65">
        <f t="shared" si="46"/>
        <v>120.50799999999987</v>
      </c>
      <c r="BG29" s="65">
        <f t="shared" si="46"/>
        <v>143.50900000000044</v>
      </c>
      <c r="BH29" s="65">
        <f t="shared" si="46"/>
        <v>96.824000000000538</v>
      </c>
      <c r="BI29" s="65">
        <f t="shared" si="46"/>
        <v>93.919999999999789</v>
      </c>
      <c r="BJ29" s="65">
        <f t="shared" si="46"/>
        <v>147.08299999999988</v>
      </c>
      <c r="BK29" s="65">
        <f t="shared" si="46"/>
        <v>15.863999999999695</v>
      </c>
      <c r="BL29" s="65">
        <f t="shared" si="46"/>
        <v>64.018789022087347</v>
      </c>
      <c r="BM29" s="65">
        <f t="shared" si="46"/>
        <v>46.859176302020188</v>
      </c>
      <c r="BN29" s="65">
        <f t="shared" si="46"/>
        <v>142.97600000000011</v>
      </c>
      <c r="BO29" s="65">
        <f t="shared" ref="BO29:BT29" si="47">+BO25+BO26</f>
        <v>106.59352003468845</v>
      </c>
      <c r="BP29" s="65">
        <f t="shared" si="47"/>
        <v>78.497058315032561</v>
      </c>
      <c r="BQ29" s="65">
        <f t="shared" si="47"/>
        <v>118.76400000000007</v>
      </c>
      <c r="BR29" s="65">
        <f t="shared" si="47"/>
        <v>44.356999999999672</v>
      </c>
      <c r="BS29" s="65">
        <f t="shared" si="47"/>
        <v>-24.619000000000185</v>
      </c>
      <c r="BT29" s="65">
        <f t="shared" si="47"/>
        <v>65.986000000000146</v>
      </c>
      <c r="BU29" s="114">
        <v>78.708000000000027</v>
      </c>
      <c r="BV29" s="197"/>
      <c r="BW29" s="65">
        <f t="shared" ref="BW29:CF29" si="48">+BW25+BW26</f>
        <v>57.448000000000008</v>
      </c>
      <c r="BX29" s="65">
        <f t="shared" si="48"/>
        <v>58.067000000000014</v>
      </c>
      <c r="BY29" s="65">
        <f t="shared" si="48"/>
        <v>71.408999999999907</v>
      </c>
      <c r="BZ29" s="65">
        <f t="shared" si="48"/>
        <v>56.429000000000102</v>
      </c>
      <c r="CA29" s="65">
        <f t="shared" si="48"/>
        <v>73.832000000000107</v>
      </c>
      <c r="CB29" s="65">
        <f t="shared" si="48"/>
        <v>136.58699999999988</v>
      </c>
      <c r="CC29" s="65">
        <f t="shared" si="48"/>
        <v>124.21399999999983</v>
      </c>
      <c r="CD29" s="65">
        <f t="shared" si="48"/>
        <v>104.96</v>
      </c>
      <c r="CE29" s="65">
        <f t="shared" si="48"/>
        <v>110.77600000000029</v>
      </c>
      <c r="CF29" s="65">
        <f t="shared" si="48"/>
        <v>201.59199999999916</v>
      </c>
      <c r="CG29" s="65">
        <f t="shared" ref="CG29:CL29" si="49">+CG25+CG26</f>
        <v>250.69400000000095</v>
      </c>
      <c r="CH29" s="65">
        <f t="shared" si="49"/>
        <v>362.29999999999944</v>
      </c>
      <c r="CI29" s="65">
        <f t="shared" si="49"/>
        <v>239.63399999999962</v>
      </c>
      <c r="CJ29" s="65">
        <f t="shared" si="49"/>
        <v>462.67600000000164</v>
      </c>
      <c r="CK29" s="65">
        <f t="shared" si="49"/>
        <v>478.71499999999816</v>
      </c>
      <c r="CL29" s="65">
        <f t="shared" si="49"/>
        <v>353.68400000000116</v>
      </c>
      <c r="CM29" s="65">
        <f>+CM25+CM26</f>
        <v>360.4500223449736</v>
      </c>
      <c r="CN29" s="65">
        <f>+CN25+CN26</f>
        <v>216.99880896745572</v>
      </c>
    </row>
    <row r="30" spans="1:93" x14ac:dyDescent="0.35">
      <c r="B30" s="10" t="str">
        <f>IF(Control!$D$5=1,"Net Income / share","Lucro Líquido / ação")</f>
        <v>Lucro Líquido / ação</v>
      </c>
      <c r="C30" s="10"/>
      <c r="D30" s="219">
        <f t="shared" ref="D30:AI30" si="50">(D29)/(D$32/1000000)</f>
        <v>1.1621179591333579</v>
      </c>
      <c r="E30" s="219">
        <f t="shared" si="50"/>
        <v>1.4625780697403301</v>
      </c>
      <c r="F30" s="219">
        <f t="shared" si="50"/>
        <v>-0.28302739992889842</v>
      </c>
      <c r="G30" s="219">
        <f t="shared" si="50"/>
        <v>-0.1553506787423993</v>
      </c>
      <c r="H30" s="219">
        <f t="shared" si="50"/>
        <v>1.0396861118074565</v>
      </c>
      <c r="I30" s="219">
        <f t="shared" si="50"/>
        <v>0.98732773714454292</v>
      </c>
      <c r="J30" s="219">
        <f t="shared" si="50"/>
        <v>0.31258393963146125</v>
      </c>
      <c r="K30" s="219">
        <f t="shared" si="50"/>
        <v>0.34906838163374726</v>
      </c>
      <c r="L30" s="219">
        <f t="shared" si="50"/>
        <v>0.91433249698994024</v>
      </c>
      <c r="M30" s="219">
        <f t="shared" si="50"/>
        <v>0.41059116618659247</v>
      </c>
      <c r="N30" s="219">
        <f t="shared" si="50"/>
        <v>0.51970562740702386</v>
      </c>
      <c r="O30" s="219">
        <f t="shared" si="50"/>
        <v>0.28001526849424663</v>
      </c>
      <c r="P30" s="219">
        <f t="shared" si="50"/>
        <v>0.33479840896205487</v>
      </c>
      <c r="Q30" s="219">
        <f t="shared" si="50"/>
        <v>0.11533953285205033</v>
      </c>
      <c r="R30" s="219">
        <f t="shared" si="50"/>
        <v>0.16155878114546873</v>
      </c>
      <c r="S30" s="219">
        <f t="shared" si="50"/>
        <v>0.17446295025416436</v>
      </c>
      <c r="T30" s="219">
        <f t="shared" si="50"/>
        <v>0.25724257554470598</v>
      </c>
      <c r="U30" s="219">
        <f t="shared" si="50"/>
        <v>0.3303927522822584</v>
      </c>
      <c r="V30" s="219">
        <f t="shared" si="50"/>
        <v>0.30250452398219424</v>
      </c>
      <c r="W30" s="219">
        <f t="shared" si="50"/>
        <v>0.31873651722317192</v>
      </c>
      <c r="X30" s="219">
        <f t="shared" si="50"/>
        <v>0.39754222486638618</v>
      </c>
      <c r="Y30" s="219">
        <f t="shared" si="50"/>
        <v>0.2391431065273687</v>
      </c>
      <c r="Z30" s="219">
        <f t="shared" si="50"/>
        <v>0.24189564191337848</v>
      </c>
      <c r="AA30" s="219">
        <f t="shared" si="50"/>
        <v>0.22078697022322966</v>
      </c>
      <c r="AB30" s="219">
        <f t="shared" si="50"/>
        <v>0.35551074400411925</v>
      </c>
      <c r="AC30" s="219">
        <f t="shared" si="50"/>
        <v>0.29514967862600294</v>
      </c>
      <c r="AD30" s="219">
        <f t="shared" si="50"/>
        <v>0.19052678216930435</v>
      </c>
      <c r="AE30" s="219">
        <f t="shared" si="50"/>
        <v>8.77713614889747E-2</v>
      </c>
      <c r="AF30" s="219">
        <f t="shared" si="50"/>
        <v>0.29752163837986634</v>
      </c>
      <c r="AG30" s="219">
        <f t="shared" si="50"/>
        <v>0.28629908252950592</v>
      </c>
      <c r="AH30" s="219">
        <f t="shared" si="50"/>
        <v>0.2445154183579448</v>
      </c>
      <c r="AI30" s="219">
        <f t="shared" si="50"/>
        <v>0.15209749391831043</v>
      </c>
      <c r="AJ30" s="219">
        <f t="shared" ref="AJ30:BN30" si="51">(AJ29)/(AJ$32/1000000)</f>
        <v>0.44988465018107487</v>
      </c>
      <c r="AK30" s="219">
        <f t="shared" si="51"/>
        <v>0.56239342775975176</v>
      </c>
      <c r="AL30" s="219">
        <f t="shared" si="51"/>
        <v>0.58053378210665496</v>
      </c>
      <c r="AM30" s="219">
        <f t="shared" si="51"/>
        <v>0.1725185001834138</v>
      </c>
      <c r="AN30" s="219">
        <f t="shared" si="51"/>
        <v>0.49746664883502717</v>
      </c>
      <c r="AO30" s="219">
        <f t="shared" si="51"/>
        <v>0.10925022367316119</v>
      </c>
      <c r="AP30" s="219">
        <f t="shared" si="51"/>
        <v>0.1753656164226402</v>
      </c>
      <c r="AQ30" s="219">
        <f t="shared" si="51"/>
        <v>0.18843713325676992</v>
      </c>
      <c r="AR30" s="219">
        <f t="shared" si="51"/>
        <v>7.9502135968766638E-2</v>
      </c>
      <c r="AS30" s="219">
        <f t="shared" si="51"/>
        <v>0.19290242193648663</v>
      </c>
      <c r="AT30" s="219">
        <f t="shared" si="51"/>
        <v>0.36653898883759772</v>
      </c>
      <c r="AU30" s="219">
        <f t="shared" si="51"/>
        <v>0.24798693453514867</v>
      </c>
      <c r="AV30" s="219">
        <f t="shared" si="51"/>
        <v>0.1235172642225633</v>
      </c>
      <c r="AW30" s="219">
        <f t="shared" si="51"/>
        <v>0.10012104125982771</v>
      </c>
      <c r="AX30" s="219">
        <f t="shared" si="51"/>
        <v>0.17863783783783668</v>
      </c>
      <c r="AY30" s="219">
        <f t="shared" si="51"/>
        <v>0.22600810810810781</v>
      </c>
      <c r="AZ30" s="219">
        <f t="shared" si="51"/>
        <v>0.29581621621621579</v>
      </c>
      <c r="BA30" s="219">
        <f t="shared" si="51"/>
        <v>0.37471351351351351</v>
      </c>
      <c r="BB30" s="219">
        <f t="shared" si="51"/>
        <v>0.35001870535135171</v>
      </c>
      <c r="BC30" s="219">
        <f t="shared" si="51"/>
        <v>0.22992972972972961</v>
      </c>
      <c r="BD30" s="219">
        <f t="shared" si="51"/>
        <v>0.29236756756756815</v>
      </c>
      <c r="BE30" s="219">
        <f t="shared" si="51"/>
        <v>0.28789999999999916</v>
      </c>
      <c r="BF30" s="219">
        <f t="shared" si="51"/>
        <v>0.32569729729729696</v>
      </c>
      <c r="BG30" s="219">
        <f t="shared" si="51"/>
        <v>0.38786216216216335</v>
      </c>
      <c r="BH30" s="219">
        <f t="shared" si="51"/>
        <v>0.26895555555555706</v>
      </c>
      <c r="BI30" s="219">
        <f t="shared" si="51"/>
        <v>0.26088888888888828</v>
      </c>
      <c r="BJ30" s="219">
        <f t="shared" si="51"/>
        <v>0.40856388888888856</v>
      </c>
      <c r="BK30" s="219">
        <f t="shared" si="51"/>
        <v>4.5325714285713414E-2</v>
      </c>
      <c r="BL30" s="219">
        <f t="shared" si="51"/>
        <v>0.18291082577739243</v>
      </c>
      <c r="BM30" s="219">
        <f t="shared" si="51"/>
        <v>0.13388336086291483</v>
      </c>
      <c r="BN30" s="219">
        <f t="shared" si="51"/>
        <v>0.40850285714285745</v>
      </c>
      <c r="BO30" s="219">
        <f t="shared" ref="BO30:BT30" si="52">(BO29)/(BO$32/1000000)</f>
        <v>0.30455291438482412</v>
      </c>
      <c r="BP30" s="219">
        <f t="shared" si="52"/>
        <v>0.22427730947152161</v>
      </c>
      <c r="BQ30" s="219">
        <f t="shared" si="52"/>
        <v>0.33932571428571445</v>
      </c>
      <c r="BR30" s="219">
        <f t="shared" si="52"/>
        <v>0.12673428571428477</v>
      </c>
      <c r="BS30" s="219">
        <f t="shared" si="52"/>
        <v>-7.0340000000000527E-2</v>
      </c>
      <c r="BT30" s="225">
        <f t="shared" si="52"/>
        <v>0.18853142857142899</v>
      </c>
      <c r="BU30" s="244">
        <v>0.22488000000000008</v>
      </c>
      <c r="BW30" s="219">
        <f t="shared" ref="BW30:CL30" si="53">+BW29/(BW32/1000000)</f>
        <v>2.1630115832267354</v>
      </c>
      <c r="BX30" s="219">
        <f t="shared" si="53"/>
        <v>2.1863179502023895</v>
      </c>
      <c r="BY30" s="219">
        <f t="shared" si="53"/>
        <v>2.6886661702172003</v>
      </c>
      <c r="BZ30" s="219">
        <f t="shared" si="53"/>
        <v>2.1246445590778036</v>
      </c>
      <c r="CA30" s="219">
        <f t="shared" si="53"/>
        <v>0.9266320336814543</v>
      </c>
      <c r="CB30" s="219">
        <f t="shared" si="53"/>
        <v>1.2088763690323296</v>
      </c>
      <c r="CC30" s="219">
        <f t="shared" si="53"/>
        <v>1.0993679435303632</v>
      </c>
      <c r="CD30" s="219">
        <f t="shared" si="53"/>
        <v>0.92895856628839801</v>
      </c>
      <c r="CE30" s="219">
        <f t="shared" si="53"/>
        <v>0.98043363318563137</v>
      </c>
      <c r="CF30" s="219">
        <f t="shared" si="53"/>
        <v>1.7417914303087396</v>
      </c>
      <c r="CG30" s="219">
        <f t="shared" si="53"/>
        <v>0.61144878048780715</v>
      </c>
      <c r="CH30" s="219">
        <f t="shared" si="53"/>
        <v>0.88365853658536453</v>
      </c>
      <c r="CI30" s="219">
        <f t="shared" si="53"/>
        <v>0.64765945945945846</v>
      </c>
      <c r="CJ30" s="219">
        <f t="shared" si="53"/>
        <v>1.2504756756756801</v>
      </c>
      <c r="CK30" s="219">
        <f t="shared" si="53"/>
        <v>1.2938243243243193</v>
      </c>
      <c r="CL30" s="219">
        <f t="shared" si="53"/>
        <v>1.0105257142857176</v>
      </c>
      <c r="CM30" s="219">
        <f>+CM29/(CM32/1000000)</f>
        <v>1.0298572066999245</v>
      </c>
      <c r="CN30" s="219">
        <f>+CN29/(CN32/1000000)</f>
        <v>0.61999659704987342</v>
      </c>
    </row>
    <row r="31" spans="1:93" outlineLevel="1" x14ac:dyDescent="0.35">
      <c r="B31" s="10" t="s">
        <v>19</v>
      </c>
      <c r="C31" s="10"/>
      <c r="D31" s="219">
        <f>(D29)/(D$33/1000000)</f>
        <v>0.12912421768148422</v>
      </c>
      <c r="E31" s="219">
        <f t="shared" ref="E31:BN31" si="54">(E29)/(E$33/1000000)</f>
        <v>0.16250867441559225</v>
      </c>
      <c r="F31" s="219">
        <f t="shared" si="54"/>
        <v>-3.1447488880988715E-2</v>
      </c>
      <c r="G31" s="219">
        <f t="shared" si="54"/>
        <v>-1.7261186526933255E-2</v>
      </c>
      <c r="H31" s="219">
        <f t="shared" si="54"/>
        <v>0.11552067908971739</v>
      </c>
      <c r="I31" s="219">
        <f t="shared" si="54"/>
        <v>0.10970308190494922</v>
      </c>
      <c r="J31" s="219">
        <f t="shared" si="54"/>
        <v>3.4731548847940143E-2</v>
      </c>
      <c r="K31" s="219">
        <f t="shared" si="54"/>
        <v>3.878537573708303E-2</v>
      </c>
      <c r="L31" s="219">
        <f t="shared" si="54"/>
        <v>0.10159249966554892</v>
      </c>
      <c r="M31" s="219">
        <f t="shared" si="54"/>
        <v>4.5621240687399173E-2</v>
      </c>
      <c r="N31" s="219">
        <f t="shared" si="54"/>
        <v>5.7745069711891549E-2</v>
      </c>
      <c r="O31" s="219">
        <f t="shared" si="54"/>
        <v>3.1112807610471849E-2</v>
      </c>
      <c r="P31" s="219">
        <f t="shared" si="54"/>
        <v>0.11159946965401829</v>
      </c>
      <c r="Q31" s="219">
        <f t="shared" si="54"/>
        <v>3.8446510950683445E-2</v>
      </c>
      <c r="R31" s="219">
        <f t="shared" si="54"/>
        <v>7.6365898900301682E-2</v>
      </c>
      <c r="S31" s="219">
        <f t="shared" si="54"/>
        <v>5.8154316751388123E-2</v>
      </c>
      <c r="T31" s="219">
        <f t="shared" si="54"/>
        <v>8.5747525181568668E-2</v>
      </c>
      <c r="U31" s="219">
        <f t="shared" si="54"/>
        <v>0.11013091742741947</v>
      </c>
      <c r="V31" s="219">
        <f t="shared" si="54"/>
        <v>0.10083484132739808</v>
      </c>
      <c r="W31" s="219">
        <f t="shared" si="54"/>
        <v>0.1062455057410573</v>
      </c>
      <c r="X31" s="219">
        <f t="shared" si="54"/>
        <v>0.13251407495546205</v>
      </c>
      <c r="Y31" s="219">
        <f t="shared" si="54"/>
        <v>7.9714368842456237E-2</v>
      </c>
      <c r="Z31" s="219">
        <f t="shared" si="54"/>
        <v>8.0631880637792822E-2</v>
      </c>
      <c r="AA31" s="219">
        <f t="shared" si="54"/>
        <v>7.3595656741076557E-2</v>
      </c>
      <c r="AB31" s="219">
        <f t="shared" si="54"/>
        <v>0.11850358133470641</v>
      </c>
      <c r="AC31" s="219">
        <f t="shared" si="54"/>
        <v>9.8383226208667643E-2</v>
      </c>
      <c r="AD31" s="219">
        <f t="shared" si="54"/>
        <v>6.3508927389768113E-2</v>
      </c>
      <c r="AE31" s="219">
        <f t="shared" si="54"/>
        <v>2.9257120496324902E-2</v>
      </c>
      <c r="AF31" s="219">
        <f t="shared" si="54"/>
        <v>9.9173879459955441E-2</v>
      </c>
      <c r="AG31" s="219">
        <f t="shared" si="54"/>
        <v>9.5433027509835316E-2</v>
      </c>
      <c r="AH31" s="219">
        <f t="shared" si="54"/>
        <v>8.150513945264827E-2</v>
      </c>
      <c r="AI31" s="219">
        <f t="shared" si="54"/>
        <v>5.0699164639436814E-2</v>
      </c>
      <c r="AJ31" s="219">
        <f t="shared" si="54"/>
        <v>0.1499615500603583</v>
      </c>
      <c r="AK31" s="219">
        <f t="shared" si="54"/>
        <v>0.18746447591991725</v>
      </c>
      <c r="AL31" s="219">
        <f t="shared" si="54"/>
        <v>0.19351126070221827</v>
      </c>
      <c r="AM31" s="219">
        <f t="shared" si="54"/>
        <v>5.7506166727804592E-2</v>
      </c>
      <c r="AN31" s="219">
        <f t="shared" si="54"/>
        <v>0.17263201775231593</v>
      </c>
      <c r="AO31" s="219">
        <f t="shared" si="54"/>
        <v>0.10925022367316119</v>
      </c>
      <c r="AP31" s="219">
        <f t="shared" si="54"/>
        <v>0.1753656164226402</v>
      </c>
      <c r="AQ31" s="219">
        <f t="shared" si="54"/>
        <v>0.18843713325676992</v>
      </c>
      <c r="AR31" s="219">
        <f t="shared" si="54"/>
        <v>7.9502135968766638E-2</v>
      </c>
      <c r="AS31" s="219">
        <f t="shared" si="54"/>
        <v>0.19290242193648663</v>
      </c>
      <c r="AT31" s="219">
        <f t="shared" si="54"/>
        <v>0.36653898883759772</v>
      </c>
      <c r="AU31" s="219">
        <f t="shared" si="54"/>
        <v>0.24798693453514867</v>
      </c>
      <c r="AV31" s="219">
        <f t="shared" si="54"/>
        <v>0.1235172642225633</v>
      </c>
      <c r="AW31" s="219">
        <f t="shared" si="54"/>
        <v>0.10012104125982771</v>
      </c>
      <c r="AX31" s="219">
        <f t="shared" si="54"/>
        <v>0.17863783783783668</v>
      </c>
      <c r="AY31" s="219">
        <f t="shared" si="54"/>
        <v>0.22600810810810781</v>
      </c>
      <c r="AZ31" s="219">
        <f t="shared" si="54"/>
        <v>0.29581621621621579</v>
      </c>
      <c r="BA31" s="219">
        <f t="shared" si="54"/>
        <v>0.37471351351351351</v>
      </c>
      <c r="BB31" s="219">
        <f t="shared" si="54"/>
        <v>0.35001870535135171</v>
      </c>
      <c r="BC31" s="219">
        <f t="shared" si="54"/>
        <v>0.22992972972972961</v>
      </c>
      <c r="BD31" s="219">
        <f t="shared" si="54"/>
        <v>0.29236756756756815</v>
      </c>
      <c r="BE31" s="219">
        <f t="shared" si="54"/>
        <v>0.28789999999999916</v>
      </c>
      <c r="BF31" s="219">
        <f t="shared" si="54"/>
        <v>0.32569729729729696</v>
      </c>
      <c r="BG31" s="219">
        <f t="shared" si="54"/>
        <v>0.38786216216216335</v>
      </c>
      <c r="BH31" s="219">
        <f t="shared" si="54"/>
        <v>0.26895555555555706</v>
      </c>
      <c r="BI31" s="219">
        <f t="shared" si="54"/>
        <v>0.26088888888888828</v>
      </c>
      <c r="BJ31" s="219">
        <f t="shared" si="54"/>
        <v>0.40856388888888856</v>
      </c>
      <c r="BK31" s="219">
        <f t="shared" si="54"/>
        <v>4.5325714285713414E-2</v>
      </c>
      <c r="BL31" s="219">
        <f t="shared" si="54"/>
        <v>0.18291082577739243</v>
      </c>
      <c r="BM31" s="219">
        <f t="shared" si="54"/>
        <v>0.13388336086291483</v>
      </c>
      <c r="BN31" s="219">
        <f t="shared" si="54"/>
        <v>0.40850285714285745</v>
      </c>
      <c r="BO31" s="219">
        <f t="shared" ref="BO31:BT31" si="55">(BO29)/(BO$33/1000000)</f>
        <v>0.30455291438482412</v>
      </c>
      <c r="BP31" s="219">
        <f t="shared" si="55"/>
        <v>0.22427730947152161</v>
      </c>
      <c r="BQ31" s="219">
        <f t="shared" si="55"/>
        <v>0.33932571428571445</v>
      </c>
      <c r="BR31" s="219">
        <f t="shared" si="55"/>
        <v>0.12673428571428477</v>
      </c>
      <c r="BS31" s="219">
        <f t="shared" si="55"/>
        <v>-7.0340000000000527E-2</v>
      </c>
      <c r="BT31" s="225">
        <f t="shared" si="55"/>
        <v>0.18853142857142899</v>
      </c>
      <c r="BU31" s="232">
        <v>0.22488000000000008</v>
      </c>
      <c r="BW31" s="219">
        <f>BW29/BW33*1000000</f>
        <v>0.24033462035852618</v>
      </c>
      <c r="BX31" s="219">
        <f t="shared" ref="BX31:CL31" si="56">BX29/BX33*1000000</f>
        <v>0.24292421668915437</v>
      </c>
      <c r="BY31" s="219">
        <f t="shared" si="56"/>
        <v>0.29874068557968897</v>
      </c>
      <c r="BZ31" s="219">
        <f t="shared" si="56"/>
        <v>0.23607161767531151</v>
      </c>
      <c r="CA31" s="219">
        <f t="shared" si="56"/>
        <v>0.21781907033220627</v>
      </c>
      <c r="CB31" s="219">
        <f t="shared" si="56"/>
        <v>0.4029587896774432</v>
      </c>
      <c r="CC31" s="219">
        <f t="shared" si="56"/>
        <v>0.36645598117678774</v>
      </c>
      <c r="CD31" s="219">
        <f t="shared" si="56"/>
        <v>0.30965285542946602</v>
      </c>
      <c r="CE31" s="219">
        <f t="shared" si="56"/>
        <v>0.3268112110618771</v>
      </c>
      <c r="CF31" s="219">
        <f t="shared" si="56"/>
        <v>0.58059714343624658</v>
      </c>
      <c r="CG31" s="219">
        <f t="shared" si="56"/>
        <v>0.61137142559982083</v>
      </c>
      <c r="CH31" s="219">
        <f t="shared" si="56"/>
        <v>0.88365853658536453</v>
      </c>
      <c r="CI31" s="219">
        <f t="shared" si="56"/>
        <v>0.64765945945945835</v>
      </c>
      <c r="CJ31" s="219">
        <f t="shared" si="56"/>
        <v>1.2504756756756801</v>
      </c>
      <c r="CK31" s="219">
        <f t="shared" si="56"/>
        <v>1.2938243243243193</v>
      </c>
      <c r="CL31" s="219">
        <f t="shared" si="56"/>
        <v>1.0105257142857176</v>
      </c>
      <c r="CM31" s="219">
        <f>CM29/CM33*1000000</f>
        <v>1.0298572066999245</v>
      </c>
      <c r="CN31" s="219">
        <f>CN29/CN33*1000000</f>
        <v>0.61999659704987342</v>
      </c>
    </row>
    <row r="32" spans="1:93" s="176" customFormat="1" outlineLevel="1" x14ac:dyDescent="0.35">
      <c r="A32" s="5"/>
      <c r="B32" s="10" t="str">
        <f>IF(Control!$D$5=1,"# of shares","# Total de Ações")</f>
        <v># Total de Ações</v>
      </c>
      <c r="C32" s="10"/>
      <c r="D32" s="174">
        <v>26559266</v>
      </c>
      <c r="E32" s="174">
        <v>26559266</v>
      </c>
      <c r="F32" s="174">
        <v>26559266</v>
      </c>
      <c r="G32" s="174">
        <v>26559266</v>
      </c>
      <c r="H32" s="174">
        <v>26559266</v>
      </c>
      <c r="I32" s="174">
        <v>26559266</v>
      </c>
      <c r="J32" s="174">
        <v>26559266</v>
      </c>
      <c r="K32" s="174">
        <v>26559266</v>
      </c>
      <c r="L32" s="174">
        <v>26559266</v>
      </c>
      <c r="M32" s="174">
        <v>26559266</v>
      </c>
      <c r="N32" s="174">
        <v>26559266</v>
      </c>
      <c r="O32" s="174">
        <v>26559266</v>
      </c>
      <c r="P32" s="174">
        <f>$O32*3</f>
        <v>79677798</v>
      </c>
      <c r="Q32" s="174">
        <f>$O32*3</f>
        <v>79677798</v>
      </c>
      <c r="R32" s="174">
        <f>Q32+33308942</f>
        <v>112986740</v>
      </c>
      <c r="S32" s="174">
        <v>112986740</v>
      </c>
      <c r="T32" s="174">
        <v>112986740</v>
      </c>
      <c r="U32" s="174">
        <v>112986740</v>
      </c>
      <c r="V32" s="174">
        <v>112986740</v>
      </c>
      <c r="W32" s="174">
        <v>112986740</v>
      </c>
      <c r="X32" s="174">
        <v>112986740</v>
      </c>
      <c r="Y32" s="174">
        <v>112986740</v>
      </c>
      <c r="Z32" s="174">
        <v>112986740</v>
      </c>
      <c r="AA32" s="174">
        <v>112986740</v>
      </c>
      <c r="AB32" s="174">
        <v>112986740</v>
      </c>
      <c r="AC32" s="174">
        <v>112986740</v>
      </c>
      <c r="AD32" s="174">
        <v>112986740</v>
      </c>
      <c r="AE32" s="174">
        <v>112986740</v>
      </c>
      <c r="AF32" s="174">
        <v>112986740</v>
      </c>
      <c r="AG32" s="174">
        <v>112986740</v>
      </c>
      <c r="AH32" s="174">
        <v>112986740</v>
      </c>
      <c r="AI32" s="174">
        <v>112986740</v>
      </c>
      <c r="AJ32" s="174">
        <v>112986740</v>
      </c>
      <c r="AK32" s="174">
        <v>112986740</v>
      </c>
      <c r="AL32" s="174">
        <f>AK32+4396173-1644601</f>
        <v>115738312</v>
      </c>
      <c r="AM32" s="174">
        <v>115738312</v>
      </c>
      <c r="AN32" s="174">
        <f>AM32+7278980</f>
        <v>123017292</v>
      </c>
      <c r="AO32" s="175">
        <f>AN32*3</f>
        <v>369051876</v>
      </c>
      <c r="AP32" s="175">
        <v>410051876</v>
      </c>
      <c r="AQ32" s="175">
        <v>410051876</v>
      </c>
      <c r="AR32" s="175">
        <v>410051876</v>
      </c>
      <c r="AS32" s="175">
        <v>410051876</v>
      </c>
      <c r="AT32" s="175">
        <v>410051876</v>
      </c>
      <c r="AU32" s="175">
        <v>404456792</v>
      </c>
      <c r="AV32" s="175">
        <v>403182505</v>
      </c>
      <c r="AW32" s="175">
        <v>400665030</v>
      </c>
      <c r="AX32" s="175">
        <v>370000000</v>
      </c>
      <c r="AY32" s="175">
        <v>370000000</v>
      </c>
      <c r="AZ32" s="175">
        <v>370000000</v>
      </c>
      <c r="BA32" s="175">
        <v>370000000</v>
      </c>
      <c r="BB32" s="175">
        <v>370000000</v>
      </c>
      <c r="BC32" s="175">
        <v>370000000</v>
      </c>
      <c r="BD32" s="175">
        <v>370000000</v>
      </c>
      <c r="BE32" s="175">
        <v>370000000</v>
      </c>
      <c r="BF32" s="175">
        <v>370000000</v>
      </c>
      <c r="BG32" s="175">
        <v>370000000</v>
      </c>
      <c r="BH32" s="175">
        <v>360000000</v>
      </c>
      <c r="BI32" s="175">
        <v>360000000</v>
      </c>
      <c r="BJ32" s="175">
        <v>360000000</v>
      </c>
      <c r="BK32" s="175">
        <v>350000000</v>
      </c>
      <c r="BL32" s="175">
        <v>350000000</v>
      </c>
      <c r="BM32" s="175">
        <v>350000000</v>
      </c>
      <c r="BN32" s="175">
        <v>350000000</v>
      </c>
      <c r="BO32" s="175">
        <v>350000000</v>
      </c>
      <c r="BP32" s="175">
        <v>350000000</v>
      </c>
      <c r="BQ32" s="175">
        <v>350000000</v>
      </c>
      <c r="BR32" s="175">
        <v>350000000</v>
      </c>
      <c r="BS32" s="175">
        <v>350000000</v>
      </c>
      <c r="BT32" s="175">
        <v>350000000</v>
      </c>
      <c r="BU32" s="175">
        <v>350000000</v>
      </c>
      <c r="BW32" s="174">
        <v>26559266</v>
      </c>
      <c r="BX32" s="174">
        <v>26559266</v>
      </c>
      <c r="BY32" s="174">
        <v>26559266</v>
      </c>
      <c r="BZ32" s="174">
        <v>26559266</v>
      </c>
      <c r="CA32" s="174">
        <f>$O32*3</f>
        <v>79677798</v>
      </c>
      <c r="CB32" s="174">
        <v>112986740</v>
      </c>
      <c r="CC32" s="174">
        <v>112986740</v>
      </c>
      <c r="CD32" s="174">
        <v>112986740</v>
      </c>
      <c r="CE32" s="174">
        <v>112986740</v>
      </c>
      <c r="CF32" s="174">
        <v>115738312</v>
      </c>
      <c r="CG32" s="175">
        <v>410000000</v>
      </c>
      <c r="CH32" s="175">
        <v>410000000</v>
      </c>
      <c r="CI32" s="175">
        <v>370000000</v>
      </c>
      <c r="CJ32" s="175">
        <v>370000000</v>
      </c>
      <c r="CK32" s="175">
        <v>370000000</v>
      </c>
      <c r="CL32" s="175">
        <v>350000000</v>
      </c>
      <c r="CM32" s="175">
        <v>350000000</v>
      </c>
      <c r="CN32" s="175">
        <v>350000000</v>
      </c>
    </row>
    <row r="33" spans="2:92" outlineLevel="1" x14ac:dyDescent="0.35">
      <c r="B33" s="10" t="s">
        <v>18</v>
      </c>
      <c r="C33" s="10"/>
      <c r="D33" s="175">
        <v>239033394</v>
      </c>
      <c r="E33" s="175">
        <v>239033394</v>
      </c>
      <c r="F33" s="175">
        <v>239033394</v>
      </c>
      <c r="G33" s="175">
        <v>239033394</v>
      </c>
      <c r="H33" s="175">
        <v>239033394</v>
      </c>
      <c r="I33" s="175">
        <v>239033394</v>
      </c>
      <c r="J33" s="175">
        <v>239033394</v>
      </c>
      <c r="K33" s="175">
        <v>239033394</v>
      </c>
      <c r="L33" s="175">
        <v>239033394</v>
      </c>
      <c r="M33" s="175">
        <v>239033394</v>
      </c>
      <c r="N33" s="175">
        <v>239033394</v>
      </c>
      <c r="O33" s="175">
        <v>239033394</v>
      </c>
      <c r="P33" s="175">
        <v>239033394</v>
      </c>
      <c r="Q33" s="175">
        <v>239033394</v>
      </c>
      <c r="R33" s="175">
        <v>239033394</v>
      </c>
      <c r="S33" s="175">
        <v>338960220</v>
      </c>
      <c r="T33" s="175">
        <v>338960220</v>
      </c>
      <c r="U33" s="175">
        <v>338960220</v>
      </c>
      <c r="V33" s="175">
        <v>338960220</v>
      </c>
      <c r="W33" s="175">
        <v>338960220</v>
      </c>
      <c r="X33" s="175">
        <v>338960220</v>
      </c>
      <c r="Y33" s="175">
        <v>338960220</v>
      </c>
      <c r="Z33" s="175">
        <v>338960220</v>
      </c>
      <c r="AA33" s="175">
        <v>338960220</v>
      </c>
      <c r="AB33" s="175">
        <v>338960220</v>
      </c>
      <c r="AC33" s="175">
        <v>338960220</v>
      </c>
      <c r="AD33" s="175">
        <v>338960220</v>
      </c>
      <c r="AE33" s="175">
        <v>338960220</v>
      </c>
      <c r="AF33" s="175">
        <v>338960220</v>
      </c>
      <c r="AG33" s="175">
        <v>338960220</v>
      </c>
      <c r="AH33" s="175">
        <v>338960220</v>
      </c>
      <c r="AI33" s="175">
        <v>338960220</v>
      </c>
      <c r="AJ33" s="175">
        <v>338960220</v>
      </c>
      <c r="AK33" s="175">
        <v>338960220</v>
      </c>
      <c r="AL33" s="175">
        <v>347214936</v>
      </c>
      <c r="AM33" s="175">
        <v>347214936</v>
      </c>
      <c r="AN33" s="175">
        <v>354493916</v>
      </c>
      <c r="AO33" s="175">
        <v>369051876</v>
      </c>
      <c r="AP33" s="175">
        <v>410051876</v>
      </c>
      <c r="AQ33" s="175">
        <v>410051876</v>
      </c>
      <c r="AR33" s="175">
        <v>410051876</v>
      </c>
      <c r="AS33" s="175">
        <v>410051876</v>
      </c>
      <c r="AT33" s="175">
        <v>410051876</v>
      </c>
      <c r="AU33" s="175">
        <v>404456792</v>
      </c>
      <c r="AV33" s="175">
        <v>403182505</v>
      </c>
      <c r="AW33" s="175">
        <v>400665030</v>
      </c>
      <c r="AX33" s="175">
        <v>370000000</v>
      </c>
      <c r="AY33" s="175">
        <v>370000000</v>
      </c>
      <c r="AZ33" s="175">
        <v>370000000</v>
      </c>
      <c r="BA33" s="175">
        <v>370000000</v>
      </c>
      <c r="BB33" s="175">
        <v>370000000</v>
      </c>
      <c r="BC33" s="175">
        <v>370000000</v>
      </c>
      <c r="BD33" s="175">
        <v>370000000</v>
      </c>
      <c r="BE33" s="175">
        <v>370000000</v>
      </c>
      <c r="BF33" s="175">
        <v>370000000</v>
      </c>
      <c r="BG33" s="175">
        <v>370000000</v>
      </c>
      <c r="BH33" s="175">
        <v>360000000</v>
      </c>
      <c r="BI33" s="175">
        <v>360000000</v>
      </c>
      <c r="BJ33" s="175">
        <v>360000000</v>
      </c>
      <c r="BK33" s="175">
        <v>350000000</v>
      </c>
      <c r="BL33" s="175">
        <v>350000000</v>
      </c>
      <c r="BM33" s="175">
        <v>350000000</v>
      </c>
      <c r="BN33" s="175">
        <v>350000000</v>
      </c>
      <c r="BO33" s="175">
        <v>350000000</v>
      </c>
      <c r="BP33" s="175">
        <v>350000000</v>
      </c>
      <c r="BQ33" s="175">
        <v>350000000</v>
      </c>
      <c r="BR33" s="175">
        <v>350000000</v>
      </c>
      <c r="BS33" s="175">
        <v>350000000</v>
      </c>
      <c r="BT33" s="175">
        <v>350000000</v>
      </c>
      <c r="BU33" s="175">
        <v>350000000</v>
      </c>
      <c r="BW33" s="175">
        <v>239033394</v>
      </c>
      <c r="BX33" s="175">
        <v>239033394</v>
      </c>
      <c r="BY33" s="175">
        <v>239033394</v>
      </c>
      <c r="BZ33" s="175">
        <v>239033394</v>
      </c>
      <c r="CA33" s="175">
        <v>338960220</v>
      </c>
      <c r="CB33" s="175">
        <v>338960220</v>
      </c>
      <c r="CC33" s="175">
        <v>338960220</v>
      </c>
      <c r="CD33" s="175">
        <v>338960220</v>
      </c>
      <c r="CE33" s="175">
        <v>338960220</v>
      </c>
      <c r="CF33" s="175">
        <v>347214936</v>
      </c>
      <c r="CG33" s="175">
        <v>410051876</v>
      </c>
      <c r="CH33" s="175">
        <v>410000000</v>
      </c>
      <c r="CI33" s="175">
        <v>370000000</v>
      </c>
      <c r="CJ33" s="175">
        <v>370000000</v>
      </c>
      <c r="CK33" s="175">
        <v>370000000</v>
      </c>
      <c r="CL33" s="175">
        <v>350000000</v>
      </c>
      <c r="CM33" s="175">
        <v>350000000</v>
      </c>
      <c r="CN33" s="175">
        <v>350000000</v>
      </c>
    </row>
    <row r="34" spans="2:92" x14ac:dyDescent="0.35">
      <c r="B34" s="10"/>
      <c r="C34" s="10"/>
      <c r="D34" s="22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  <c r="BP34" s="160"/>
      <c r="BQ34" s="160"/>
      <c r="BR34" s="160"/>
      <c r="BS34" s="160"/>
      <c r="BT34" s="233"/>
      <c r="BU34" s="233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</row>
    <row r="35" spans="2:92" s="6" customFormat="1" x14ac:dyDescent="0.35">
      <c r="B35" s="31" t="str">
        <f>IF(Control!$D$5=1,"EBITDA Reconciliation","Reconciliação EBITDA")</f>
        <v>Reconciliação EBITDA</v>
      </c>
      <c r="C35" s="31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181"/>
      <c r="BO35" s="181"/>
      <c r="BP35" s="181"/>
      <c r="BQ35" s="181"/>
      <c r="BR35" s="181"/>
      <c r="BS35" s="181"/>
      <c r="BT35" s="234"/>
      <c r="BU35" s="234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</row>
    <row r="36" spans="2:92" x14ac:dyDescent="0.35">
      <c r="B36" s="10" t="str">
        <f>IF(Control!$D$5=1,"Net Income","Lucro Líquido")</f>
        <v>Lucro Líquido</v>
      </c>
      <c r="C36" s="10"/>
      <c r="D36" s="66">
        <f>+D29</f>
        <v>30.864999999999981</v>
      </c>
      <c r="E36" s="71">
        <v>38.844999999999978</v>
      </c>
      <c r="F36" s="71">
        <v>-7.516999999999995</v>
      </c>
      <c r="G36" s="66">
        <f t="shared" ref="G36:AL36" si="57">+G29</f>
        <v>-4.1259999999999284</v>
      </c>
      <c r="H36" s="66">
        <f t="shared" si="57"/>
        <v>27.613299999999978</v>
      </c>
      <c r="I36" s="66">
        <f t="shared" si="57"/>
        <v>26.222699999999996</v>
      </c>
      <c r="J36" s="66">
        <f t="shared" si="57"/>
        <v>8.3019999999999214</v>
      </c>
      <c r="K36" s="66">
        <f t="shared" si="57"/>
        <v>9.2710000000002086</v>
      </c>
      <c r="L36" s="71">
        <f t="shared" si="57"/>
        <v>24.284000000000024</v>
      </c>
      <c r="M36" s="71">
        <f t="shared" si="57"/>
        <v>10.904999999999916</v>
      </c>
      <c r="N36" s="71">
        <f t="shared" si="57"/>
        <v>13.803000000000038</v>
      </c>
      <c r="O36" s="66">
        <f t="shared" si="57"/>
        <v>7.4370000000001157</v>
      </c>
      <c r="P36" s="66">
        <f t="shared" si="57"/>
        <v>26.675999999999995</v>
      </c>
      <c r="Q36" s="66">
        <f t="shared" si="57"/>
        <v>9.1900000000000297</v>
      </c>
      <c r="R36" s="66">
        <f t="shared" si="57"/>
        <v>18.253999999999976</v>
      </c>
      <c r="S36" s="66">
        <f t="shared" si="57"/>
        <v>19.712000000000202</v>
      </c>
      <c r="T36" s="66">
        <f t="shared" si="57"/>
        <v>29.065000000000055</v>
      </c>
      <c r="U36" s="66">
        <f t="shared" si="57"/>
        <v>37.329999999999934</v>
      </c>
      <c r="V36" s="66">
        <f t="shared" si="57"/>
        <v>34.178999999999945</v>
      </c>
      <c r="W36" s="66">
        <f t="shared" si="57"/>
        <v>36.013000000000048</v>
      </c>
      <c r="X36" s="66">
        <f t="shared" si="57"/>
        <v>44.916999999999909</v>
      </c>
      <c r="Y36" s="71">
        <f t="shared" si="57"/>
        <v>27.02000000000011</v>
      </c>
      <c r="Z36" s="71">
        <f t="shared" si="57"/>
        <v>27.330999999999996</v>
      </c>
      <c r="AA36" s="66">
        <f t="shared" si="57"/>
        <v>24.945999999999792</v>
      </c>
      <c r="AB36" s="66">
        <f t="shared" si="57"/>
        <v>40.167999999999978</v>
      </c>
      <c r="AC36" s="66">
        <f t="shared" si="57"/>
        <v>33.34799999999975</v>
      </c>
      <c r="AD36" s="66">
        <f t="shared" si="57"/>
        <v>21.526999999999827</v>
      </c>
      <c r="AE36" s="66">
        <f t="shared" si="57"/>
        <v>9.9170000000007974</v>
      </c>
      <c r="AF36" s="66">
        <f t="shared" si="57"/>
        <v>33.615999999999978</v>
      </c>
      <c r="AG36" s="66">
        <f t="shared" si="57"/>
        <v>32.347999999999828</v>
      </c>
      <c r="AH36" s="66">
        <f t="shared" si="57"/>
        <v>27.627000000000336</v>
      </c>
      <c r="AI36" s="66">
        <f t="shared" si="57"/>
        <v>17.184999999999722</v>
      </c>
      <c r="AJ36" s="66">
        <f t="shared" si="57"/>
        <v>50.83100000000006</v>
      </c>
      <c r="AK36" s="66">
        <f t="shared" si="57"/>
        <v>63.54299999999985</v>
      </c>
      <c r="AL36" s="66">
        <f t="shared" si="57"/>
        <v>67.19000000000004</v>
      </c>
      <c r="AM36" s="66">
        <f t="shared" ref="AM36:BN36" si="58">+AM29</f>
        <v>19.967000000000002</v>
      </c>
      <c r="AN36" s="66">
        <f t="shared" si="58"/>
        <v>61.196999999999996</v>
      </c>
      <c r="AO36" s="66">
        <f t="shared" si="58"/>
        <v>40.318999999999747</v>
      </c>
      <c r="AP36" s="66">
        <f t="shared" si="58"/>
        <v>71.90900000000002</v>
      </c>
      <c r="AQ36" s="66">
        <f t="shared" si="58"/>
        <v>77.269000000000489</v>
      </c>
      <c r="AR36" s="71">
        <f t="shared" si="58"/>
        <v>32.599999999999838</v>
      </c>
      <c r="AS36" s="71">
        <f t="shared" si="58"/>
        <v>79.099999999999895</v>
      </c>
      <c r="AT36" s="71">
        <f t="shared" si="58"/>
        <v>150.30000000000001</v>
      </c>
      <c r="AU36" s="71">
        <f t="shared" si="58"/>
        <v>100.30000000000024</v>
      </c>
      <c r="AV36" s="71">
        <f t="shared" si="58"/>
        <v>49.799999999999947</v>
      </c>
      <c r="AW36" s="71">
        <f t="shared" si="58"/>
        <v>40.115000000000109</v>
      </c>
      <c r="AX36" s="71">
        <f t="shared" si="58"/>
        <v>66.095999999999577</v>
      </c>
      <c r="AY36" s="71">
        <f t="shared" si="58"/>
        <v>83.622999999999891</v>
      </c>
      <c r="AZ36" s="71">
        <f t="shared" si="58"/>
        <v>109.45199999999984</v>
      </c>
      <c r="BA36" s="71">
        <f t="shared" si="58"/>
        <v>138.64400000000001</v>
      </c>
      <c r="BB36" s="71">
        <f t="shared" si="58"/>
        <v>129.50692098000013</v>
      </c>
      <c r="BC36" s="71">
        <f t="shared" si="58"/>
        <v>85.073999999999955</v>
      </c>
      <c r="BD36" s="71">
        <f t="shared" si="58"/>
        <v>108.17600000000022</v>
      </c>
      <c r="BE36" s="71">
        <f t="shared" si="58"/>
        <v>106.52299999999968</v>
      </c>
      <c r="BF36" s="71">
        <f t="shared" si="58"/>
        <v>120.50799999999987</v>
      </c>
      <c r="BG36" s="71">
        <f t="shared" si="58"/>
        <v>143.50900000000044</v>
      </c>
      <c r="BH36" s="71">
        <f t="shared" si="58"/>
        <v>96.824000000000538</v>
      </c>
      <c r="BI36" s="71">
        <f t="shared" si="58"/>
        <v>93.919999999999789</v>
      </c>
      <c r="BJ36" s="71">
        <f t="shared" si="58"/>
        <v>147.08299999999988</v>
      </c>
      <c r="BK36" s="71">
        <f t="shared" si="58"/>
        <v>15.863999999999695</v>
      </c>
      <c r="BL36" s="71">
        <f t="shared" si="58"/>
        <v>64.018789022087347</v>
      </c>
      <c r="BM36" s="71">
        <f t="shared" si="58"/>
        <v>46.859176302020188</v>
      </c>
      <c r="BN36" s="212">
        <f t="shared" si="58"/>
        <v>142.97600000000011</v>
      </c>
      <c r="BO36" s="212">
        <f t="shared" ref="BO36:BT36" si="59">+BO29</f>
        <v>106.59352003468845</v>
      </c>
      <c r="BP36" s="212">
        <f t="shared" si="59"/>
        <v>78.497058315032561</v>
      </c>
      <c r="BQ36" s="212">
        <f t="shared" si="59"/>
        <v>118.76400000000007</v>
      </c>
      <c r="BR36" s="212">
        <f t="shared" si="59"/>
        <v>44.356999999999672</v>
      </c>
      <c r="BS36" s="212">
        <f t="shared" si="59"/>
        <v>-24.619000000000185</v>
      </c>
      <c r="BT36" s="212">
        <f t="shared" si="59"/>
        <v>65.986000000000146</v>
      </c>
      <c r="BU36" s="212">
        <f>BU29</f>
        <v>78.708000000000027</v>
      </c>
      <c r="BW36" s="66">
        <f t="shared" ref="BW36:CL36" si="60">+BW29</f>
        <v>57.448000000000008</v>
      </c>
      <c r="BX36" s="86">
        <f t="shared" si="60"/>
        <v>58.067000000000014</v>
      </c>
      <c r="BY36" s="71">
        <f t="shared" si="60"/>
        <v>71.408999999999907</v>
      </c>
      <c r="BZ36" s="66">
        <f t="shared" si="60"/>
        <v>56.429000000000102</v>
      </c>
      <c r="CA36" s="66">
        <f t="shared" si="60"/>
        <v>73.832000000000107</v>
      </c>
      <c r="CB36" s="66">
        <f t="shared" si="60"/>
        <v>136.58699999999988</v>
      </c>
      <c r="CC36" s="66">
        <f t="shared" si="60"/>
        <v>124.21399999999983</v>
      </c>
      <c r="CD36" s="66">
        <f t="shared" si="60"/>
        <v>104.96</v>
      </c>
      <c r="CE36" s="66">
        <f t="shared" si="60"/>
        <v>110.77600000000029</v>
      </c>
      <c r="CF36" s="66">
        <f t="shared" si="60"/>
        <v>201.59199999999916</v>
      </c>
      <c r="CG36" s="66">
        <f t="shared" si="60"/>
        <v>250.69400000000095</v>
      </c>
      <c r="CH36" s="66">
        <f t="shared" si="60"/>
        <v>362.29999999999944</v>
      </c>
      <c r="CI36" s="66">
        <f t="shared" si="60"/>
        <v>239.63399999999962</v>
      </c>
      <c r="CJ36" s="66">
        <f t="shared" si="60"/>
        <v>462.67600000000164</v>
      </c>
      <c r="CK36" s="66">
        <f t="shared" si="60"/>
        <v>478.71499999999816</v>
      </c>
      <c r="CL36" s="66">
        <f t="shared" si="60"/>
        <v>353.68400000000116</v>
      </c>
      <c r="CM36" s="66">
        <f>+CM29</f>
        <v>360.4500223449736</v>
      </c>
      <c r="CN36" s="66">
        <f>+CN29</f>
        <v>216.99880896745572</v>
      </c>
    </row>
    <row r="37" spans="2:92" s="6" customFormat="1" x14ac:dyDescent="0.35">
      <c r="B37" s="10" t="str">
        <f>IF(Control!$D$5=1,"(-) Net Finacial Result","(-) Resultado Financeiro Líquido")</f>
        <v>(-) Resultado Financeiro Líquido</v>
      </c>
      <c r="C37" s="10"/>
      <c r="D37" s="67">
        <f>-D21</f>
        <v>3.8090000000000002</v>
      </c>
      <c r="E37" s="67">
        <v>8.8429999999999964</v>
      </c>
      <c r="F37" s="67">
        <v>39.274000000000008</v>
      </c>
      <c r="G37" s="67">
        <f t="shared" ref="G37:AL37" si="61">-G21</f>
        <v>6.5470000000000041</v>
      </c>
      <c r="H37" s="67">
        <f t="shared" si="61"/>
        <v>-1.4420000000000002</v>
      </c>
      <c r="I37" s="67">
        <f t="shared" si="61"/>
        <v>4.2489999999999988</v>
      </c>
      <c r="J37" s="67">
        <f t="shared" si="61"/>
        <v>5.0010000000000012</v>
      </c>
      <c r="K37" s="67">
        <f t="shared" si="61"/>
        <v>7.7019999999999946</v>
      </c>
      <c r="L37" s="67">
        <f t="shared" si="61"/>
        <v>6.4510000000000005</v>
      </c>
      <c r="M37" s="67">
        <f t="shared" si="61"/>
        <v>9.4850000000000012</v>
      </c>
      <c r="N37" s="67">
        <f t="shared" si="61"/>
        <v>9.1869999999999976</v>
      </c>
      <c r="O37" s="67">
        <f t="shared" si="61"/>
        <v>10.532000000000002</v>
      </c>
      <c r="P37" s="67">
        <f t="shared" si="61"/>
        <v>8.5830000000000002</v>
      </c>
      <c r="Q37" s="67">
        <f t="shared" si="61"/>
        <v>28.164999999999999</v>
      </c>
      <c r="R37" s="67">
        <f t="shared" si="61"/>
        <v>17.654000000000011</v>
      </c>
      <c r="S37" s="67">
        <f t="shared" si="61"/>
        <v>11.639999999999992</v>
      </c>
      <c r="T37" s="67">
        <f t="shared" si="61"/>
        <v>19.709999999999994</v>
      </c>
      <c r="U37" s="67">
        <f t="shared" si="61"/>
        <v>13.321000000000005</v>
      </c>
      <c r="V37" s="67">
        <f t="shared" si="61"/>
        <v>15.535000000000004</v>
      </c>
      <c r="W37" s="67">
        <f t="shared" si="61"/>
        <v>19.102999999999994</v>
      </c>
      <c r="X37" s="67">
        <f t="shared" si="61"/>
        <v>21.224999999999998</v>
      </c>
      <c r="Y37" s="67">
        <f t="shared" si="61"/>
        <v>33.999000000000002</v>
      </c>
      <c r="Z37" s="67">
        <f t="shared" si="61"/>
        <v>32.29</v>
      </c>
      <c r="AA37" s="67">
        <f t="shared" si="61"/>
        <v>32.078000000000017</v>
      </c>
      <c r="AB37" s="67">
        <f t="shared" si="61"/>
        <v>29.664999999999999</v>
      </c>
      <c r="AC37" s="67">
        <f t="shared" si="61"/>
        <v>33.003999999999998</v>
      </c>
      <c r="AD37" s="67">
        <f t="shared" si="61"/>
        <v>34.630999999999993</v>
      </c>
      <c r="AE37" s="67">
        <f t="shared" si="61"/>
        <v>30.969000000000001</v>
      </c>
      <c r="AF37" s="67">
        <f t="shared" si="61"/>
        <v>27.275000000000002</v>
      </c>
      <c r="AG37" s="67">
        <f t="shared" si="61"/>
        <v>42.408000000000001</v>
      </c>
      <c r="AH37" s="67">
        <f t="shared" si="61"/>
        <v>44.309999999999974</v>
      </c>
      <c r="AI37" s="67">
        <f t="shared" si="61"/>
        <v>41.952000000000012</v>
      </c>
      <c r="AJ37" s="67">
        <f t="shared" si="61"/>
        <v>32.713000000000001</v>
      </c>
      <c r="AK37" s="67">
        <f t="shared" si="61"/>
        <v>52.655999999999985</v>
      </c>
      <c r="AL37" s="67">
        <f t="shared" si="61"/>
        <v>33.31600000000001</v>
      </c>
      <c r="AM37" s="67">
        <f t="shared" ref="AM37:BN37" si="62">-AM21</f>
        <v>39.329000000000008</v>
      </c>
      <c r="AN37" s="67">
        <f t="shared" si="62"/>
        <v>22.795999999999999</v>
      </c>
      <c r="AO37" s="67">
        <f t="shared" si="62"/>
        <v>26.029000000000011</v>
      </c>
      <c r="AP37" s="67">
        <f t="shared" si="62"/>
        <v>12.557000000000002</v>
      </c>
      <c r="AQ37" s="67">
        <f t="shared" si="62"/>
        <v>13.018000000000001</v>
      </c>
      <c r="AR37" s="67">
        <f t="shared" si="62"/>
        <v>12</v>
      </c>
      <c r="AS37" s="67">
        <f t="shared" si="62"/>
        <v>6.1000000000000014</v>
      </c>
      <c r="AT37" s="67">
        <f t="shared" si="62"/>
        <v>-18.799999999999997</v>
      </c>
      <c r="AU37" s="67">
        <f t="shared" si="62"/>
        <v>16.600000000000001</v>
      </c>
      <c r="AV37" s="67">
        <f t="shared" si="62"/>
        <v>10.800000000000004</v>
      </c>
      <c r="AW37" s="67">
        <f t="shared" si="62"/>
        <v>18.206000000000003</v>
      </c>
      <c r="AX37" s="67">
        <f t="shared" si="62"/>
        <v>19.404999999999973</v>
      </c>
      <c r="AY37" s="67">
        <f t="shared" si="62"/>
        <v>13.670999999999999</v>
      </c>
      <c r="AZ37" s="67">
        <f t="shared" si="62"/>
        <v>16.798000000000002</v>
      </c>
      <c r="BA37" s="67">
        <f t="shared" si="62"/>
        <v>14.368000000000009</v>
      </c>
      <c r="BB37" s="67">
        <f t="shared" si="62"/>
        <v>29.432000000000002</v>
      </c>
      <c r="BC37" s="67">
        <f t="shared" si="62"/>
        <v>24.431000000000004</v>
      </c>
      <c r="BD37" s="67">
        <f t="shared" si="62"/>
        <v>25.023000000000003</v>
      </c>
      <c r="BE37" s="67">
        <f t="shared" si="62"/>
        <v>24.476999999999997</v>
      </c>
      <c r="BF37" s="67">
        <f t="shared" si="62"/>
        <v>25.397999999999996</v>
      </c>
      <c r="BG37" s="67">
        <f t="shared" si="62"/>
        <v>52.692000000000007</v>
      </c>
      <c r="BH37" s="67">
        <f t="shared" si="62"/>
        <v>84.921000000000006</v>
      </c>
      <c r="BI37" s="67">
        <f t="shared" si="62"/>
        <v>51.532999999999987</v>
      </c>
      <c r="BJ37" s="67">
        <f t="shared" si="62"/>
        <v>73.833999999999989</v>
      </c>
      <c r="BK37" s="67">
        <f t="shared" si="62"/>
        <v>80.274999999999991</v>
      </c>
      <c r="BL37" s="67">
        <f t="shared" si="62"/>
        <v>105.18200000000002</v>
      </c>
      <c r="BM37" s="67">
        <f t="shared" si="62"/>
        <v>107.91300000000001</v>
      </c>
      <c r="BN37" s="67">
        <f t="shared" si="62"/>
        <v>110.01900000000001</v>
      </c>
      <c r="BO37" s="67">
        <f t="shared" ref="BO37:BT37" si="63">-BO21</f>
        <v>100.61694631559209</v>
      </c>
      <c r="BP37" s="67">
        <f t="shared" si="63"/>
        <v>98.625397196439863</v>
      </c>
      <c r="BQ37" s="67">
        <f t="shared" si="63"/>
        <v>89.453000000000003</v>
      </c>
      <c r="BR37" s="67">
        <f t="shared" si="63"/>
        <v>115.23900000000002</v>
      </c>
      <c r="BS37" s="67">
        <f t="shared" si="63"/>
        <v>161.04899999999998</v>
      </c>
      <c r="BT37" s="67">
        <f t="shared" si="63"/>
        <v>118.36199999999999</v>
      </c>
      <c r="BU37" s="67">
        <f>-BU21</f>
        <v>141.58199999999999</v>
      </c>
      <c r="BW37" s="67">
        <f t="shared" ref="BW37:CL37" si="64">-BW21</f>
        <v>26.641999999999996</v>
      </c>
      <c r="BX37" s="67">
        <f t="shared" si="64"/>
        <v>57.015000000000001</v>
      </c>
      <c r="BY37" s="67">
        <f t="shared" si="64"/>
        <v>15.509999999999998</v>
      </c>
      <c r="BZ37" s="67">
        <f t="shared" si="64"/>
        <v>35.655000000000001</v>
      </c>
      <c r="CA37" s="67">
        <f t="shared" si="64"/>
        <v>66.042000000000002</v>
      </c>
      <c r="CB37" s="67">
        <f t="shared" si="64"/>
        <v>67.668999999999997</v>
      </c>
      <c r="CC37" s="67">
        <f t="shared" si="64"/>
        <v>119.59200000000001</v>
      </c>
      <c r="CD37" s="67">
        <f t="shared" si="64"/>
        <v>128.26900000000001</v>
      </c>
      <c r="CE37" s="67">
        <f t="shared" si="64"/>
        <v>155.94499999999999</v>
      </c>
      <c r="CF37" s="67">
        <f t="shared" si="64"/>
        <v>158.01400000000001</v>
      </c>
      <c r="CG37" s="67">
        <f t="shared" si="64"/>
        <v>74.399999999999991</v>
      </c>
      <c r="CH37" s="67">
        <f t="shared" si="64"/>
        <v>15.900000000000006</v>
      </c>
      <c r="CI37" s="67">
        <f t="shared" si="64"/>
        <v>62.081999999999979</v>
      </c>
      <c r="CJ37" s="67">
        <f t="shared" si="64"/>
        <v>85.028999999999996</v>
      </c>
      <c r="CK37" s="67">
        <f t="shared" si="64"/>
        <v>127.59</v>
      </c>
      <c r="CL37" s="67">
        <f t="shared" si="64"/>
        <v>290.56299999999999</v>
      </c>
      <c r="CM37" s="67">
        <f>-CM21</f>
        <v>423.73094631559206</v>
      </c>
      <c r="CN37" s="67">
        <f>-CN21</f>
        <v>464.36639719643972</v>
      </c>
    </row>
    <row r="38" spans="2:92" s="6" customFormat="1" x14ac:dyDescent="0.35">
      <c r="B38" s="10" t="str">
        <f>IF(Control!$D$5=1,"(+) Income Taxes","(+) Imposto de Renda / CSLL")</f>
        <v>(+) Imposto de Renda / CSLL</v>
      </c>
      <c r="C38" s="10"/>
      <c r="D38" s="67">
        <f>-D26</f>
        <v>10.081999999999999</v>
      </c>
      <c r="E38" s="67">
        <v>11.68</v>
      </c>
      <c r="F38" s="67">
        <v>4.0790000000000024</v>
      </c>
      <c r="G38" s="67">
        <f t="shared" ref="G38:AL38" si="65">-G26</f>
        <v>10.807000000000002</v>
      </c>
      <c r="H38" s="67">
        <f t="shared" si="65"/>
        <v>8.5440000000000005</v>
      </c>
      <c r="I38" s="67">
        <f t="shared" si="65"/>
        <v>-1.4280000000000002</v>
      </c>
      <c r="J38" s="67">
        <f t="shared" si="65"/>
        <v>2.8369999999999989</v>
      </c>
      <c r="K38" s="67">
        <f t="shared" si="65"/>
        <v>7.2440000000000015</v>
      </c>
      <c r="L38" s="67">
        <f t="shared" si="65"/>
        <v>8.5440000000000005</v>
      </c>
      <c r="M38" s="67">
        <f t="shared" si="65"/>
        <v>4.7760000000000007</v>
      </c>
      <c r="N38" s="67">
        <f t="shared" si="65"/>
        <v>2.9039999999999981</v>
      </c>
      <c r="O38" s="67">
        <f t="shared" si="65"/>
        <v>7.7369999999999992</v>
      </c>
      <c r="P38" s="67">
        <f t="shared" si="65"/>
        <v>3.802</v>
      </c>
      <c r="Q38" s="67">
        <f t="shared" si="65"/>
        <v>8.0410000000000004</v>
      </c>
      <c r="R38" s="67">
        <f t="shared" si="65"/>
        <v>4.1899999999999977</v>
      </c>
      <c r="S38" s="67">
        <f t="shared" si="65"/>
        <v>10.052000000000001</v>
      </c>
      <c r="T38" s="67">
        <f t="shared" si="65"/>
        <v>13.131</v>
      </c>
      <c r="U38" s="67">
        <f t="shared" si="65"/>
        <v>10.793999999999999</v>
      </c>
      <c r="V38" s="67">
        <f t="shared" si="65"/>
        <v>24.759000000000004</v>
      </c>
      <c r="W38" s="67">
        <f t="shared" si="65"/>
        <v>3.7829999999999995</v>
      </c>
      <c r="X38" s="67">
        <f t="shared" si="65"/>
        <v>23.677</v>
      </c>
      <c r="Y38" s="67">
        <f t="shared" si="65"/>
        <v>8.9810000000000016</v>
      </c>
      <c r="Z38" s="67">
        <f t="shared" si="65"/>
        <v>6.2829999999999995</v>
      </c>
      <c r="AA38" s="67">
        <f t="shared" si="65"/>
        <v>16.143999999999998</v>
      </c>
      <c r="AB38" s="67">
        <f t="shared" si="65"/>
        <v>15.811</v>
      </c>
      <c r="AC38" s="67">
        <f t="shared" si="65"/>
        <v>6.3460000000000019</v>
      </c>
      <c r="AD38" s="67">
        <f t="shared" si="65"/>
        <v>14.071999999999999</v>
      </c>
      <c r="AE38" s="67">
        <f t="shared" si="65"/>
        <v>15.565999999999995</v>
      </c>
      <c r="AF38" s="67">
        <f t="shared" si="65"/>
        <v>21.35</v>
      </c>
      <c r="AG38" s="67">
        <f t="shared" si="65"/>
        <v>10.249999999999996</v>
      </c>
      <c r="AH38" s="67">
        <f t="shared" si="65"/>
        <v>15.134</v>
      </c>
      <c r="AI38" s="67">
        <f t="shared" si="65"/>
        <v>23.701000000000004</v>
      </c>
      <c r="AJ38" s="67">
        <f t="shared" si="65"/>
        <v>19.824999999999999</v>
      </c>
      <c r="AK38" s="67">
        <f t="shared" si="65"/>
        <v>39.412999999999997</v>
      </c>
      <c r="AL38" s="67">
        <f t="shared" si="65"/>
        <v>23.951000000000004</v>
      </c>
      <c r="AM38" s="67">
        <f t="shared" ref="AM38:BN38" si="66">-AM26</f>
        <v>17.657999999999998</v>
      </c>
      <c r="AN38" s="67">
        <f t="shared" si="66"/>
        <v>22.058</v>
      </c>
      <c r="AO38" s="67">
        <f t="shared" si="66"/>
        <v>25.406000000000002</v>
      </c>
      <c r="AP38" s="67">
        <f t="shared" si="66"/>
        <v>21.198</v>
      </c>
      <c r="AQ38" s="67">
        <f t="shared" si="66"/>
        <v>5.8440000000000012</v>
      </c>
      <c r="AR38" s="67">
        <f t="shared" si="66"/>
        <v>12.700000000000001</v>
      </c>
      <c r="AS38" s="67">
        <f t="shared" si="66"/>
        <v>23.8</v>
      </c>
      <c r="AT38" s="67">
        <f t="shared" si="66"/>
        <v>-3.8000000000000007</v>
      </c>
      <c r="AU38" s="67">
        <f t="shared" si="66"/>
        <v>-29</v>
      </c>
      <c r="AV38" s="67">
        <f t="shared" si="66"/>
        <v>-11.299999999999999</v>
      </c>
      <c r="AW38" s="67">
        <f t="shared" si="66"/>
        <v>-3.3460000000000001</v>
      </c>
      <c r="AX38" s="67">
        <f t="shared" si="66"/>
        <v>11.476999999999999</v>
      </c>
      <c r="AY38" s="67">
        <f t="shared" si="66"/>
        <v>-0.247</v>
      </c>
      <c r="AZ38" s="67">
        <f t="shared" si="66"/>
        <v>29.384</v>
      </c>
      <c r="BA38" s="67">
        <f t="shared" si="66"/>
        <v>13.269</v>
      </c>
      <c r="BB38" s="67">
        <f t="shared" si="66"/>
        <v>36.917999999999999</v>
      </c>
      <c r="BC38" s="67">
        <f t="shared" si="66"/>
        <v>-5.0839999999999996</v>
      </c>
      <c r="BD38" s="67">
        <f t="shared" si="66"/>
        <v>9.5659999999999989</v>
      </c>
      <c r="BE38" s="67">
        <f t="shared" si="66"/>
        <v>19.484000000000002</v>
      </c>
      <c r="BF38" s="67">
        <f t="shared" si="66"/>
        <v>12.917000000000002</v>
      </c>
      <c r="BG38" s="67">
        <f t="shared" si="66"/>
        <v>-11.349</v>
      </c>
      <c r="BH38" s="67">
        <f t="shared" si="66"/>
        <v>8.2629999999999999</v>
      </c>
      <c r="BI38" s="67">
        <f t="shared" si="66"/>
        <v>9.3570000000000011</v>
      </c>
      <c r="BJ38" s="67">
        <f t="shared" si="66"/>
        <v>29.815999999999999</v>
      </c>
      <c r="BK38" s="67">
        <f t="shared" si="66"/>
        <v>-5.8949999999999996</v>
      </c>
      <c r="BL38" s="67">
        <f t="shared" si="66"/>
        <v>-35.497840886089662</v>
      </c>
      <c r="BM38" s="67">
        <f t="shared" si="66"/>
        <v>-7.6239999999999988</v>
      </c>
      <c r="BN38" s="67">
        <f t="shared" si="66"/>
        <v>-70.064999999999998</v>
      </c>
      <c r="BO38" s="67">
        <f t="shared" ref="BO38:BT38" si="67">-BO26</f>
        <v>-18.906920151892248</v>
      </c>
      <c r="BP38" s="67">
        <f t="shared" si="67"/>
        <v>12.527943975904293</v>
      </c>
      <c r="BQ38" s="67">
        <f t="shared" si="67"/>
        <v>13.213000000000001</v>
      </c>
      <c r="BR38" s="67">
        <f t="shared" si="67"/>
        <v>-56.518000000000001</v>
      </c>
      <c r="BS38" s="67">
        <f t="shared" si="67"/>
        <v>-9.5920000000000005</v>
      </c>
      <c r="BT38" s="67">
        <f t="shared" si="67"/>
        <v>-18.123000000000001</v>
      </c>
      <c r="BU38" s="67">
        <f>-BU26</f>
        <v>-36.606999999999999</v>
      </c>
      <c r="BW38" s="67">
        <f t="shared" ref="BW38:CL38" si="68">-BW26</f>
        <v>22.691000000000003</v>
      </c>
      <c r="BX38" s="67">
        <f t="shared" si="68"/>
        <v>36.314</v>
      </c>
      <c r="BY38" s="67">
        <f t="shared" si="68"/>
        <v>17.196999999999999</v>
      </c>
      <c r="BZ38" s="67">
        <f t="shared" si="68"/>
        <v>23.960999999999999</v>
      </c>
      <c r="CA38" s="67">
        <f t="shared" si="68"/>
        <v>26.085000000000001</v>
      </c>
      <c r="CB38" s="67">
        <f t="shared" si="68"/>
        <v>52.466999999999999</v>
      </c>
      <c r="CC38" s="67">
        <f t="shared" si="68"/>
        <v>55.085000000000001</v>
      </c>
      <c r="CD38" s="67">
        <f t="shared" si="68"/>
        <v>51.795000000000002</v>
      </c>
      <c r="CE38" s="67">
        <f t="shared" si="68"/>
        <v>70.435000000000002</v>
      </c>
      <c r="CF38" s="67">
        <f t="shared" si="68"/>
        <v>100.84700000000001</v>
      </c>
      <c r="CG38" s="67">
        <f t="shared" si="68"/>
        <v>74.506</v>
      </c>
      <c r="CH38" s="67">
        <f t="shared" si="68"/>
        <v>3.6999999999999957</v>
      </c>
      <c r="CI38" s="67">
        <f t="shared" si="68"/>
        <v>-3.4160000000000039</v>
      </c>
      <c r="CJ38" s="67">
        <f t="shared" si="68"/>
        <v>74.486999999999995</v>
      </c>
      <c r="CK38" s="67">
        <f t="shared" si="68"/>
        <v>30.617999999999999</v>
      </c>
      <c r="CL38" s="67">
        <f t="shared" si="68"/>
        <v>41.540999999999997</v>
      </c>
      <c r="CM38" s="67">
        <f>-CM26</f>
        <v>-132.09376103798192</v>
      </c>
      <c r="CN38" s="67">
        <f>-CN26</f>
        <v>-40.369056024095698</v>
      </c>
    </row>
    <row r="39" spans="2:92" s="6" customFormat="1" x14ac:dyDescent="0.35">
      <c r="B39" s="10" t="str">
        <f>IF(Control!$D$5=1,"(+) Depreciation and Amortization","(+) Depreciação e Amortização")</f>
        <v>(+) Depreciação e Amortização</v>
      </c>
      <c r="C39" s="10"/>
      <c r="D39" s="136">
        <v>4.4340000000000002</v>
      </c>
      <c r="E39" s="87">
        <v>3.8380000000000001</v>
      </c>
      <c r="F39" s="87">
        <v>5.4309999999999983</v>
      </c>
      <c r="G39" s="86">
        <v>3.4930000000000039</v>
      </c>
      <c r="H39" s="136">
        <v>3.585</v>
      </c>
      <c r="I39" s="137">
        <v>3.8879999999999999</v>
      </c>
      <c r="J39" s="137">
        <v>4.383</v>
      </c>
      <c r="K39" s="137">
        <v>7.3010000000000002</v>
      </c>
      <c r="L39" s="136">
        <v>4.3170000000000002</v>
      </c>
      <c r="M39" s="137">
        <v>6.1470000000000002</v>
      </c>
      <c r="N39" s="137">
        <v>5.2219999999999995</v>
      </c>
      <c r="O39" s="137">
        <v>9.8320000000000007</v>
      </c>
      <c r="P39" s="136">
        <v>8.18</v>
      </c>
      <c r="Q39" s="137">
        <v>9.9649999999999999</v>
      </c>
      <c r="R39" s="137">
        <v>13.276</v>
      </c>
      <c r="S39" s="137">
        <v>11.674000000000007</v>
      </c>
      <c r="T39" s="136">
        <v>11.504</v>
      </c>
      <c r="U39" s="137">
        <v>11.894</v>
      </c>
      <c r="V39" s="137">
        <v>15.279999999999998</v>
      </c>
      <c r="W39" s="137">
        <v>19.557000000000002</v>
      </c>
      <c r="X39" s="136">
        <v>17.053999999999998</v>
      </c>
      <c r="Y39" s="137">
        <f>39.588-X39</f>
        <v>22.534000000000002</v>
      </c>
      <c r="Z39" s="137">
        <v>17.220999999999997</v>
      </c>
      <c r="AA39" s="137">
        <v>19.621000000000009</v>
      </c>
      <c r="AB39" s="136">
        <v>18.381</v>
      </c>
      <c r="AC39" s="137">
        <v>18.228999999999999</v>
      </c>
      <c r="AD39" s="137">
        <v>19.359000000000002</v>
      </c>
      <c r="AE39" s="137">
        <v>20.294000000000004</v>
      </c>
      <c r="AF39" s="136">
        <v>20.748999999999999</v>
      </c>
      <c r="AG39" s="137">
        <v>20.474</v>
      </c>
      <c r="AH39" s="137">
        <v>21.975000000000001</v>
      </c>
      <c r="AI39" s="137">
        <v>22.557000000000009</v>
      </c>
      <c r="AJ39" s="136">
        <v>23.086000000000002</v>
      </c>
      <c r="AK39" s="137">
        <v>21.331999999999997</v>
      </c>
      <c r="AL39" s="137">
        <v>21.270000000000003</v>
      </c>
      <c r="AM39" s="137">
        <v>20.910999999999987</v>
      </c>
      <c r="AN39" s="136">
        <v>21.292999999999999</v>
      </c>
      <c r="AO39" s="137">
        <v>22.501000000000001</v>
      </c>
      <c r="AP39" s="186">
        <v>23.212000000000003</v>
      </c>
      <c r="AQ39" s="186">
        <v>23.194000000000003</v>
      </c>
      <c r="AR39" s="186">
        <v>24.7</v>
      </c>
      <c r="AS39" s="186">
        <v>25.599999999999998</v>
      </c>
      <c r="AT39" s="186">
        <v>23.7</v>
      </c>
      <c r="AU39" s="186">
        <v>27.299999999999997</v>
      </c>
      <c r="AV39" s="186">
        <v>33.699999999999996</v>
      </c>
      <c r="AW39" s="186">
        <v>33.756999999999998</v>
      </c>
      <c r="AX39" s="186">
        <v>36.003</v>
      </c>
      <c r="AY39" s="186">
        <v>40.015000000000001</v>
      </c>
      <c r="AZ39" s="186">
        <v>41.006999999999998</v>
      </c>
      <c r="BA39" s="186">
        <v>41.173999999999999</v>
      </c>
      <c r="BB39" s="186">
        <v>41.113999999999997</v>
      </c>
      <c r="BC39" s="186">
        <v>41.540999999999997</v>
      </c>
      <c r="BD39" s="186">
        <v>41.125999999999998</v>
      </c>
      <c r="BE39" s="186">
        <v>40.590000000000003</v>
      </c>
      <c r="BF39" s="186">
        <v>41.859000000000002</v>
      </c>
      <c r="BG39" s="186">
        <v>49.281999999999996</v>
      </c>
      <c r="BH39" s="186">
        <v>54.600999999999999</v>
      </c>
      <c r="BI39" s="186">
        <v>53.65</v>
      </c>
      <c r="BJ39" s="186">
        <v>59.061</v>
      </c>
      <c r="BK39" s="186">
        <v>66.721000000000004</v>
      </c>
      <c r="BL39" s="186">
        <v>64.8</v>
      </c>
      <c r="BM39" s="186">
        <v>65.23</v>
      </c>
      <c r="BN39" s="186">
        <v>66.349999999999994</v>
      </c>
      <c r="BO39" s="186">
        <v>65.536000000000001</v>
      </c>
      <c r="BP39" s="186">
        <v>64.864000000000004</v>
      </c>
      <c r="BQ39" s="186">
        <v>66.125</v>
      </c>
      <c r="BR39" s="186">
        <v>68.3</v>
      </c>
      <c r="BS39" s="186">
        <v>67.019000000000005</v>
      </c>
      <c r="BT39" s="186">
        <v>66.87</v>
      </c>
      <c r="BU39" s="186">
        <v>66.899000000000001</v>
      </c>
      <c r="BV39" s="197"/>
      <c r="BW39" s="87">
        <v>0</v>
      </c>
      <c r="BX39" s="67">
        <v>17.196000000000002</v>
      </c>
      <c r="BY39" s="136">
        <v>19.157</v>
      </c>
      <c r="BZ39" s="136">
        <v>25.518000000000001</v>
      </c>
      <c r="CA39" s="136">
        <v>43.095000000000006</v>
      </c>
      <c r="CB39" s="136">
        <v>58.234999999999999</v>
      </c>
      <c r="CC39" s="136">
        <v>76.430000000000007</v>
      </c>
      <c r="CD39" s="136">
        <v>76.263000000000005</v>
      </c>
      <c r="CE39" s="136">
        <v>85.75500000000001</v>
      </c>
      <c r="CF39" s="136">
        <v>86.59899999999999</v>
      </c>
      <c r="CG39" s="136">
        <v>90.2</v>
      </c>
      <c r="CH39" s="136">
        <v>101.3</v>
      </c>
      <c r="CI39" s="136">
        <v>143.47499999999999</v>
      </c>
      <c r="CJ39" s="136">
        <v>164.83599999999998</v>
      </c>
      <c r="CK39" s="136">
        <v>172.85700000000003</v>
      </c>
      <c r="CL39" s="136">
        <v>234.03200000000001</v>
      </c>
      <c r="CM39" s="136">
        <v>261.916</v>
      </c>
      <c r="CN39" s="136">
        <v>266.27833205007039</v>
      </c>
    </row>
    <row r="40" spans="2:92" s="6" customFormat="1" x14ac:dyDescent="0.35">
      <c r="B40" s="31" t="str">
        <f>IF(Control!$D$5=1,"(=) EBITDA","(=) EBITDA")</f>
        <v>(=) EBITDA</v>
      </c>
      <c r="C40" s="31"/>
      <c r="D40" s="65">
        <f t="shared" ref="D40:AN40" si="69">SUM(D36:D39)</f>
        <v>49.189999999999976</v>
      </c>
      <c r="E40" s="65">
        <f>SUM(E36:E39)</f>
        <v>63.205999999999975</v>
      </c>
      <c r="F40" s="65">
        <f>SUM(F36:F39)</f>
        <v>41.26700000000001</v>
      </c>
      <c r="G40" s="65">
        <f t="shared" si="69"/>
        <v>16.721000000000082</v>
      </c>
      <c r="H40" s="65">
        <f t="shared" si="69"/>
        <v>38.300299999999979</v>
      </c>
      <c r="I40" s="65">
        <f t="shared" si="69"/>
        <v>32.931699999999992</v>
      </c>
      <c r="J40" s="65">
        <f t="shared" si="69"/>
        <v>20.522999999999922</v>
      </c>
      <c r="K40" s="65">
        <f t="shared" si="69"/>
        <v>31.518000000000207</v>
      </c>
      <c r="L40" s="65">
        <f t="shared" si="69"/>
        <v>43.596000000000025</v>
      </c>
      <c r="M40" s="65">
        <f t="shared" si="69"/>
        <v>31.312999999999917</v>
      </c>
      <c r="N40" s="65">
        <f t="shared" si="69"/>
        <v>31.116000000000035</v>
      </c>
      <c r="O40" s="65">
        <f t="shared" si="69"/>
        <v>35.538000000000117</v>
      </c>
      <c r="P40" s="65">
        <f t="shared" si="69"/>
        <v>47.240999999999993</v>
      </c>
      <c r="Q40" s="65">
        <f t="shared" si="69"/>
        <v>55.361000000000033</v>
      </c>
      <c r="R40" s="65">
        <f t="shared" si="69"/>
        <v>53.373999999999981</v>
      </c>
      <c r="S40" s="65">
        <f t="shared" si="69"/>
        <v>53.078000000000202</v>
      </c>
      <c r="T40" s="65">
        <f t="shared" si="69"/>
        <v>73.410000000000053</v>
      </c>
      <c r="U40" s="65">
        <f t="shared" si="69"/>
        <v>73.338999999999942</v>
      </c>
      <c r="V40" s="65">
        <f t="shared" si="69"/>
        <v>89.752999999999957</v>
      </c>
      <c r="W40" s="65">
        <f t="shared" si="69"/>
        <v>78.456000000000046</v>
      </c>
      <c r="X40" s="65">
        <f t="shared" si="69"/>
        <v>106.87299999999991</v>
      </c>
      <c r="Y40" s="65">
        <f t="shared" si="69"/>
        <v>92.53400000000012</v>
      </c>
      <c r="Z40" s="65">
        <f t="shared" si="69"/>
        <v>83.125</v>
      </c>
      <c r="AA40" s="65">
        <f t="shared" si="69"/>
        <v>92.788999999999817</v>
      </c>
      <c r="AB40" s="65">
        <f t="shared" si="69"/>
        <v>104.02499999999998</v>
      </c>
      <c r="AC40" s="65">
        <f t="shared" si="69"/>
        <v>90.926999999999751</v>
      </c>
      <c r="AD40" s="65">
        <f t="shared" si="69"/>
        <v>89.588999999999828</v>
      </c>
      <c r="AE40" s="65">
        <f t="shared" si="69"/>
        <v>76.746000000000805</v>
      </c>
      <c r="AF40" s="65">
        <f t="shared" si="69"/>
        <v>102.98999999999998</v>
      </c>
      <c r="AG40" s="65">
        <f t="shared" si="69"/>
        <v>105.47999999999983</v>
      </c>
      <c r="AH40" s="65">
        <f t="shared" si="69"/>
        <v>109.0460000000003</v>
      </c>
      <c r="AI40" s="65">
        <f t="shared" si="69"/>
        <v>105.39499999999975</v>
      </c>
      <c r="AJ40" s="65">
        <f t="shared" si="69"/>
        <v>126.45500000000007</v>
      </c>
      <c r="AK40" s="65">
        <f t="shared" si="69"/>
        <v>176.94399999999985</v>
      </c>
      <c r="AL40" s="65">
        <f t="shared" si="69"/>
        <v>145.72700000000006</v>
      </c>
      <c r="AM40" s="65">
        <f t="shared" si="69"/>
        <v>97.864999999999995</v>
      </c>
      <c r="AN40" s="65">
        <f t="shared" si="69"/>
        <v>127.34399999999999</v>
      </c>
      <c r="AO40" s="65">
        <f t="shared" ref="AO40:AT40" si="70">SUM(AO36:AO39)</f>
        <v>114.25499999999977</v>
      </c>
      <c r="AP40" s="65">
        <f t="shared" si="70"/>
        <v>128.87600000000003</v>
      </c>
      <c r="AQ40" s="65">
        <f t="shared" si="70"/>
        <v>119.32500000000049</v>
      </c>
      <c r="AR40" s="65">
        <f t="shared" si="70"/>
        <v>81.999999999999844</v>
      </c>
      <c r="AS40" s="65">
        <f t="shared" si="70"/>
        <v>134.59999999999991</v>
      </c>
      <c r="AT40" s="65">
        <f t="shared" si="70"/>
        <v>151.4</v>
      </c>
      <c r="AU40" s="65">
        <f>SUM(AU36:AU39)</f>
        <v>115.20000000000023</v>
      </c>
      <c r="AV40" s="65">
        <f t="shared" ref="AV40:BD40" si="71">SUM(AV36:AV39)</f>
        <v>82.999999999999943</v>
      </c>
      <c r="AW40" s="65">
        <f t="shared" si="71"/>
        <v>88.732000000000113</v>
      </c>
      <c r="AX40" s="65">
        <f t="shared" si="71"/>
        <v>132.98099999999954</v>
      </c>
      <c r="AY40" s="65">
        <f t="shared" si="71"/>
        <v>137.0619999999999</v>
      </c>
      <c r="AZ40" s="65">
        <f t="shared" si="71"/>
        <v>196.64099999999985</v>
      </c>
      <c r="BA40" s="65">
        <f t="shared" si="71"/>
        <v>207.45500000000001</v>
      </c>
      <c r="BB40" s="65">
        <f t="shared" si="71"/>
        <v>236.97092098000016</v>
      </c>
      <c r="BC40" s="65">
        <f t="shared" si="71"/>
        <v>145.96199999999996</v>
      </c>
      <c r="BD40" s="65">
        <f t="shared" si="71"/>
        <v>183.89100000000022</v>
      </c>
      <c r="BE40" s="65">
        <f t="shared" ref="BE40:BN40" si="72">SUM(BE36:BE39)</f>
        <v>191.0739999999997</v>
      </c>
      <c r="BF40" s="65">
        <f t="shared" si="72"/>
        <v>200.68199999999987</v>
      </c>
      <c r="BG40" s="65">
        <f t="shared" si="72"/>
        <v>234.13400000000047</v>
      </c>
      <c r="BH40" s="65">
        <f t="shared" si="72"/>
        <v>244.60900000000055</v>
      </c>
      <c r="BI40" s="65">
        <f t="shared" si="72"/>
        <v>208.45999999999978</v>
      </c>
      <c r="BJ40" s="65">
        <f t="shared" si="72"/>
        <v>309.79399999999987</v>
      </c>
      <c r="BK40" s="65">
        <f t="shared" si="72"/>
        <v>156.96499999999969</v>
      </c>
      <c r="BL40" s="65">
        <f t="shared" si="72"/>
        <v>198.50294813599771</v>
      </c>
      <c r="BM40" s="65">
        <f t="shared" si="72"/>
        <v>212.37817630202022</v>
      </c>
      <c r="BN40" s="65">
        <f t="shared" si="72"/>
        <v>249.28000000000011</v>
      </c>
      <c r="BO40" s="65">
        <f t="shared" ref="BO40:BU40" si="73">SUM(BO36:BO39)</f>
        <v>253.83954619838829</v>
      </c>
      <c r="BP40" s="65">
        <f t="shared" si="73"/>
        <v>254.51439948737672</v>
      </c>
      <c r="BQ40" s="65">
        <f t="shared" si="73"/>
        <v>287.55500000000006</v>
      </c>
      <c r="BR40" s="65">
        <f t="shared" si="73"/>
        <v>171.3779999999997</v>
      </c>
      <c r="BS40" s="65">
        <f t="shared" si="73"/>
        <v>193.8569999999998</v>
      </c>
      <c r="BT40" s="65">
        <f t="shared" si="73"/>
        <v>233.09500000000014</v>
      </c>
      <c r="BU40" s="239">
        <f t="shared" si="73"/>
        <v>250.58200000000002</v>
      </c>
      <c r="BW40" s="65">
        <f t="shared" ref="BW40:CF40" si="74">SUM(BW36:BW39)</f>
        <v>106.78100000000001</v>
      </c>
      <c r="BX40" s="65">
        <f t="shared" si="74"/>
        <v>168.59200000000001</v>
      </c>
      <c r="BY40" s="65">
        <f t="shared" si="74"/>
        <v>123.2729999999999</v>
      </c>
      <c r="BZ40" s="65">
        <f t="shared" si="74"/>
        <v>141.5630000000001</v>
      </c>
      <c r="CA40" s="65">
        <f t="shared" si="74"/>
        <v>209.05400000000012</v>
      </c>
      <c r="CB40" s="65">
        <f t="shared" si="74"/>
        <v>314.95799999999986</v>
      </c>
      <c r="CC40" s="65">
        <f t="shared" si="74"/>
        <v>375.32099999999986</v>
      </c>
      <c r="CD40" s="65">
        <f t="shared" si="74"/>
        <v>361.28700000000003</v>
      </c>
      <c r="CE40" s="65">
        <f t="shared" si="74"/>
        <v>422.91100000000029</v>
      </c>
      <c r="CF40" s="65">
        <f t="shared" si="74"/>
        <v>547.05199999999923</v>
      </c>
      <c r="CG40" s="65">
        <f t="shared" ref="CG40:CN40" si="75">SUM(CG36:CG39)</f>
        <v>489.80000000000092</v>
      </c>
      <c r="CH40" s="65">
        <f t="shared" si="75"/>
        <v>483.19999999999948</v>
      </c>
      <c r="CI40" s="65">
        <f t="shared" si="75"/>
        <v>441.77499999999964</v>
      </c>
      <c r="CJ40" s="65">
        <f t="shared" si="75"/>
        <v>787.02800000000161</v>
      </c>
      <c r="CK40" s="65">
        <f t="shared" si="75"/>
        <v>809.77999999999815</v>
      </c>
      <c r="CL40" s="65">
        <f t="shared" si="75"/>
        <v>919.82000000000119</v>
      </c>
      <c r="CM40" s="65">
        <f t="shared" si="75"/>
        <v>914.00320762258366</v>
      </c>
      <c r="CN40" s="65">
        <f t="shared" si="75"/>
        <v>907.27448218987013</v>
      </c>
    </row>
    <row r="41" spans="2:92" ht="12" customHeight="1" x14ac:dyDescent="0.35">
      <c r="B41" s="10"/>
      <c r="C41" s="10"/>
      <c r="D41" s="71"/>
      <c r="E41" s="87"/>
      <c r="F41" s="87"/>
      <c r="G41" s="87"/>
      <c r="H41" s="71"/>
      <c r="I41" s="87"/>
      <c r="J41" s="87"/>
      <c r="K41" s="87"/>
      <c r="L41" s="71"/>
      <c r="M41" s="87"/>
      <c r="N41" s="87"/>
      <c r="O41" s="87"/>
      <c r="P41" s="71"/>
      <c r="Q41" s="87"/>
      <c r="R41" s="87"/>
      <c r="S41" s="87"/>
      <c r="T41" s="71"/>
      <c r="U41" s="87"/>
      <c r="V41" s="87"/>
      <c r="W41" s="87"/>
      <c r="X41" s="87"/>
      <c r="Y41" s="87"/>
      <c r="Z41" s="87"/>
      <c r="AA41" s="87"/>
      <c r="AB41" s="71"/>
      <c r="AC41" s="87"/>
      <c r="AD41" s="87"/>
      <c r="AE41" s="87"/>
      <c r="AF41" s="71"/>
      <c r="AG41" s="87"/>
      <c r="AH41" s="87"/>
      <c r="AI41" s="87"/>
      <c r="AJ41" s="71"/>
      <c r="AK41" s="87"/>
      <c r="AL41" s="87"/>
      <c r="AM41" s="87"/>
      <c r="AN41" s="71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203"/>
      <c r="BM41" s="203"/>
      <c r="BN41" s="87"/>
      <c r="BO41" s="87"/>
      <c r="BP41" s="87"/>
      <c r="BQ41" s="87"/>
      <c r="BR41" s="87"/>
      <c r="BS41" s="87"/>
      <c r="BT41" s="232"/>
      <c r="BU41" s="232"/>
      <c r="BW41" s="87"/>
      <c r="BX41" s="87"/>
      <c r="BY41" s="87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</row>
    <row r="42" spans="2:92" x14ac:dyDescent="0.35">
      <c r="B42" s="10" t="str">
        <f>IF(Control!$D$5=1,"(-) Non Recurring Revenues/Expenses","(-) Receitas/Despesas Não Recorrentes")</f>
        <v>(-) Receitas/Despesas Não Recorrentes</v>
      </c>
      <c r="C42" s="10"/>
      <c r="D42" s="87">
        <v>0</v>
      </c>
      <c r="E42" s="87">
        <v>0</v>
      </c>
      <c r="F42" s="87">
        <v>0</v>
      </c>
      <c r="G42" s="87">
        <v>0</v>
      </c>
      <c r="H42" s="87">
        <v>0</v>
      </c>
      <c r="I42" s="87">
        <v>0</v>
      </c>
      <c r="J42" s="87">
        <v>0</v>
      </c>
      <c r="K42" s="87">
        <v>0</v>
      </c>
      <c r="L42" s="87">
        <v>0</v>
      </c>
      <c r="M42" s="87">
        <v>0</v>
      </c>
      <c r="N42" s="87">
        <v>0</v>
      </c>
      <c r="O42" s="87">
        <v>0</v>
      </c>
      <c r="P42" s="87">
        <v>0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v>0</v>
      </c>
      <c r="W42" s="87">
        <v>0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87">
        <v>0</v>
      </c>
      <c r="AD42" s="87">
        <v>0</v>
      </c>
      <c r="AE42" s="87">
        <v>0</v>
      </c>
      <c r="AF42" s="87">
        <v>0</v>
      </c>
      <c r="AG42" s="87">
        <v>0</v>
      </c>
      <c r="AH42" s="87">
        <v>0</v>
      </c>
      <c r="AI42" s="87">
        <v>0</v>
      </c>
      <c r="AJ42" s="87">
        <v>0</v>
      </c>
      <c r="AK42" s="87">
        <v>0</v>
      </c>
      <c r="AL42" s="87">
        <v>0</v>
      </c>
      <c r="AM42" s="87">
        <v>0</v>
      </c>
      <c r="AN42" s="87">
        <v>0</v>
      </c>
      <c r="AO42" s="87">
        <v>0</v>
      </c>
      <c r="AP42" s="87">
        <v>0</v>
      </c>
      <c r="AQ42" s="87">
        <v>0</v>
      </c>
      <c r="AR42" s="87">
        <v>0</v>
      </c>
      <c r="AS42" s="87">
        <v>15.3</v>
      </c>
      <c r="AT42" s="87">
        <v>36</v>
      </c>
      <c r="AU42" s="87">
        <v>27.900000000000002</v>
      </c>
      <c r="AV42" s="87">
        <v>0</v>
      </c>
      <c r="AW42" s="87">
        <v>0</v>
      </c>
      <c r="AX42" s="87">
        <v>0</v>
      </c>
      <c r="AY42" s="87">
        <v>0</v>
      </c>
      <c r="AZ42" s="87">
        <v>0</v>
      </c>
      <c r="BA42" s="87">
        <v>0</v>
      </c>
      <c r="BB42" s="87">
        <v>0</v>
      </c>
      <c r="BC42" s="87">
        <v>0</v>
      </c>
      <c r="BD42" s="87">
        <v>0</v>
      </c>
      <c r="BE42" s="87">
        <v>0</v>
      </c>
      <c r="BF42" s="87">
        <v>0</v>
      </c>
      <c r="BG42" s="87">
        <v>88.363928230274013</v>
      </c>
      <c r="BH42" s="87">
        <v>0</v>
      </c>
      <c r="BI42" s="87">
        <v>0</v>
      </c>
      <c r="BJ42" s="87">
        <v>141.7227</v>
      </c>
      <c r="BK42" s="87">
        <v>0</v>
      </c>
      <c r="BL42" s="87">
        <v>0</v>
      </c>
      <c r="BM42" s="87">
        <v>0</v>
      </c>
      <c r="BN42" s="87">
        <v>0</v>
      </c>
      <c r="BO42" s="87">
        <v>0</v>
      </c>
      <c r="BP42" s="87">
        <v>0</v>
      </c>
      <c r="BQ42" s="87">
        <v>0</v>
      </c>
      <c r="BR42" s="87">
        <v>24.477999999999998</v>
      </c>
      <c r="BS42" s="87">
        <v>-33.4</v>
      </c>
      <c r="BT42" s="232">
        <v>0</v>
      </c>
      <c r="BU42" s="232">
        <v>0</v>
      </c>
      <c r="BW42" s="87">
        <v>0</v>
      </c>
      <c r="BX42" s="87">
        <v>0</v>
      </c>
      <c r="BY42" s="87">
        <v>0</v>
      </c>
      <c r="BZ42" s="87">
        <v>0</v>
      </c>
      <c r="CA42" s="87">
        <v>0</v>
      </c>
      <c r="CB42" s="87">
        <v>0</v>
      </c>
      <c r="CC42" s="87">
        <v>0</v>
      </c>
      <c r="CD42" s="87">
        <v>0</v>
      </c>
      <c r="CE42" s="87">
        <v>0</v>
      </c>
      <c r="CF42" s="87">
        <v>0</v>
      </c>
      <c r="CG42" s="87">
        <v>0</v>
      </c>
      <c r="CH42" s="136">
        <v>79.2</v>
      </c>
      <c r="CI42" s="87">
        <v>0</v>
      </c>
      <c r="CJ42" s="87">
        <v>0</v>
      </c>
      <c r="CK42" s="136">
        <v>88.363928230274013</v>
      </c>
      <c r="CL42" s="201">
        <v>141.69999999999999</v>
      </c>
      <c r="CM42" s="87">
        <v>0</v>
      </c>
      <c r="CN42" s="87">
        <v>-8.9220000000000006</v>
      </c>
    </row>
    <row r="43" spans="2:92" s="6" customFormat="1" x14ac:dyDescent="0.35">
      <c r="B43" s="31" t="str">
        <f>IF(Control!$D$5=1,"(=) Adjusted EBITDA","(=) EBITDA Ajustado")</f>
        <v>(=) EBITDA Ajustado</v>
      </c>
      <c r="C43" s="31"/>
      <c r="D43" s="65">
        <f t="shared" ref="D43:BF43" si="76">+D40-D42</f>
        <v>49.189999999999976</v>
      </c>
      <c r="E43" s="65">
        <f t="shared" si="76"/>
        <v>63.205999999999975</v>
      </c>
      <c r="F43" s="65">
        <f t="shared" si="76"/>
        <v>41.26700000000001</v>
      </c>
      <c r="G43" s="65">
        <f t="shared" si="76"/>
        <v>16.721000000000082</v>
      </c>
      <c r="H43" s="65">
        <f t="shared" si="76"/>
        <v>38.300299999999979</v>
      </c>
      <c r="I43" s="65">
        <f t="shared" si="76"/>
        <v>32.931699999999992</v>
      </c>
      <c r="J43" s="65">
        <f t="shared" si="76"/>
        <v>20.522999999999922</v>
      </c>
      <c r="K43" s="65">
        <f t="shared" si="76"/>
        <v>31.518000000000207</v>
      </c>
      <c r="L43" s="65">
        <f t="shared" si="76"/>
        <v>43.596000000000025</v>
      </c>
      <c r="M43" s="65">
        <f t="shared" si="76"/>
        <v>31.312999999999917</v>
      </c>
      <c r="N43" s="65">
        <f t="shared" si="76"/>
        <v>31.116000000000035</v>
      </c>
      <c r="O43" s="65">
        <f t="shared" si="76"/>
        <v>35.538000000000117</v>
      </c>
      <c r="P43" s="65">
        <f t="shared" si="76"/>
        <v>47.240999999999993</v>
      </c>
      <c r="Q43" s="65">
        <f t="shared" si="76"/>
        <v>55.361000000000033</v>
      </c>
      <c r="R43" s="65">
        <f t="shared" si="76"/>
        <v>53.373999999999981</v>
      </c>
      <c r="S43" s="65">
        <f t="shared" si="76"/>
        <v>53.078000000000202</v>
      </c>
      <c r="T43" s="65">
        <f t="shared" si="76"/>
        <v>73.410000000000053</v>
      </c>
      <c r="U43" s="65">
        <f t="shared" si="76"/>
        <v>73.338999999999942</v>
      </c>
      <c r="V43" s="65">
        <f t="shared" si="76"/>
        <v>89.752999999999957</v>
      </c>
      <c r="W43" s="65">
        <f t="shared" si="76"/>
        <v>78.456000000000046</v>
      </c>
      <c r="X43" s="65">
        <f t="shared" si="76"/>
        <v>106.87299999999991</v>
      </c>
      <c r="Y43" s="65">
        <f t="shared" si="76"/>
        <v>92.53400000000012</v>
      </c>
      <c r="Z43" s="65">
        <f t="shared" si="76"/>
        <v>83.125</v>
      </c>
      <c r="AA43" s="65">
        <f t="shared" si="76"/>
        <v>92.788999999999817</v>
      </c>
      <c r="AB43" s="65">
        <f t="shared" si="76"/>
        <v>104.02499999999998</v>
      </c>
      <c r="AC43" s="65">
        <f t="shared" si="76"/>
        <v>90.926999999999751</v>
      </c>
      <c r="AD43" s="65">
        <f t="shared" si="76"/>
        <v>89.588999999999828</v>
      </c>
      <c r="AE43" s="65">
        <f t="shared" si="76"/>
        <v>76.746000000000805</v>
      </c>
      <c r="AF43" s="65">
        <f t="shared" si="76"/>
        <v>102.98999999999998</v>
      </c>
      <c r="AG43" s="65">
        <f t="shared" si="76"/>
        <v>105.47999999999983</v>
      </c>
      <c r="AH43" s="65">
        <f t="shared" si="76"/>
        <v>109.0460000000003</v>
      </c>
      <c r="AI43" s="65">
        <f t="shared" si="76"/>
        <v>105.39499999999975</v>
      </c>
      <c r="AJ43" s="65">
        <f t="shared" si="76"/>
        <v>126.45500000000007</v>
      </c>
      <c r="AK43" s="65">
        <f t="shared" si="76"/>
        <v>176.94399999999985</v>
      </c>
      <c r="AL43" s="65">
        <f t="shared" si="76"/>
        <v>145.72700000000006</v>
      </c>
      <c r="AM43" s="65">
        <f t="shared" si="76"/>
        <v>97.864999999999995</v>
      </c>
      <c r="AN43" s="65">
        <f t="shared" si="76"/>
        <v>127.34399999999999</v>
      </c>
      <c r="AO43" s="65">
        <f t="shared" si="76"/>
        <v>114.25499999999977</v>
      </c>
      <c r="AP43" s="65">
        <f t="shared" si="76"/>
        <v>128.87600000000003</v>
      </c>
      <c r="AQ43" s="65">
        <f t="shared" si="76"/>
        <v>119.32500000000049</v>
      </c>
      <c r="AR43" s="65">
        <f t="shared" si="76"/>
        <v>81.999999999999844</v>
      </c>
      <c r="AS43" s="65">
        <f t="shared" si="76"/>
        <v>119.29999999999991</v>
      </c>
      <c r="AT43" s="65">
        <f t="shared" si="76"/>
        <v>115.4</v>
      </c>
      <c r="AU43" s="65">
        <f t="shared" si="76"/>
        <v>87.300000000000225</v>
      </c>
      <c r="AV43" s="65">
        <f t="shared" si="76"/>
        <v>82.999999999999943</v>
      </c>
      <c r="AW43" s="65">
        <f t="shared" si="76"/>
        <v>88.732000000000113</v>
      </c>
      <c r="AX43" s="65">
        <f t="shared" si="76"/>
        <v>132.98099999999954</v>
      </c>
      <c r="AY43" s="65">
        <f t="shared" si="76"/>
        <v>137.0619999999999</v>
      </c>
      <c r="AZ43" s="65">
        <f t="shared" si="76"/>
        <v>196.64099999999985</v>
      </c>
      <c r="BA43" s="65">
        <f t="shared" si="76"/>
        <v>207.45500000000001</v>
      </c>
      <c r="BB43" s="65">
        <f t="shared" si="76"/>
        <v>236.97092098000016</v>
      </c>
      <c r="BC43" s="65">
        <f t="shared" si="76"/>
        <v>145.96199999999996</v>
      </c>
      <c r="BD43" s="65">
        <f t="shared" si="76"/>
        <v>183.89100000000022</v>
      </c>
      <c r="BE43" s="65">
        <f t="shared" si="76"/>
        <v>191.0739999999997</v>
      </c>
      <c r="BF43" s="65">
        <f t="shared" si="76"/>
        <v>200.68199999999987</v>
      </c>
      <c r="BG43" s="65">
        <f t="shared" ref="BG43:BQ43" si="77">+BG40-BG42</f>
        <v>145.77007176972646</v>
      </c>
      <c r="BH43" s="65">
        <f t="shared" si="77"/>
        <v>244.60900000000055</v>
      </c>
      <c r="BI43" s="65">
        <f t="shared" si="77"/>
        <v>208.45999999999978</v>
      </c>
      <c r="BJ43" s="65">
        <f t="shared" si="77"/>
        <v>168.07129999999987</v>
      </c>
      <c r="BK43" s="65">
        <f t="shared" si="77"/>
        <v>156.96499999999969</v>
      </c>
      <c r="BL43" s="114">
        <f t="shared" si="77"/>
        <v>198.50294813599771</v>
      </c>
      <c r="BM43" s="114">
        <f t="shared" si="77"/>
        <v>212.37817630202022</v>
      </c>
      <c r="BN43" s="65">
        <f t="shared" si="77"/>
        <v>249.28000000000011</v>
      </c>
      <c r="BO43" s="65">
        <f t="shared" si="77"/>
        <v>253.83954619838829</v>
      </c>
      <c r="BP43" s="65">
        <f t="shared" si="77"/>
        <v>254.51439948737672</v>
      </c>
      <c r="BQ43" s="65">
        <f t="shared" si="77"/>
        <v>287.55500000000006</v>
      </c>
      <c r="BR43" s="65">
        <f>+BR40+BR42</f>
        <v>195.85599999999971</v>
      </c>
      <c r="BS43" s="65">
        <f>+BS40+BS42</f>
        <v>160.45699999999979</v>
      </c>
      <c r="BT43" s="65">
        <f>+BT40+BT42</f>
        <v>233.09500000000014</v>
      </c>
      <c r="BU43" s="239">
        <f>BU40+BU42</f>
        <v>250.58200000000002</v>
      </c>
      <c r="BW43" s="65">
        <f t="shared" ref="BW43:CK43" si="78">BW40-BW42</f>
        <v>106.78100000000001</v>
      </c>
      <c r="BX43" s="65">
        <f t="shared" si="78"/>
        <v>168.59200000000001</v>
      </c>
      <c r="BY43" s="65">
        <f t="shared" si="78"/>
        <v>123.2729999999999</v>
      </c>
      <c r="BZ43" s="65">
        <f t="shared" si="78"/>
        <v>141.5630000000001</v>
      </c>
      <c r="CA43" s="65">
        <f t="shared" si="78"/>
        <v>209.05400000000012</v>
      </c>
      <c r="CB43" s="65">
        <f t="shared" si="78"/>
        <v>314.95799999999986</v>
      </c>
      <c r="CC43" s="65">
        <f t="shared" si="78"/>
        <v>375.32099999999986</v>
      </c>
      <c r="CD43" s="65">
        <f t="shared" si="78"/>
        <v>361.28700000000003</v>
      </c>
      <c r="CE43" s="65">
        <f t="shared" si="78"/>
        <v>422.91100000000029</v>
      </c>
      <c r="CF43" s="65">
        <f t="shared" si="78"/>
        <v>547.05199999999923</v>
      </c>
      <c r="CG43" s="65">
        <f t="shared" si="78"/>
        <v>489.80000000000092</v>
      </c>
      <c r="CH43" s="65">
        <f t="shared" si="78"/>
        <v>403.99999999999949</v>
      </c>
      <c r="CI43" s="65">
        <f t="shared" si="78"/>
        <v>441.77499999999964</v>
      </c>
      <c r="CJ43" s="65">
        <f t="shared" si="78"/>
        <v>787.02800000000161</v>
      </c>
      <c r="CK43" s="65">
        <f t="shared" si="78"/>
        <v>721.41607176972411</v>
      </c>
      <c r="CL43" s="65">
        <f>CL40-CL42</f>
        <v>778.12000000000126</v>
      </c>
      <c r="CM43" s="65">
        <f>CM40-CM42</f>
        <v>914.00320762258366</v>
      </c>
      <c r="CN43" s="65">
        <f>CN40+CN42</f>
        <v>898.3524821898701</v>
      </c>
    </row>
    <row r="44" spans="2:92" ht="12" customHeight="1" x14ac:dyDescent="0.35">
      <c r="B44" s="10"/>
      <c r="C44" s="10"/>
      <c r="D44" s="71"/>
      <c r="E44" s="87"/>
      <c r="F44" s="87"/>
      <c r="G44" s="87"/>
      <c r="H44" s="71"/>
      <c r="I44" s="87"/>
      <c r="J44" s="87"/>
      <c r="K44" s="87"/>
      <c r="L44" s="71"/>
      <c r="M44" s="87"/>
      <c r="N44" s="87"/>
      <c r="O44" s="87"/>
      <c r="P44" s="71"/>
      <c r="Q44" s="87"/>
      <c r="R44" s="87"/>
      <c r="S44" s="87"/>
      <c r="T44" s="71"/>
      <c r="U44" s="87"/>
      <c r="V44" s="87"/>
      <c r="W44" s="87"/>
      <c r="X44" s="87"/>
      <c r="Y44" s="87"/>
      <c r="Z44" s="87"/>
      <c r="AA44" s="87"/>
      <c r="AB44" s="71"/>
      <c r="AC44" s="87"/>
      <c r="AD44" s="87"/>
      <c r="AE44" s="87"/>
      <c r="AF44" s="71"/>
      <c r="AG44" s="87"/>
      <c r="AH44" s="87"/>
      <c r="AI44" s="87"/>
      <c r="AJ44" s="71"/>
      <c r="AK44" s="87"/>
      <c r="AL44" s="87"/>
      <c r="AM44" s="87"/>
      <c r="AN44" s="71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203"/>
      <c r="BM44" s="203"/>
      <c r="BN44" s="213"/>
      <c r="BO44" s="213"/>
      <c r="BP44" s="213"/>
      <c r="BQ44" s="213"/>
      <c r="BR44" s="213"/>
      <c r="BS44" s="87"/>
      <c r="BT44" s="232"/>
      <c r="BU44" s="232"/>
      <c r="BW44" s="87"/>
      <c r="BX44" s="87"/>
      <c r="BY44" s="87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</row>
    <row r="45" spans="2:92" s="6" customFormat="1" x14ac:dyDescent="0.35">
      <c r="B45" s="33" t="str">
        <f>IF(Control!$D$5=1,"Operating Metrics and Margins","Crescimento e Margens")</f>
        <v>Crescimento e Margens</v>
      </c>
      <c r="C45" s="33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204"/>
      <c r="BM45" s="204"/>
      <c r="BN45" s="214"/>
      <c r="BO45" s="214"/>
      <c r="BP45" s="214"/>
      <c r="BQ45" s="214"/>
      <c r="BR45" s="214"/>
      <c r="BS45" s="214"/>
      <c r="BT45" s="235"/>
      <c r="BU45" s="245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</row>
    <row r="46" spans="2:92" s="20" customFormat="1" x14ac:dyDescent="0.35">
      <c r="B46" s="34" t="str">
        <f>IF(Control!$D$5=1,"Gross Revenues Growth YoY","Receita Bruta - Var. YoY (%)")</f>
        <v>Receita Bruta - Var. YoY (%)</v>
      </c>
      <c r="C46" s="34"/>
      <c r="D46" s="35" t="s">
        <v>4</v>
      </c>
      <c r="E46" s="35" t="s">
        <v>4</v>
      </c>
      <c r="F46" s="35" t="s">
        <v>4</v>
      </c>
      <c r="G46" s="35" t="s">
        <v>4</v>
      </c>
      <c r="H46" s="35">
        <f t="shared" ref="H46:AM46" si="79">IF(ISERROR(H9/D9-1),"--  ",H9/D9-1)</f>
        <v>0.1615376252141385</v>
      </c>
      <c r="I46" s="35">
        <f t="shared" si="79"/>
        <v>-0.16565118577988014</v>
      </c>
      <c r="J46" s="35">
        <f t="shared" si="79"/>
        <v>-0.25738113518020289</v>
      </c>
      <c r="K46" s="35">
        <f t="shared" si="79"/>
        <v>-0.17998212892060939</v>
      </c>
      <c r="L46" s="35">
        <f t="shared" si="79"/>
        <v>8.1686656159638549E-3</v>
      </c>
      <c r="M46" s="35">
        <f t="shared" si="79"/>
        <v>0.1083924117560755</v>
      </c>
      <c r="N46" s="35">
        <f t="shared" si="79"/>
        <v>0.20612430496514866</v>
      </c>
      <c r="O46" s="35">
        <f t="shared" si="79"/>
        <v>1.0253991111552452E-2</v>
      </c>
      <c r="P46" s="35">
        <f t="shared" si="79"/>
        <v>3.2201646090534997E-2</v>
      </c>
      <c r="Q46" s="35">
        <f t="shared" si="79"/>
        <v>0.18470325849964664</v>
      </c>
      <c r="R46" s="35">
        <f t="shared" si="79"/>
        <v>0.33944320958848562</v>
      </c>
      <c r="S46" s="35">
        <f t="shared" si="79"/>
        <v>0.51068785669424677</v>
      </c>
      <c r="T46" s="35">
        <f t="shared" si="79"/>
        <v>0.61206068753600951</v>
      </c>
      <c r="U46" s="35">
        <f t="shared" si="79"/>
        <v>0.43063619153627886</v>
      </c>
      <c r="V46" s="35">
        <f t="shared" si="79"/>
        <v>0.73409539736064722</v>
      </c>
      <c r="W46" s="35">
        <f t="shared" si="79"/>
        <v>0.65765713655647051</v>
      </c>
      <c r="X46" s="35">
        <f t="shared" si="79"/>
        <v>0.47515102710495416</v>
      </c>
      <c r="Y46" s="35">
        <f t="shared" si="79"/>
        <v>0.50717477027178393</v>
      </c>
      <c r="Z46" s="35">
        <f t="shared" si="79"/>
        <v>0.10113269635024769</v>
      </c>
      <c r="AA46" s="35">
        <f t="shared" si="79"/>
        <v>0.13729139950974001</v>
      </c>
      <c r="AB46" s="35">
        <f t="shared" si="79"/>
        <v>7.4988933880318465E-2</v>
      </c>
      <c r="AC46" s="35">
        <f t="shared" si="79"/>
        <v>-3.2400903001632564E-3</v>
      </c>
      <c r="AD46" s="35">
        <f t="shared" si="79"/>
        <v>2.0119076199164532E-2</v>
      </c>
      <c r="AE46" s="35">
        <f t="shared" si="79"/>
        <v>1.5508610514790133E-2</v>
      </c>
      <c r="AF46" s="35">
        <f t="shared" si="79"/>
        <v>5.0906933088365358E-2</v>
      </c>
      <c r="AG46" s="35">
        <f t="shared" si="79"/>
        <v>0.14750509319792027</v>
      </c>
      <c r="AH46" s="35">
        <f t="shared" si="79"/>
        <v>0.22986422868847955</v>
      </c>
      <c r="AI46" s="35">
        <f t="shared" si="79"/>
        <v>0.22886500796869913</v>
      </c>
      <c r="AJ46" s="35">
        <f t="shared" si="79"/>
        <v>0.18589030113166438</v>
      </c>
      <c r="AK46" s="35">
        <f t="shared" si="79"/>
        <v>0.25519327656388091</v>
      </c>
      <c r="AL46" s="35">
        <f t="shared" si="79"/>
        <v>0.12967150049828291</v>
      </c>
      <c r="AM46" s="35">
        <f t="shared" si="79"/>
        <v>0.13022830559066323</v>
      </c>
      <c r="AN46" s="35">
        <f t="shared" ref="AN46:BU46" si="80">IF(ISERROR(AN9/AJ9-1),"--  ",AN9/AJ9-1)</f>
        <v>8.9187920871406368E-2</v>
      </c>
      <c r="AO46" s="35">
        <f t="shared" si="80"/>
        <v>-8.6523433642758163E-2</v>
      </c>
      <c r="AP46" s="35">
        <f t="shared" si="80"/>
        <v>-8.4998306118300726E-2</v>
      </c>
      <c r="AQ46" s="35">
        <f t="shared" si="80"/>
        <v>-0.10528040308814879</v>
      </c>
      <c r="AR46" s="35">
        <f t="shared" si="80"/>
        <v>-0.17479795545492249</v>
      </c>
      <c r="AS46" s="35">
        <f t="shared" si="80"/>
        <v>-1.3247649790885441E-2</v>
      </c>
      <c r="AT46" s="35">
        <f t="shared" si="80"/>
        <v>8.3415836635316598E-2</v>
      </c>
      <c r="AU46" s="35">
        <f t="shared" si="80"/>
        <v>0.16876910371068798</v>
      </c>
      <c r="AV46" s="35">
        <f t="shared" si="80"/>
        <v>0.23567365650734362</v>
      </c>
      <c r="AW46" s="35">
        <f t="shared" si="80"/>
        <v>5.9718192807494797E-2</v>
      </c>
      <c r="AX46" s="35">
        <f t="shared" si="80"/>
        <v>0.13195201968423209</v>
      </c>
      <c r="AY46" s="35">
        <f t="shared" si="80"/>
        <v>0.12910290580510941</v>
      </c>
      <c r="AZ46" s="35">
        <f t="shared" si="80"/>
        <v>0.3515279972518035</v>
      </c>
      <c r="BA46" s="35">
        <f t="shared" si="80"/>
        <v>0.54057019498190195</v>
      </c>
      <c r="BB46" s="35">
        <f t="shared" si="80"/>
        <v>0.36257443939863276</v>
      </c>
      <c r="BC46" s="35">
        <f t="shared" si="80"/>
        <v>0.2156181792953995</v>
      </c>
      <c r="BD46" s="35">
        <f t="shared" si="80"/>
        <v>0.3081911944646798</v>
      </c>
      <c r="BE46" s="35">
        <f t="shared" si="80"/>
        <v>0.16400061086506823</v>
      </c>
      <c r="BF46" s="35">
        <f t="shared" si="80"/>
        <v>0.14752024721579415</v>
      </c>
      <c r="BG46" s="35">
        <f t="shared" si="80"/>
        <v>0.22341937078894358</v>
      </c>
      <c r="BH46" s="35">
        <f t="shared" si="80"/>
        <v>6.9079240089111593E-2</v>
      </c>
      <c r="BI46" s="35">
        <f t="shared" si="80"/>
        <v>0.21690294499084373</v>
      </c>
      <c r="BJ46" s="35">
        <f t="shared" si="80"/>
        <v>0.14932072877808422</v>
      </c>
      <c r="BK46" s="35">
        <f t="shared" si="80"/>
        <v>0.14602875962735173</v>
      </c>
      <c r="BL46" s="205">
        <f t="shared" si="80"/>
        <v>0.12054844909958495</v>
      </c>
      <c r="BM46" s="205">
        <f t="shared" si="80"/>
        <v>8.7513150070896328E-2</v>
      </c>
      <c r="BN46" s="205">
        <f t="shared" si="80"/>
        <v>0.15368495255042314</v>
      </c>
      <c r="BO46" s="205">
        <f t="shared" si="80"/>
        <v>5.6978611971442161E-2</v>
      </c>
      <c r="BP46" s="205">
        <f t="shared" si="80"/>
        <v>9.1937722077081174E-2</v>
      </c>
      <c r="BQ46" s="205">
        <f t="shared" si="80"/>
        <v>0.12323976877334619</v>
      </c>
      <c r="BR46" s="205">
        <f t="shared" si="80"/>
        <v>3.5348500456225285E-2</v>
      </c>
      <c r="BS46" s="205">
        <f t="shared" si="80"/>
        <v>0.10681752340209294</v>
      </c>
      <c r="BT46" s="205">
        <f t="shared" si="80"/>
        <v>-7.2113987833360094E-2</v>
      </c>
      <c r="BU46" s="205">
        <f t="shared" si="80"/>
        <v>-8.245268404571604E-2</v>
      </c>
      <c r="BW46" s="35" t="str">
        <f>IF(ISERROR(BW9/#REF!-1),"--  ",BW9/#REF!-1)</f>
        <v xml:space="preserve">--  </v>
      </c>
      <c r="BX46" s="35">
        <f t="shared" ref="BX46:CN46" si="81">IF(ISERROR(BX9/BW9-1),"--  ",BX9/BW9-1)</f>
        <v>0.64340867846837591</v>
      </c>
      <c r="BY46" s="35">
        <f t="shared" si="81"/>
        <v>-0.12773585594886427</v>
      </c>
      <c r="BZ46" s="35">
        <f t="shared" si="81"/>
        <v>7.9420568447068574E-2</v>
      </c>
      <c r="CA46" s="35">
        <f t="shared" si="81"/>
        <v>0.262047441810767</v>
      </c>
      <c r="CB46" s="35">
        <f t="shared" si="81"/>
        <v>0.61494272278796958</v>
      </c>
      <c r="CC46" s="35">
        <f t="shared" si="81"/>
        <v>0.27486592400873011</v>
      </c>
      <c r="CD46" s="35">
        <f t="shared" si="81"/>
        <v>2.6232081973083687E-2</v>
      </c>
      <c r="CE46" s="35">
        <f t="shared" si="81"/>
        <v>0.16469831423100456</v>
      </c>
      <c r="CF46" s="35">
        <f t="shared" si="81"/>
        <v>0.17261576729257166</v>
      </c>
      <c r="CG46" s="35">
        <f t="shared" si="81"/>
        <v>-5.0732890304757694E-2</v>
      </c>
      <c r="CH46" s="35">
        <f t="shared" si="81"/>
        <v>1.2418589248261336E-2</v>
      </c>
      <c r="CI46" s="35">
        <f t="shared" si="81"/>
        <v>0.13598302713114885</v>
      </c>
      <c r="CJ46" s="35">
        <f t="shared" si="81"/>
        <v>0.35910939353893778</v>
      </c>
      <c r="CK46" s="35">
        <f t="shared" si="81"/>
        <v>0.20777498668207128</v>
      </c>
      <c r="CL46" s="35">
        <f t="shared" si="81"/>
        <v>0.14493424637883412</v>
      </c>
      <c r="CM46" s="35">
        <f t="shared" si="81"/>
        <v>0.10431810550318743</v>
      </c>
      <c r="CN46" s="35">
        <f t="shared" si="81"/>
        <v>8.8580944362441905E-2</v>
      </c>
    </row>
    <row r="47" spans="2:92" x14ac:dyDescent="0.35">
      <c r="B47" s="10" t="str">
        <f>IF(Control!$D$5=1,"Net Revenues Growth YoY","Receita Líquida - Var. YoY (%)")</f>
        <v>Receita Líquida - Var. YoY (%)</v>
      </c>
      <c r="C47" s="10"/>
      <c r="D47" s="35" t="s">
        <v>4</v>
      </c>
      <c r="E47" s="35" t="s">
        <v>4</v>
      </c>
      <c r="F47" s="35" t="s">
        <v>4</v>
      </c>
      <c r="G47" s="35" t="s">
        <v>4</v>
      </c>
      <c r="H47" s="35">
        <f t="shared" ref="H47:AM47" si="82">IF(ISERROR(H13/D13-1),"--  ",H13/D13-1)</f>
        <v>0.20176442029515629</v>
      </c>
      <c r="I47" s="35">
        <f t="shared" si="82"/>
        <v>-0.21188471314099455</v>
      </c>
      <c r="J47" s="35">
        <f t="shared" si="82"/>
        <v>-0.31638464412308764</v>
      </c>
      <c r="K47" s="35">
        <f t="shared" si="82"/>
        <v>-9.5501371819966319E-2</v>
      </c>
      <c r="L47" s="35">
        <f t="shared" si="82"/>
        <v>-1.4629341140075858E-2</v>
      </c>
      <c r="M47" s="35">
        <f t="shared" si="82"/>
        <v>0.11628436555658794</v>
      </c>
      <c r="N47" s="35">
        <f t="shared" si="82"/>
        <v>0.20417344245687974</v>
      </c>
      <c r="O47" s="35">
        <f t="shared" si="82"/>
        <v>-6.3666193251388226E-4</v>
      </c>
      <c r="P47" s="35">
        <f t="shared" si="82"/>
        <v>4.1178287607761543E-2</v>
      </c>
      <c r="Q47" s="35">
        <f t="shared" si="82"/>
        <v>0.17392419021364591</v>
      </c>
      <c r="R47" s="35">
        <f t="shared" si="82"/>
        <v>0.3641707115934889</v>
      </c>
      <c r="S47" s="35">
        <f t="shared" si="82"/>
        <v>0.51355299911790686</v>
      </c>
      <c r="T47" s="35">
        <f t="shared" si="82"/>
        <v>0.57848716468792327</v>
      </c>
      <c r="U47" s="35">
        <f t="shared" si="82"/>
        <v>0.41696783541274796</v>
      </c>
      <c r="V47" s="35">
        <f t="shared" si="82"/>
        <v>0.65549118173298093</v>
      </c>
      <c r="W47" s="35">
        <f t="shared" si="82"/>
        <v>0.56114810925007341</v>
      </c>
      <c r="X47" s="35">
        <f t="shared" si="82"/>
        <v>0.45761385499143947</v>
      </c>
      <c r="Y47" s="35">
        <f t="shared" si="82"/>
        <v>0.47965953102652836</v>
      </c>
      <c r="Z47" s="35">
        <f t="shared" si="82"/>
        <v>0.12053827990113741</v>
      </c>
      <c r="AA47" s="35">
        <f t="shared" si="82"/>
        <v>0.19407728871208407</v>
      </c>
      <c r="AB47" s="35">
        <f t="shared" si="82"/>
        <v>8.4480345475133944E-2</v>
      </c>
      <c r="AC47" s="35">
        <f t="shared" si="82"/>
        <v>2.8135223799350406E-3</v>
      </c>
      <c r="AD47" s="35">
        <f t="shared" si="82"/>
        <v>1.7756028213680386E-2</v>
      </c>
      <c r="AE47" s="35">
        <f t="shared" si="82"/>
        <v>3.6919396089434287E-3</v>
      </c>
      <c r="AF47" s="35">
        <f t="shared" si="82"/>
        <v>3.9546886737897857E-2</v>
      </c>
      <c r="AG47" s="35">
        <f t="shared" si="82"/>
        <v>0.14422629092984485</v>
      </c>
      <c r="AH47" s="35">
        <f t="shared" si="82"/>
        <v>0.22899105714380941</v>
      </c>
      <c r="AI47" s="35">
        <f t="shared" si="82"/>
        <v>0.18854592865864772</v>
      </c>
      <c r="AJ47" s="35">
        <f t="shared" si="82"/>
        <v>0.18141559794622686</v>
      </c>
      <c r="AK47" s="35">
        <f t="shared" si="82"/>
        <v>0.24265697064350022</v>
      </c>
      <c r="AL47" s="35">
        <f t="shared" si="82"/>
        <v>0.11568919904249464</v>
      </c>
      <c r="AM47" s="35">
        <f t="shared" si="82"/>
        <v>0.14867607100023106</v>
      </c>
      <c r="AN47" s="35">
        <f t="shared" ref="AN47:BN47" si="83">IF(ISERROR(AN13/AJ13-1),"--  ",AN13/AJ13-1)</f>
        <v>7.8631106557990105E-2</v>
      </c>
      <c r="AO47" s="35">
        <f t="shared" si="83"/>
        <v>-8.733684138590847E-2</v>
      </c>
      <c r="AP47" s="35">
        <f t="shared" si="83"/>
        <v>-9.1659013330909422E-2</v>
      </c>
      <c r="AQ47" s="35">
        <f t="shared" si="83"/>
        <v>-0.11559521829027708</v>
      </c>
      <c r="AR47" s="35">
        <f t="shared" si="83"/>
        <v>-0.1804556125000919</v>
      </c>
      <c r="AS47" s="35">
        <f t="shared" si="83"/>
        <v>-1.4016017075700105E-2</v>
      </c>
      <c r="AT47" s="35">
        <f t="shared" si="83"/>
        <v>9.2857518744128287E-2</v>
      </c>
      <c r="AU47" s="35">
        <f t="shared" si="83"/>
        <v>0.19312822635039795</v>
      </c>
      <c r="AV47" s="35">
        <f t="shared" si="83"/>
        <v>0.23168060533651946</v>
      </c>
      <c r="AW47" s="35">
        <f t="shared" si="83"/>
        <v>6.8047311452514192E-2</v>
      </c>
      <c r="AX47" s="35">
        <f t="shared" si="83"/>
        <v>0.1394924218503315</v>
      </c>
      <c r="AY47" s="35">
        <f t="shared" si="83"/>
        <v>0.12006081081081055</v>
      </c>
      <c r="AZ47" s="35">
        <f t="shared" si="83"/>
        <v>0.39761054078085856</v>
      </c>
      <c r="BA47" s="35">
        <f t="shared" si="83"/>
        <v>0.56315653975505797</v>
      </c>
      <c r="BB47" s="35">
        <f t="shared" si="83"/>
        <v>0.38123137505897131</v>
      </c>
      <c r="BC47" s="35">
        <f t="shared" si="83"/>
        <v>0.22698654955590825</v>
      </c>
      <c r="BD47" s="35">
        <f t="shared" si="83"/>
        <v>0.30548460830175439</v>
      </c>
      <c r="BE47" s="35">
        <f t="shared" si="83"/>
        <v>0.15994756897388251</v>
      </c>
      <c r="BF47" s="35">
        <f t="shared" si="83"/>
        <v>0.1400011485905901</v>
      </c>
      <c r="BG47" s="35">
        <f t="shared" si="83"/>
        <v>0.238526096012875</v>
      </c>
      <c r="BH47" s="35">
        <f t="shared" si="83"/>
        <v>6.1786881047970921E-2</v>
      </c>
      <c r="BI47" s="35">
        <f t="shared" si="83"/>
        <v>0.21545170777881717</v>
      </c>
      <c r="BJ47" s="35">
        <f t="shared" si="83"/>
        <v>0.14393497105312592</v>
      </c>
      <c r="BK47" s="35">
        <f t="shared" si="83"/>
        <v>0.10807889008713345</v>
      </c>
      <c r="BL47" s="35">
        <f t="shared" si="83"/>
        <v>0.10740186720909595</v>
      </c>
      <c r="BM47" s="35">
        <f t="shared" si="83"/>
        <v>7.9072600020775097E-2</v>
      </c>
      <c r="BN47" s="35">
        <f t="shared" si="83"/>
        <v>0.15516429081021421</v>
      </c>
      <c r="BO47" s="35">
        <f t="shared" ref="BO47:BU47" si="84">IF(ISERROR(BO13/BK13-1),"--  ",BO13/BK13-1)</f>
        <v>6.7704251029089946E-2</v>
      </c>
      <c r="BP47" s="35">
        <f t="shared" si="84"/>
        <v>9.2534696150377682E-2</v>
      </c>
      <c r="BQ47" s="35">
        <f t="shared" si="84"/>
        <v>0.12091497715055177</v>
      </c>
      <c r="BR47" s="35">
        <f t="shared" si="84"/>
        <v>3.3645074511579498E-2</v>
      </c>
      <c r="BS47" s="35">
        <f t="shared" si="84"/>
        <v>0.11736675400752072</v>
      </c>
      <c r="BT47" s="35">
        <f t="shared" si="84"/>
        <v>-7.3217812084660494E-2</v>
      </c>
      <c r="BU47" s="35">
        <f t="shared" si="84"/>
        <v>-8.6428580188621318E-2</v>
      </c>
      <c r="BW47" s="35" t="str">
        <f>IF(ISERROR(BW13/#REF!-1),"--  ",BW13/#REF!-1)</f>
        <v xml:space="preserve">--  </v>
      </c>
      <c r="BX47" s="35">
        <f t="shared" ref="BX47:CN47" si="85">IF(ISERROR(BX13/BW13-1),"--  ",BX13/BW13-1)</f>
        <v>0.75078907056280864</v>
      </c>
      <c r="BY47" s="35">
        <f t="shared" si="85"/>
        <v>-0.13221465998687576</v>
      </c>
      <c r="BZ47" s="35">
        <f t="shared" si="85"/>
        <v>7.1250754863683152E-2</v>
      </c>
      <c r="CA47" s="35">
        <f t="shared" si="85"/>
        <v>0.26801752168528914</v>
      </c>
      <c r="CB47" s="35">
        <f t="shared" si="85"/>
        <v>0.55640402346084428</v>
      </c>
      <c r="CC47" s="35">
        <f t="shared" si="85"/>
        <v>0.29008755439506362</v>
      </c>
      <c r="CD47" s="35">
        <f t="shared" si="85"/>
        <v>2.6306671137712678E-2</v>
      </c>
      <c r="CE47" s="35">
        <f t="shared" si="85"/>
        <v>0.15048961010201389</v>
      </c>
      <c r="CF47" s="35">
        <f t="shared" si="85"/>
        <v>0.16998124120200986</v>
      </c>
      <c r="CG47" s="35">
        <f t="shared" si="85"/>
        <v>-5.7559221883058176E-2</v>
      </c>
      <c r="CH47" s="35">
        <f t="shared" si="85"/>
        <v>1.8400171563370815E-2</v>
      </c>
      <c r="CI47" s="35">
        <f t="shared" si="85"/>
        <v>0.13630496125336933</v>
      </c>
      <c r="CJ47" s="35">
        <f t="shared" si="85"/>
        <v>0.38359180776433321</v>
      </c>
      <c r="CK47" s="35">
        <f t="shared" si="85"/>
        <v>0.20759099375982659</v>
      </c>
      <c r="CL47" s="35">
        <f t="shared" si="85"/>
        <v>0.13194974760557798</v>
      </c>
      <c r="CM47" s="35">
        <f t="shared" si="85"/>
        <v>0.10231271413008547</v>
      </c>
      <c r="CN47" s="35">
        <f t="shared" si="85"/>
        <v>9.0074013974143385E-2</v>
      </c>
    </row>
    <row r="48" spans="2:92" x14ac:dyDescent="0.35">
      <c r="B48" s="10" t="str">
        <f>IF(Control!$D$5=1,"EBITDA Growth YoY","EBITDA - Var. YoY (%)")</f>
        <v>EBITDA - Var. YoY (%)</v>
      </c>
      <c r="C48" s="10"/>
      <c r="D48" s="35" t="s">
        <v>4</v>
      </c>
      <c r="E48" s="35" t="s">
        <v>4</v>
      </c>
      <c r="F48" s="35" t="s">
        <v>4</v>
      </c>
      <c r="G48" s="35" t="s">
        <v>4</v>
      </c>
      <c r="H48" s="35">
        <f t="shared" ref="H48:AP48" si="86">IF(ISERROR(H40/D40-1),"--  ",H40/D40-1)</f>
        <v>-0.22138036186216714</v>
      </c>
      <c r="I48" s="35">
        <f t="shared" si="86"/>
        <v>-0.47897826155744694</v>
      </c>
      <c r="J48" s="35">
        <f t="shared" si="86"/>
        <v>-0.50267768434827054</v>
      </c>
      <c r="K48" s="35">
        <f t="shared" si="86"/>
        <v>0.88493511153639459</v>
      </c>
      <c r="L48" s="35">
        <f t="shared" si="86"/>
        <v>0.13826784646595591</v>
      </c>
      <c r="M48" s="35">
        <f t="shared" si="86"/>
        <v>-4.9153247478875284E-2</v>
      </c>
      <c r="N48" s="35">
        <f t="shared" si="86"/>
        <v>0.51615260926765849</v>
      </c>
      <c r="O48" s="35">
        <f t="shared" si="86"/>
        <v>0.12754616409670305</v>
      </c>
      <c r="P48" s="35">
        <f t="shared" si="86"/>
        <v>8.360858794384729E-2</v>
      </c>
      <c r="Q48" s="35">
        <f t="shared" si="86"/>
        <v>0.76798773672277254</v>
      </c>
      <c r="R48" s="35">
        <f t="shared" si="86"/>
        <v>0.71532330633757302</v>
      </c>
      <c r="S48" s="35">
        <f t="shared" si="86"/>
        <v>0.49355619337047751</v>
      </c>
      <c r="T48" s="35">
        <f t="shared" si="86"/>
        <v>0.55394678351432147</v>
      </c>
      <c r="U48" s="35">
        <f t="shared" si="86"/>
        <v>0.32474124383591163</v>
      </c>
      <c r="V48" s="35">
        <f t="shared" si="86"/>
        <v>0.68158654026304921</v>
      </c>
      <c r="W48" s="35">
        <f t="shared" si="86"/>
        <v>0.47812653076603762</v>
      </c>
      <c r="X48" s="35">
        <f t="shared" si="86"/>
        <v>0.45583707941697083</v>
      </c>
      <c r="Y48" s="35">
        <f t="shared" si="86"/>
        <v>0.26172977542644693</v>
      </c>
      <c r="Z48" s="35">
        <f t="shared" si="86"/>
        <v>-7.3847113745501125E-2</v>
      </c>
      <c r="AA48" s="35">
        <f t="shared" si="86"/>
        <v>0.18268838584684111</v>
      </c>
      <c r="AB48" s="35">
        <f t="shared" si="86"/>
        <v>-2.6648451900853631E-2</v>
      </c>
      <c r="AC48" s="35">
        <f t="shared" si="86"/>
        <v>-1.7366589577888836E-2</v>
      </c>
      <c r="AD48" s="35">
        <f t="shared" si="86"/>
        <v>7.7762406015035479E-2</v>
      </c>
      <c r="AE48" s="35">
        <f t="shared" si="86"/>
        <v>-0.17289764950585784</v>
      </c>
      <c r="AF48" s="35">
        <f t="shared" si="86"/>
        <v>-9.9495313626531967E-3</v>
      </c>
      <c r="AG48" s="35">
        <f t="shared" si="86"/>
        <v>0.16005146986043894</v>
      </c>
      <c r="AH48" s="35">
        <f t="shared" si="86"/>
        <v>0.21718068066392648</v>
      </c>
      <c r="AI48" s="35">
        <f t="shared" si="86"/>
        <v>0.37329632814737779</v>
      </c>
      <c r="AJ48" s="35">
        <f t="shared" si="86"/>
        <v>0.22783765414117974</v>
      </c>
      <c r="AK48" s="35">
        <f t="shared" si="86"/>
        <v>0.67751232461130195</v>
      </c>
      <c r="AL48" s="35">
        <f t="shared" si="86"/>
        <v>0.33638097683546064</v>
      </c>
      <c r="AM48" s="35">
        <f t="shared" si="86"/>
        <v>-7.144551449309533E-2</v>
      </c>
      <c r="AN48" s="35">
        <f t="shared" si="86"/>
        <v>7.0301688347627067E-3</v>
      </c>
      <c r="AO48" s="35">
        <f t="shared" si="86"/>
        <v>-0.35428723211863711</v>
      </c>
      <c r="AP48" s="35">
        <f t="shared" si="86"/>
        <v>-0.11563402801128153</v>
      </c>
      <c r="AQ48" s="35">
        <f t="shared" ref="AQ48:AV48" si="87">IF(ISERROR(AQ40/AM40-1),"--  ",AQ40/AM40-1)</f>
        <v>0.21928166351607303</v>
      </c>
      <c r="AR48" s="35">
        <f t="shared" si="87"/>
        <v>-0.35607488377937047</v>
      </c>
      <c r="AS48" s="35">
        <f t="shared" si="87"/>
        <v>0.17806660540020292</v>
      </c>
      <c r="AT48" s="35">
        <f t="shared" si="87"/>
        <v>0.17477264967876072</v>
      </c>
      <c r="AU48" s="35">
        <f t="shared" si="87"/>
        <v>-3.4569453174106313E-2</v>
      </c>
      <c r="AV48" s="35">
        <f t="shared" si="87"/>
        <v>1.2195121951220855E-2</v>
      </c>
      <c r="AW48" s="35">
        <f t="shared" ref="AW48:BN48" si="88">IF(ISERROR(AW40/AS40-1),"--  ",AW40/AS40-1)</f>
        <v>-0.34077265973253956</v>
      </c>
      <c r="AX48" s="35">
        <f t="shared" si="88"/>
        <v>-0.12165785997358303</v>
      </c>
      <c r="AY48" s="35">
        <f t="shared" si="88"/>
        <v>0.1897743055555523</v>
      </c>
      <c r="AZ48" s="35">
        <f t="shared" si="88"/>
        <v>1.3691686746987948</v>
      </c>
      <c r="BA48" s="35">
        <f t="shared" si="88"/>
        <v>1.3379953117251921</v>
      </c>
      <c r="BB48" s="35">
        <f t="shared" si="88"/>
        <v>0.78199081808680182</v>
      </c>
      <c r="BC48" s="35">
        <f t="shared" si="88"/>
        <v>6.4934117406721503E-2</v>
      </c>
      <c r="BD48" s="35">
        <f t="shared" si="88"/>
        <v>-6.4838970509708771E-2</v>
      </c>
      <c r="BE48" s="35">
        <f t="shared" si="88"/>
        <v>-7.8961702537901246E-2</v>
      </c>
      <c r="BF48" s="35">
        <f t="shared" si="88"/>
        <v>-0.153136599334325</v>
      </c>
      <c r="BG48" s="35">
        <f t="shared" si="88"/>
        <v>0.60407503322782996</v>
      </c>
      <c r="BH48" s="35">
        <f t="shared" si="88"/>
        <v>0.3301847289970703</v>
      </c>
      <c r="BI48" s="35">
        <f t="shared" si="88"/>
        <v>9.0990924981944721E-2</v>
      </c>
      <c r="BJ48" s="35">
        <f t="shared" si="88"/>
        <v>0.54370596266730487</v>
      </c>
      <c r="BK48" s="35">
        <f t="shared" si="88"/>
        <v>-0.32959330981404078</v>
      </c>
      <c r="BL48" s="35">
        <f t="shared" si="88"/>
        <v>-0.18848877949708609</v>
      </c>
      <c r="BM48" s="35">
        <f t="shared" si="88"/>
        <v>1.8795818392115748E-2</v>
      </c>
      <c r="BN48" s="35">
        <f t="shared" si="88"/>
        <v>-0.19533625570540347</v>
      </c>
      <c r="BO48" s="35">
        <f t="shared" ref="BO48:BU48" si="89">IF(ISERROR(BO40/BK40-1),"--  ",BO40/BK40-1)</f>
        <v>0.61717291242244321</v>
      </c>
      <c r="BP48" s="35">
        <f t="shared" si="89"/>
        <v>0.28216936764588807</v>
      </c>
      <c r="BQ48" s="35">
        <f t="shared" si="89"/>
        <v>0.35397621830536807</v>
      </c>
      <c r="BR48" s="35">
        <f t="shared" si="89"/>
        <v>-0.31250802310654835</v>
      </c>
      <c r="BS48" s="35">
        <f t="shared" si="89"/>
        <v>-0.23630102990930002</v>
      </c>
      <c r="BT48" s="35">
        <f t="shared" si="89"/>
        <v>-8.4157908277558646E-2</v>
      </c>
      <c r="BU48" s="35">
        <f t="shared" si="89"/>
        <v>-0.12857714176418433</v>
      </c>
      <c r="BW48" s="35" t="str">
        <f>IF(ISERROR(BW40/#REF!-1),"--  ",BW40/#REF!-1)</f>
        <v xml:space="preserve">--  </v>
      </c>
      <c r="BX48" s="35">
        <f t="shared" ref="BX48:CJ48" si="90">IF(ISERROR(BX40/BW40-1),"--  ",BX40/BW40-1)</f>
        <v>0.57885766194360433</v>
      </c>
      <c r="BY48" s="35">
        <f t="shared" si="90"/>
        <v>-0.26880872164752845</v>
      </c>
      <c r="BZ48" s="35">
        <f t="shared" si="90"/>
        <v>0.14836987823773429</v>
      </c>
      <c r="CA48" s="35">
        <f t="shared" si="90"/>
        <v>0.47675593198787802</v>
      </c>
      <c r="CB48" s="35">
        <f t="shared" si="90"/>
        <v>0.50658681488993129</v>
      </c>
      <c r="CC48" s="35">
        <f t="shared" si="90"/>
        <v>0.19165412531194637</v>
      </c>
      <c r="CD48" s="35">
        <f t="shared" si="90"/>
        <v>-3.7391992454458567E-2</v>
      </c>
      <c r="CE48" s="35">
        <f t="shared" si="90"/>
        <v>0.170567997187832</v>
      </c>
      <c r="CF48" s="35">
        <f t="shared" si="90"/>
        <v>0.29353930259557881</v>
      </c>
      <c r="CG48" s="35">
        <f t="shared" si="90"/>
        <v>-0.10465549892880088</v>
      </c>
      <c r="CH48" s="35">
        <f t="shared" si="90"/>
        <v>-1.3474887709271965E-2</v>
      </c>
      <c r="CI48" s="35">
        <f t="shared" si="90"/>
        <v>-8.5730546357615678E-2</v>
      </c>
      <c r="CJ48" s="35">
        <f t="shared" si="90"/>
        <v>0.78151321374003113</v>
      </c>
      <c r="CK48" s="35">
        <f>IF(ISERROR(CK40/CJ40-1),"--  ",CK40/CJ40-1)</f>
        <v>2.8908755469940761E-2</v>
      </c>
      <c r="CL48" s="35">
        <f>IF(ISERROR(CL40/CK40-1),"--  ",CL40/CK40-1)</f>
        <v>0.13588875991010307</v>
      </c>
      <c r="CM48" s="35">
        <f>IF(ISERROR(CM40/CL40-1),"--  ",CM40/CL40-1)</f>
        <v>-6.3238376828265164E-3</v>
      </c>
      <c r="CN48" s="35">
        <f>IF(ISERROR(CN40/CM40-1),"--  ",CN40/CM40-1)</f>
        <v>-7.3618181824718354E-3</v>
      </c>
    </row>
    <row r="49" spans="2:92" x14ac:dyDescent="0.35">
      <c r="B49" s="36" t="str">
        <f>IF(Control!$D$5=1,"EBIT Growth YoY","Lucro Operacional (EBIT) - Var. YoY (%)")</f>
        <v>Lucro Operacional (EBIT) - Var. YoY (%)</v>
      </c>
      <c r="C49" s="36"/>
      <c r="D49" s="37" t="s">
        <v>4</v>
      </c>
      <c r="E49" s="37" t="s">
        <v>4</v>
      </c>
      <c r="F49" s="37" t="s">
        <v>4</v>
      </c>
      <c r="G49" s="37" t="s">
        <v>4</v>
      </c>
      <c r="H49" s="37">
        <f t="shared" ref="H49:AM49" si="91">IF(ISERROR(H20/D20-1),"--  ",H20/D20-1)</f>
        <v>-0.24472866363853707</v>
      </c>
      <c r="I49" s="37">
        <f t="shared" si="91"/>
        <v>-0.50969895708321356</v>
      </c>
      <c r="J49" s="37">
        <f t="shared" si="91"/>
        <v>-0.56093579978237429</v>
      </c>
      <c r="K49" s="37">
        <f t="shared" si="91"/>
        <v>0.77387928508643888</v>
      </c>
      <c r="L49" s="37">
        <f t="shared" si="91"/>
        <v>0.13025612693260746</v>
      </c>
      <c r="M49" s="37">
        <f t="shared" si="91"/>
        <v>-0.13240734037308888</v>
      </c>
      <c r="N49" s="37">
        <f t="shared" si="91"/>
        <v>0.60433705080546218</v>
      </c>
      <c r="O49" s="37">
        <f t="shared" si="91"/>
        <v>6.1485733162650158E-2</v>
      </c>
      <c r="P49" s="37">
        <f t="shared" si="91"/>
        <v>-5.5500394612905124E-3</v>
      </c>
      <c r="Q49" s="37">
        <f t="shared" si="91"/>
        <v>0.80386235396964856</v>
      </c>
      <c r="R49" s="37">
        <f t="shared" si="91"/>
        <v>0.54854406426198854</v>
      </c>
      <c r="S49" s="37">
        <f t="shared" si="91"/>
        <v>0.61067455068855558</v>
      </c>
      <c r="T49" s="37">
        <f t="shared" si="91"/>
        <v>0.58485445841120454</v>
      </c>
      <c r="U49" s="37">
        <f t="shared" si="91"/>
        <v>0.353533350956029</v>
      </c>
      <c r="V49" s="37">
        <f t="shared" si="91"/>
        <v>0.85727467704124849</v>
      </c>
      <c r="W49" s="37">
        <f t="shared" si="91"/>
        <v>0.42254371558302983</v>
      </c>
      <c r="X49" s="37">
        <f t="shared" si="91"/>
        <v>0.45089328982650856</v>
      </c>
      <c r="Y49" s="37">
        <f t="shared" si="91"/>
        <v>0.13923020587517598</v>
      </c>
      <c r="Z49" s="37">
        <f t="shared" si="91"/>
        <v>-0.11506183449035179</v>
      </c>
      <c r="AA49" s="37">
        <f t="shared" si="91"/>
        <v>0.24226217762610158</v>
      </c>
      <c r="AB49" s="37">
        <f t="shared" si="91"/>
        <v>-4.6482370099866777E-2</v>
      </c>
      <c r="AC49" s="37">
        <f t="shared" si="91"/>
        <v>3.8542857142851883E-2</v>
      </c>
      <c r="AD49" s="37">
        <f t="shared" si="91"/>
        <v>6.5640932265110141E-2</v>
      </c>
      <c r="AE49" s="37">
        <f t="shared" si="91"/>
        <v>-0.22846052919307702</v>
      </c>
      <c r="AF49" s="37">
        <f t="shared" si="91"/>
        <v>-3.9734248750642132E-2</v>
      </c>
      <c r="AG49" s="37">
        <f t="shared" si="91"/>
        <v>0.16930314451566919</v>
      </c>
      <c r="AH49" s="37">
        <f t="shared" si="91"/>
        <v>0.23979780720490584</v>
      </c>
      <c r="AI49" s="37">
        <f t="shared" si="91"/>
        <v>0.46740593778782991</v>
      </c>
      <c r="AJ49" s="37">
        <f t="shared" si="91"/>
        <v>0.25690349095949805</v>
      </c>
      <c r="AK49" s="37">
        <f t="shared" si="91"/>
        <v>0.83060019292755971</v>
      </c>
      <c r="AL49" s="37">
        <f t="shared" si="91"/>
        <v>0.42937372948512831</v>
      </c>
      <c r="AM49" s="37">
        <f t="shared" si="91"/>
        <v>-7.1030203529777958E-2</v>
      </c>
      <c r="AN49" s="37">
        <f t="shared" ref="AN49:BU49" si="92">IF(ISERROR(AN20/AJ20-1),"--  ",AN20/AJ20-1)</f>
        <v>2.5945883195154451E-2</v>
      </c>
      <c r="AO49" s="37">
        <f t="shared" si="92"/>
        <v>-0.41036680975760309</v>
      </c>
      <c r="AP49" s="37">
        <f t="shared" si="92"/>
        <v>-0.15099994375567483</v>
      </c>
      <c r="AQ49" s="37">
        <f t="shared" si="92"/>
        <v>0.24920082126985577</v>
      </c>
      <c r="AR49" s="37">
        <f t="shared" si="92"/>
        <v>-0.45969392084940408</v>
      </c>
      <c r="AS49" s="37">
        <f t="shared" si="92"/>
        <v>0.1879591080497871</v>
      </c>
      <c r="AT49" s="37">
        <f t="shared" si="92"/>
        <v>0.20854784978800689</v>
      </c>
      <c r="AU49" s="37">
        <f t="shared" si="92"/>
        <v>-8.5622743963967962E-2</v>
      </c>
      <c r="AV49" s="37">
        <f t="shared" si="92"/>
        <v>-0.13961605584642078</v>
      </c>
      <c r="AW49" s="37">
        <f t="shared" si="92"/>
        <v>-0.49564220183486085</v>
      </c>
      <c r="AX49" s="37">
        <f t="shared" si="92"/>
        <v>-0.24057948316366828</v>
      </c>
      <c r="AY49" s="37">
        <f t="shared" si="92"/>
        <v>0.10406143344709462</v>
      </c>
      <c r="AZ49" s="37">
        <f t="shared" si="92"/>
        <v>2.1568762677484785</v>
      </c>
      <c r="BA49" s="37">
        <f t="shared" si="92"/>
        <v>2.0246657571623405</v>
      </c>
      <c r="BB49" s="37">
        <f t="shared" si="92"/>
        <v>1.019601569221896</v>
      </c>
      <c r="BC49" s="37">
        <f t="shared" si="92"/>
        <v>7.5983801663112693E-2</v>
      </c>
      <c r="BD49" s="37">
        <f t="shared" si="92"/>
        <v>-8.268758754513561E-2</v>
      </c>
      <c r="BE49" s="37">
        <f t="shared" si="92"/>
        <v>-9.5001834244443528E-2</v>
      </c>
      <c r="BF49" s="37">
        <f t="shared" si="92"/>
        <v>-0.18908660870749616</v>
      </c>
      <c r="BG49" s="37">
        <f t="shared" si="92"/>
        <v>0.77025694065370498</v>
      </c>
      <c r="BH49" s="37">
        <f t="shared" si="92"/>
        <v>0.33091443981368163</v>
      </c>
      <c r="BI49" s="37">
        <f t="shared" si="92"/>
        <v>2.874724223173275E-2</v>
      </c>
      <c r="BJ49" s="37">
        <f t="shared" si="92"/>
        <v>0.57869452157433177</v>
      </c>
      <c r="BK49" s="37">
        <f t="shared" si="92"/>
        <v>-0.51180403782485739</v>
      </c>
      <c r="BL49" s="37">
        <f t="shared" si="92"/>
        <v>-0.29632990118312219</v>
      </c>
      <c r="BM49" s="37">
        <f t="shared" si="92"/>
        <v>-4.9491787985140423E-2</v>
      </c>
      <c r="BN49" s="37">
        <f t="shared" si="92"/>
        <v>-0.27041913110759175</v>
      </c>
      <c r="BO49" s="37">
        <f t="shared" si="92"/>
        <v>1.0866046074906803</v>
      </c>
      <c r="BP49" s="37">
        <f t="shared" si="92"/>
        <v>0.41844590662631709</v>
      </c>
      <c r="BQ49" s="37">
        <f t="shared" si="92"/>
        <v>0.504809679363726</v>
      </c>
      <c r="BR49" s="37">
        <f t="shared" si="92"/>
        <v>-0.43651670037719548</v>
      </c>
      <c r="BS49" s="37">
        <f t="shared" si="92"/>
        <v>-0.32641735877682898</v>
      </c>
      <c r="BT49" s="37">
        <f t="shared" si="92"/>
        <v>-0.12351885126894124</v>
      </c>
      <c r="BU49" s="37">
        <f t="shared" si="92"/>
        <v>-0.17047373887910422</v>
      </c>
      <c r="BW49" s="37" t="str">
        <f>IF(ISERROR(BW20/#REF!-1),"--  ",BW20/#REF!-1)</f>
        <v xml:space="preserve">--  </v>
      </c>
      <c r="BX49" s="37">
        <f t="shared" ref="BX49:CN49" si="93">IF(ISERROR(BX20/BW20-1),"--  ",BX20/BW20-1)</f>
        <v>0.41425104305854776</v>
      </c>
      <c r="BY49" s="37">
        <f t="shared" si="93"/>
        <v>-0.33081382643682666</v>
      </c>
      <c r="BZ49" s="37">
        <f t="shared" si="93"/>
        <v>0.11457412885627782</v>
      </c>
      <c r="CA49" s="37">
        <f t="shared" si="93"/>
        <v>0.43012624412943223</v>
      </c>
      <c r="CB49" s="37">
        <f t="shared" si="93"/>
        <v>0.54690616357051836</v>
      </c>
      <c r="CC49" s="37">
        <f t="shared" si="93"/>
        <v>0.16425485834927156</v>
      </c>
      <c r="CD49" s="37">
        <f t="shared" si="93"/>
        <v>-4.6394839590351844E-2</v>
      </c>
      <c r="CE49" s="37">
        <f t="shared" si="93"/>
        <v>0.1829038958122835</v>
      </c>
      <c r="CF49" s="37">
        <f t="shared" si="93"/>
        <v>0.36569718468601708</v>
      </c>
      <c r="CG49" s="37">
        <f t="shared" si="93"/>
        <v>-0.13215898256716396</v>
      </c>
      <c r="CH49" s="37">
        <f t="shared" si="93"/>
        <v>-4.4294294294297987E-2</v>
      </c>
      <c r="CI49" s="37">
        <f t="shared" si="93"/>
        <v>-0.2189054726368157</v>
      </c>
      <c r="CJ49" s="37">
        <f t="shared" si="93"/>
        <v>1.0857928260140879</v>
      </c>
      <c r="CK49" s="37">
        <f t="shared" si="93"/>
        <v>2.3675971404319762E-2</v>
      </c>
      <c r="CL49" s="37">
        <f t="shared" si="93"/>
        <v>7.6720419893775427E-2</v>
      </c>
      <c r="CM49" s="37">
        <f t="shared" si="93"/>
        <v>-4.9141706150322539E-2</v>
      </c>
      <c r="CN49" s="37">
        <f t="shared" si="93"/>
        <v>-1.7008549398201511E-2</v>
      </c>
    </row>
    <row r="50" spans="2:92" x14ac:dyDescent="0.35">
      <c r="B50" s="10" t="str">
        <f>IF(Control!$D$5=1,"Gross Margin","Margem Bruta")</f>
        <v>Margem Bruta</v>
      </c>
      <c r="C50" s="10"/>
      <c r="D50" s="35">
        <f>IF(ISERROR(D15/D$13),"--  ",D15/D$13)</f>
        <v>0.30484966181390116</v>
      </c>
      <c r="E50" s="35">
        <v>0.16602277239410609</v>
      </c>
      <c r="F50" s="35">
        <v>0.26264815031510702</v>
      </c>
      <c r="G50" s="35">
        <f t="shared" ref="G50:AL50" si="94">IF(ISERROR(G15/G$13),"--  ",G15/G$13)</f>
        <v>0.18781336603921955</v>
      </c>
      <c r="H50" s="35">
        <f t="shared" si="94"/>
        <v>0.24602307158056094</v>
      </c>
      <c r="I50" s="35">
        <f t="shared" si="94"/>
        <v>0.23014690948480127</v>
      </c>
      <c r="J50" s="35">
        <f t="shared" si="94"/>
        <v>0.22137173095891849</v>
      </c>
      <c r="K50" s="35">
        <f t="shared" si="94"/>
        <v>0.21145746608550908</v>
      </c>
      <c r="L50" s="35">
        <f t="shared" si="94"/>
        <v>0.25589284209935143</v>
      </c>
      <c r="M50" s="35">
        <f t="shared" si="94"/>
        <v>0.24111647139903497</v>
      </c>
      <c r="N50" s="35">
        <f t="shared" si="94"/>
        <v>0.23776697900696822</v>
      </c>
      <c r="O50" s="35">
        <f t="shared" si="94"/>
        <v>0.23431833774380123</v>
      </c>
      <c r="P50" s="35">
        <f t="shared" si="94"/>
        <v>0.29165475464838414</v>
      </c>
      <c r="Q50" s="35">
        <f t="shared" si="94"/>
        <v>0.29613165477255604</v>
      </c>
      <c r="R50" s="35">
        <f t="shared" si="94"/>
        <v>0.25210060167885845</v>
      </c>
      <c r="S50" s="35">
        <f t="shared" si="94"/>
        <v>0.25444129437500157</v>
      </c>
      <c r="T50" s="35">
        <f t="shared" si="94"/>
        <v>0.24656136909623388</v>
      </c>
      <c r="U50" s="35">
        <f t="shared" si="94"/>
        <v>0.24454303342873662</v>
      </c>
      <c r="V50" s="35">
        <f t="shared" si="94"/>
        <v>0.23342413314364624</v>
      </c>
      <c r="W50" s="35">
        <f t="shared" si="94"/>
        <v>0.24113284880442701</v>
      </c>
      <c r="X50" s="35">
        <f t="shared" si="94"/>
        <v>0.28330320741402382</v>
      </c>
      <c r="Y50" s="35">
        <f t="shared" si="94"/>
        <v>0.25128607765635386</v>
      </c>
      <c r="Z50" s="35">
        <f t="shared" si="94"/>
        <v>0.21673464924271421</v>
      </c>
      <c r="AA50" s="35">
        <f t="shared" si="94"/>
        <v>0.23325980573081062</v>
      </c>
      <c r="AB50" s="35">
        <f t="shared" si="94"/>
        <v>0.25560257470369829</v>
      </c>
      <c r="AC50" s="35">
        <f t="shared" si="94"/>
        <v>0.24246238592360669</v>
      </c>
      <c r="AD50" s="35">
        <f t="shared" si="94"/>
        <v>0.22244750383318967</v>
      </c>
      <c r="AE50" s="35">
        <f t="shared" si="94"/>
        <v>0.2063915413958739</v>
      </c>
      <c r="AF50" s="35">
        <f t="shared" si="94"/>
        <v>0.24301423874594225</v>
      </c>
      <c r="AG50" s="35">
        <f t="shared" si="94"/>
        <v>0.24170233534249236</v>
      </c>
      <c r="AH50" s="35">
        <f t="shared" si="94"/>
        <v>0.24357889362356919</v>
      </c>
      <c r="AI50" s="35">
        <f t="shared" si="94"/>
        <v>0.24952271581525942</v>
      </c>
      <c r="AJ50" s="35">
        <f t="shared" si="94"/>
        <v>0.2586284134104665</v>
      </c>
      <c r="AK50" s="35">
        <f t="shared" si="94"/>
        <v>0.27722412968326188</v>
      </c>
      <c r="AL50" s="35">
        <f t="shared" si="94"/>
        <v>0.23034137534361651</v>
      </c>
      <c r="AM50" s="35">
        <f t="shared" ref="AM50:BN50" si="95">IF(ISERROR(AM15/AM$13),"--  ",AM15/AM$13)</f>
        <v>0.22213877732094336</v>
      </c>
      <c r="AN50" s="35">
        <f t="shared" si="95"/>
        <v>0.24266477582882584</v>
      </c>
      <c r="AO50" s="35">
        <f t="shared" si="95"/>
        <v>0.24292851702190821</v>
      </c>
      <c r="AP50" s="35">
        <f t="shared" si="95"/>
        <v>0.2466797163125462</v>
      </c>
      <c r="AQ50" s="35">
        <f t="shared" si="95"/>
        <v>0.25519955786179277</v>
      </c>
      <c r="AR50" s="35">
        <f t="shared" si="95"/>
        <v>0.26214655515730773</v>
      </c>
      <c r="AS50" s="35">
        <f t="shared" si="95"/>
        <v>0.27592527932960886</v>
      </c>
      <c r="AT50" s="35">
        <f t="shared" si="95"/>
        <v>0.25252604988948529</v>
      </c>
      <c r="AU50" s="35">
        <f t="shared" si="95"/>
        <v>0.24204204204204216</v>
      </c>
      <c r="AV50" s="35">
        <f t="shared" si="95"/>
        <v>0.23183251151887477</v>
      </c>
      <c r="AW50" s="35">
        <f t="shared" si="95"/>
        <v>0.23183265157675795</v>
      </c>
      <c r="AX50" s="35">
        <f t="shared" si="95"/>
        <v>0.23740759496476962</v>
      </c>
      <c r="AY50" s="35">
        <f t="shared" si="95"/>
        <v>0.22633168914439833</v>
      </c>
      <c r="AZ50" s="35">
        <f t="shared" si="95"/>
        <v>0.23921158321881514</v>
      </c>
      <c r="BA50" s="35">
        <f t="shared" si="95"/>
        <v>0.22716102829225854</v>
      </c>
      <c r="BB50" s="35">
        <f t="shared" si="95"/>
        <v>0.23527797874014003</v>
      </c>
      <c r="BC50" s="35">
        <f t="shared" si="95"/>
        <v>0.18782158751905828</v>
      </c>
      <c r="BD50" s="35">
        <f t="shared" si="95"/>
        <v>0.19831762186320706</v>
      </c>
      <c r="BE50" s="35">
        <f t="shared" si="95"/>
        <v>0.19515128294700296</v>
      </c>
      <c r="BF50" s="35">
        <f t="shared" si="95"/>
        <v>0.20753010285720316</v>
      </c>
      <c r="BG50" s="35">
        <f t="shared" si="95"/>
        <v>0.1878334777843205</v>
      </c>
      <c r="BH50" s="35">
        <f t="shared" si="95"/>
        <v>0.22840035466541508</v>
      </c>
      <c r="BI50" s="35">
        <f t="shared" si="95"/>
        <v>0.21180451769138622</v>
      </c>
      <c r="BJ50" s="35">
        <f t="shared" si="95"/>
        <v>0.20024075858183193</v>
      </c>
      <c r="BK50" s="35">
        <f t="shared" si="95"/>
        <v>0.19134104118950315</v>
      </c>
      <c r="BL50" s="35">
        <f t="shared" si="95"/>
        <v>0.20722884436970601</v>
      </c>
      <c r="BM50" s="35">
        <f t="shared" si="95"/>
        <v>0.19715443189811727</v>
      </c>
      <c r="BN50" s="35">
        <f t="shared" si="95"/>
        <v>0.19301295795655826</v>
      </c>
      <c r="BO50" s="35">
        <f t="shared" ref="BO50:BT50" si="96">IF(ISERROR(BO15/BO$13),"--  ",BO15/BO$13)</f>
        <v>0.21346297834887384</v>
      </c>
      <c r="BP50" s="35">
        <f t="shared" si="96"/>
        <v>0.21588038928578487</v>
      </c>
      <c r="BQ50" s="35">
        <f t="shared" si="96"/>
        <v>0.2140889635634482</v>
      </c>
      <c r="BR50" s="35">
        <f t="shared" si="96"/>
        <v>0.17207769723460065</v>
      </c>
      <c r="BS50" s="35">
        <f t="shared" si="96"/>
        <v>0.17732824671988165</v>
      </c>
      <c r="BT50" s="35">
        <f t="shared" si="96"/>
        <v>0.22553011130448897</v>
      </c>
      <c r="BU50" s="35">
        <f t="shared" ref="BU50" si="97">IF(ISERROR(BU15/BU$13),"--  ",BU15/BU$13)</f>
        <v>0.2261261992946865</v>
      </c>
      <c r="BW50" s="35">
        <f t="shared" ref="BW50:CL50" si="98">IF(ISERROR(BW15/BW$13),"--  ",BW15/BW$13)</f>
        <v>0.26729244667410229</v>
      </c>
      <c r="BX50" s="35">
        <f t="shared" si="98"/>
        <v>0.22936900822814382</v>
      </c>
      <c r="BY50" s="35">
        <f t="shared" si="98"/>
        <v>0.2278610761443276</v>
      </c>
      <c r="BZ50" s="35">
        <f t="shared" si="98"/>
        <v>0.24241885699580731</v>
      </c>
      <c r="CA50" s="35">
        <f t="shared" si="98"/>
        <v>0.27148269532857411</v>
      </c>
      <c r="CB50" s="35">
        <f t="shared" si="98"/>
        <v>0.24075243397760332</v>
      </c>
      <c r="CC50" s="35">
        <f t="shared" si="98"/>
        <v>0.24545400988339447</v>
      </c>
      <c r="CD50" s="35">
        <f t="shared" si="98"/>
        <v>0.23162880714906378</v>
      </c>
      <c r="CE50" s="35">
        <f t="shared" si="98"/>
        <v>0.24454042836648071</v>
      </c>
      <c r="CF50" s="35">
        <f t="shared" si="98"/>
        <v>0.24681701389569594</v>
      </c>
      <c r="CG50" s="35">
        <f t="shared" si="98"/>
        <v>0.24672957323611425</v>
      </c>
      <c r="CH50" s="35">
        <f t="shared" si="98"/>
        <v>0.25726499326145541</v>
      </c>
      <c r="CI50" s="35">
        <f t="shared" si="98"/>
        <v>0.23180305721648192</v>
      </c>
      <c r="CJ50" s="35">
        <f t="shared" si="98"/>
        <v>0.22247383765745943</v>
      </c>
      <c r="CK50" s="35">
        <f t="shared" si="98"/>
        <v>0.19722457640983102</v>
      </c>
      <c r="CL50" s="35">
        <f t="shared" si="98"/>
        <v>0.20771794548188199</v>
      </c>
      <c r="CM50" s="35">
        <f>IF(ISERROR(CM15/CM$13),"--  ",CM15/CM$13)</f>
        <v>0.20231441104639702</v>
      </c>
      <c r="CN50" s="35">
        <f>IF(ISERROR(CN15/CN$13),"--  ",CN15/CN$13)</f>
        <v>0.19489194574997398</v>
      </c>
    </row>
    <row r="51" spans="2:92" x14ac:dyDescent="0.35">
      <c r="B51" s="10" t="str">
        <f>IF(Control!$D$5=1,"EBITDA Margin","Margem EBITDA")</f>
        <v>Margem EBITDA</v>
      </c>
      <c r="C51" s="10"/>
      <c r="D51" s="35">
        <f>IF(ISERROR(D40/D$13),"--  ",D40/D$13)</f>
        <v>0.16357300097764707</v>
      </c>
      <c r="E51" s="35">
        <v>6.0424111694193032E-2</v>
      </c>
      <c r="F51" s="35">
        <v>0.16897076277561421</v>
      </c>
      <c r="G51" s="35">
        <f>IF(ISERROR(G40/G$13),"--  ",G40/G$13)</f>
        <v>4.6293040678407414E-2</v>
      </c>
      <c r="H51" s="35">
        <f t="shared" ref="H51:AN51" si="99">IF(ISERROR(H40/H$13),"--  ",H40/H$13)</f>
        <v>0.10597846689374837</v>
      </c>
      <c r="I51" s="35">
        <f t="shared" si="99"/>
        <v>0.10134015669524435</v>
      </c>
      <c r="J51" s="35">
        <f t="shared" si="99"/>
        <v>6.8389938951240722E-2</v>
      </c>
      <c r="K51" s="35">
        <f t="shared" si="99"/>
        <v>9.6472648023899918E-2</v>
      </c>
      <c r="L51" s="35">
        <f t="shared" si="99"/>
        <v>0.12242284687315724</v>
      </c>
      <c r="M51" s="35">
        <f t="shared" si="99"/>
        <v>8.632115782219138E-2</v>
      </c>
      <c r="N51" s="35">
        <f t="shared" si="99"/>
        <v>8.6108512887496699E-2</v>
      </c>
      <c r="O51" s="35">
        <f t="shared" si="99"/>
        <v>0.10884666274625145</v>
      </c>
      <c r="P51" s="35">
        <f t="shared" si="99"/>
        <v>0.12741184656960841</v>
      </c>
      <c r="Q51" s="35">
        <f t="shared" si="99"/>
        <v>0.13000392165150851</v>
      </c>
      <c r="R51" s="35">
        <f t="shared" si="99"/>
        <v>0.10827379430940814</v>
      </c>
      <c r="S51" s="35">
        <f t="shared" si="99"/>
        <v>0.10740859908250049</v>
      </c>
      <c r="T51" s="35">
        <f t="shared" si="99"/>
        <v>0.12543100355054668</v>
      </c>
      <c r="U51" s="35">
        <f t="shared" si="99"/>
        <v>0.12154231914657361</v>
      </c>
      <c r="V51" s="35">
        <f t="shared" si="99"/>
        <v>0.10998050438620673</v>
      </c>
      <c r="W51" s="35">
        <f t="shared" si="99"/>
        <v>0.1016966289076324</v>
      </c>
      <c r="X51" s="35">
        <f t="shared" si="99"/>
        <v>0.12527810795160149</v>
      </c>
      <c r="Y51" s="35">
        <f t="shared" si="99"/>
        <v>0.10364111461183595</v>
      </c>
      <c r="Z51" s="35">
        <f t="shared" si="99"/>
        <v>9.0901634862485647E-2</v>
      </c>
      <c r="AA51" s="35">
        <f t="shared" si="99"/>
        <v>0.10072666403240983</v>
      </c>
      <c r="AB51" s="35">
        <f t="shared" si="99"/>
        <v>0.11244061805859557</v>
      </c>
      <c r="AC51" s="35">
        <f t="shared" si="99"/>
        <v>0.10155549325789084</v>
      </c>
      <c r="AD51" s="35">
        <f t="shared" si="99"/>
        <v>9.6261149022173767E-2</v>
      </c>
      <c r="AE51" s="35">
        <f t="shared" si="99"/>
        <v>8.3004811826126179E-2</v>
      </c>
      <c r="AF51" s="35">
        <f>IF(ISERROR(AF40/AF$13),"--  ",AF40/AF$13)</f>
        <v>0.10708693183826846</v>
      </c>
      <c r="AG51" s="35">
        <f t="shared" si="99"/>
        <v>0.10296005270992445</v>
      </c>
      <c r="AH51" s="35">
        <f t="shared" si="99"/>
        <v>9.5336097205295525E-2</v>
      </c>
      <c r="AI51" s="35">
        <f t="shared" si="99"/>
        <v>9.5907276741108827E-2</v>
      </c>
      <c r="AJ51" s="35">
        <f t="shared" si="99"/>
        <v>0.11129476147602092</v>
      </c>
      <c r="AK51" s="35">
        <f t="shared" si="99"/>
        <v>0.1389898913729084</v>
      </c>
      <c r="AL51" s="35">
        <f t="shared" si="99"/>
        <v>0.11419429964925262</v>
      </c>
      <c r="AM51" s="35">
        <f t="shared" si="99"/>
        <v>7.7528499338514315E-2</v>
      </c>
      <c r="AN51" s="35">
        <f t="shared" si="99"/>
        <v>0.10390687025267653</v>
      </c>
      <c r="AO51" s="35">
        <f t="shared" ref="AO51:AT51" si="100">IF(ISERROR(AO40/AO$13),"--  ",AO40/AO$13)</f>
        <v>9.833589382770222E-2</v>
      </c>
      <c r="AP51" s="35">
        <f t="shared" si="100"/>
        <v>0.11118022228107698</v>
      </c>
      <c r="AQ51" s="35">
        <f t="shared" si="100"/>
        <v>0.10688440361055691</v>
      </c>
      <c r="AR51" s="35">
        <f t="shared" si="100"/>
        <v>8.1640780565511606E-2</v>
      </c>
      <c r="AS51" s="35">
        <f t="shared" si="100"/>
        <v>0.11749301675977647</v>
      </c>
      <c r="AT51" s="35">
        <f t="shared" si="100"/>
        <v>0.11951373539627408</v>
      </c>
      <c r="AU51" s="35">
        <f>IF(ISERROR(AU40/AU$13),"--  ",AU40/AU$13)</f>
        <v>8.6486486486486644E-2</v>
      </c>
      <c r="AV51" s="35">
        <f t="shared" ref="AV51:BA51" si="101">IF(ISERROR(AV40/AV$13),"--  ",AV40/AV$13)</f>
        <v>6.7092393500929548E-2</v>
      </c>
      <c r="AW51" s="35">
        <f t="shared" si="101"/>
        <v>7.2519829513180936E-2</v>
      </c>
      <c r="AX51" s="35">
        <f t="shared" si="101"/>
        <v>9.2123429781178753E-2</v>
      </c>
      <c r="AY51" s="35">
        <f t="shared" si="101"/>
        <v>9.1869475662585298E-2</v>
      </c>
      <c r="AZ51" s="35">
        <f t="shared" si="101"/>
        <v>0.11373211088130362</v>
      </c>
      <c r="BA51" s="35">
        <f t="shared" si="101"/>
        <v>0.10846707741471333</v>
      </c>
      <c r="BB51" s="35">
        <f t="shared" ref="BB51:BG51" si="102">IF(ISERROR(BB40/BB$13),"--  ",BB40/BB$13)</f>
        <v>0.11885272009095207</v>
      </c>
      <c r="BC51" s="35">
        <f t="shared" si="102"/>
        <v>7.9735950664466232E-2</v>
      </c>
      <c r="BD51" s="35">
        <f t="shared" si="102"/>
        <v>8.1470005254385899E-2</v>
      </c>
      <c r="BE51" s="35">
        <f t="shared" si="102"/>
        <v>8.6126593119302111E-2</v>
      </c>
      <c r="BF51" s="35">
        <f t="shared" si="102"/>
        <v>8.8291155529998971E-2</v>
      </c>
      <c r="BG51" s="35">
        <f t="shared" si="102"/>
        <v>0.10326988516697891</v>
      </c>
      <c r="BH51" s="35">
        <f t="shared" ref="BH51:BS51" si="103">IF(ISERROR(BH40/BH$13),"--  ",BH40/BH$13)</f>
        <v>0.10206394408804069</v>
      </c>
      <c r="BI51" s="35">
        <f t="shared" si="103"/>
        <v>7.7307334295070224E-2</v>
      </c>
      <c r="BJ51" s="35">
        <f t="shared" si="103"/>
        <v>0.11914626853043034</v>
      </c>
      <c r="BK51" s="35">
        <f t="shared" si="103"/>
        <v>6.2480047702410717E-2</v>
      </c>
      <c r="BL51" s="35">
        <f t="shared" si="103"/>
        <v>7.4793115569659882E-2</v>
      </c>
      <c r="BM51" s="35">
        <f t="shared" si="103"/>
        <v>7.2988961919098483E-2</v>
      </c>
      <c r="BN51" s="35">
        <f t="shared" si="103"/>
        <v>8.2994846115942461E-2</v>
      </c>
      <c r="BO51" s="35">
        <f t="shared" si="103"/>
        <v>9.4633921906570939E-2</v>
      </c>
      <c r="BP51" s="35">
        <f t="shared" si="103"/>
        <v>8.7775191059943428E-2</v>
      </c>
      <c r="BQ51" s="35">
        <f t="shared" si="103"/>
        <v>8.816486589239507E-2</v>
      </c>
      <c r="BR51" s="35">
        <f t="shared" si="103"/>
        <v>5.5201047472874964E-2</v>
      </c>
      <c r="BS51" s="35">
        <f t="shared" si="103"/>
        <v>6.4680489585432488E-2</v>
      </c>
      <c r="BT51" s="35">
        <f t="shared" ref="BT51" si="104">IF(ISERROR(BT40/BT$13),"--  ",BT40/BT$13)</f>
        <v>8.6739058680548237E-2</v>
      </c>
      <c r="BU51" s="35">
        <f t="shared" ref="BU51" si="105">IF(ISERROR(BU40/BU$13),"--  ",BU40/BU$13)</f>
        <v>8.4097288691223321E-2</v>
      </c>
      <c r="BW51" s="35">
        <f t="shared" ref="BW51:CE51" si="106">IF(ISERROR(BW40/BW$13),"--  ",BW40/BW$13)</f>
        <v>0.12354507883763659</v>
      </c>
      <c r="BX51" s="35">
        <f t="shared" si="106"/>
        <v>0.11141267534616557</v>
      </c>
      <c r="BY51" s="35">
        <f t="shared" si="106"/>
        <v>9.3875723355501317E-2</v>
      </c>
      <c r="BZ51" s="35">
        <f t="shared" si="106"/>
        <v>0.10063381753504982</v>
      </c>
      <c r="CA51" s="35">
        <f t="shared" si="106"/>
        <v>0.11719994752592595</v>
      </c>
      <c r="CB51" s="35">
        <f t="shared" si="106"/>
        <v>0.1134486245131414</v>
      </c>
      <c r="CC51" s="35">
        <f t="shared" si="106"/>
        <v>0.10479251656329927</v>
      </c>
      <c r="CD51" s="35">
        <f t="shared" si="106"/>
        <v>9.8288473037846116E-2</v>
      </c>
      <c r="CE51" s="35">
        <f t="shared" si="106"/>
        <v>0.10000380709249514</v>
      </c>
      <c r="CF51" s="35">
        <f t="shared" ref="CF51:CK51" si="107">IF(ISERROR(CF40/CF$13),"--  ",CF40/CF$13)</f>
        <v>0.11056489653665631</v>
      </c>
      <c r="CG51" s="35">
        <f t="shared" si="107"/>
        <v>0.10503967402959485</v>
      </c>
      <c r="CH51" s="35">
        <f t="shared" si="107"/>
        <v>0.10175202156334222</v>
      </c>
      <c r="CI51" s="35">
        <f t="shared" si="107"/>
        <v>8.1869540602121663E-2</v>
      </c>
      <c r="CJ51" s="35">
        <f t="shared" si="107"/>
        <v>0.10541524427004167</v>
      </c>
      <c r="CK51" s="35">
        <f t="shared" si="107"/>
        <v>8.9817387136807453E-2</v>
      </c>
      <c r="CL51" s="35">
        <f>IF(ISERROR(CL40/CL$13),"--  ",CL40/CL$13)</f>
        <v>9.0129937931434645E-2</v>
      </c>
      <c r="CM51" s="35">
        <f>IF(ISERROR(CM40/CM$13),"--  ",CM40/CM$13)</f>
        <v>8.1247335429920395E-2</v>
      </c>
      <c r="CN51" s="35">
        <f>IF(ISERROR(CN40/CN$13),"--  ",CN40/CN$13)</f>
        <v>7.3985074669056392E-2</v>
      </c>
    </row>
    <row r="52" spans="2:92" x14ac:dyDescent="0.35">
      <c r="B52" s="10" t="str">
        <f>IF(Control!$D$5=1,"EBIT Margin","Margem EBIT")</f>
        <v>Margem EBIT</v>
      </c>
      <c r="C52" s="10"/>
      <c r="D52" s="35">
        <f>IF(ISERROR(D20/D$13),"--  ",D20/D$13)</f>
        <v>0.1530084263871615</v>
      </c>
      <c r="E52" s="35">
        <v>4.6754772866295244E-2</v>
      </c>
      <c r="F52" s="35">
        <v>0.1655020812089403</v>
      </c>
      <c r="G52" s="35">
        <f>IF(ISERROR(G20/G$13),"--  ",G20/G$13)</f>
        <v>3.7796339414007452E-2</v>
      </c>
      <c r="H52" s="35">
        <f t="shared" ref="H52:AN52" si="108">IF(ISERROR(H20/H$13),"--  ",H20/H$13)</f>
        <v>9.6161008530784645E-2</v>
      </c>
      <c r="I52" s="35">
        <f t="shared" si="108"/>
        <v>8.9261821382192366E-2</v>
      </c>
      <c r="J52" s="35">
        <f t="shared" si="108"/>
        <v>5.3784223294500028E-2</v>
      </c>
      <c r="K52" s="35">
        <f t="shared" si="108"/>
        <v>7.4125202017729194E-2</v>
      </c>
      <c r="L52" s="35">
        <f t="shared" si="108"/>
        <v>0.11030018814411284</v>
      </c>
      <c r="M52" s="35">
        <f t="shared" si="108"/>
        <v>6.9375603032391236E-2</v>
      </c>
      <c r="N52" s="35">
        <f t="shared" si="108"/>
        <v>7.1657469877517671E-2</v>
      </c>
      <c r="O52" s="35">
        <f t="shared" si="108"/>
        <v>7.8732970694894003E-2</v>
      </c>
      <c r="P52" s="35">
        <f t="shared" si="108"/>
        <v>0.10534988969021558</v>
      </c>
      <c r="Q52" s="35">
        <f t="shared" si="108"/>
        <v>0.10660316878835066</v>
      </c>
      <c r="R52" s="35">
        <f t="shared" si="108"/>
        <v>8.1342275344149728E-2</v>
      </c>
      <c r="S52" s="35">
        <f t="shared" si="108"/>
        <v>8.3785101857866806E-2</v>
      </c>
      <c r="T52" s="35">
        <f t="shared" si="108"/>
        <v>0.10577484955455854</v>
      </c>
      <c r="U52" s="35">
        <f t="shared" si="108"/>
        <v>0.10183078307532437</v>
      </c>
      <c r="V52" s="35">
        <f t="shared" si="108"/>
        <v>9.1256872785912144E-2</v>
      </c>
      <c r="W52" s="35">
        <f t="shared" si="108"/>
        <v>7.6346356505947802E-2</v>
      </c>
      <c r="X52" s="35">
        <f t="shared" si="108"/>
        <v>0.10528715744954191</v>
      </c>
      <c r="Y52" s="35">
        <f t="shared" si="108"/>
        <v>7.8402295619215842E-2</v>
      </c>
      <c r="Z52" s="35">
        <f t="shared" si="108"/>
        <v>7.2069550002733879E-2</v>
      </c>
      <c r="AA52" s="35">
        <f t="shared" si="108"/>
        <v>7.9427179449324356E-2</v>
      </c>
      <c r="AB52" s="35">
        <f t="shared" si="108"/>
        <v>9.2572595943382435E-2</v>
      </c>
      <c r="AC52" s="35">
        <f t="shared" si="108"/>
        <v>8.1195698184941156E-2</v>
      </c>
      <c r="AD52" s="35">
        <f t="shared" si="108"/>
        <v>7.5460385715068357E-2</v>
      </c>
      <c r="AE52" s="35">
        <f t="shared" si="108"/>
        <v>6.1055789711626555E-2</v>
      </c>
      <c r="AF52" s="35">
        <f>IF(ISERROR(AF20/AF$13),"--  ",AF20/AF$13)</f>
        <v>8.5512538705806745E-2</v>
      </c>
      <c r="AG52" s="35">
        <f t="shared" si="108"/>
        <v>8.2975182410502779E-2</v>
      </c>
      <c r="AH52" s="35">
        <f t="shared" si="108"/>
        <v>7.6123923112835806E-2</v>
      </c>
      <c r="AI52" s="35">
        <f t="shared" si="108"/>
        <v>7.53808718694432E-2</v>
      </c>
      <c r="AJ52" s="35">
        <f t="shared" si="108"/>
        <v>9.0976459602347126E-2</v>
      </c>
      <c r="AK52" s="35">
        <f t="shared" si="108"/>
        <v>0.12223355963650093</v>
      </c>
      <c r="AL52" s="35">
        <f t="shared" si="108"/>
        <v>9.7526744882190902E-2</v>
      </c>
      <c r="AM52" s="35">
        <f t="shared" si="108"/>
        <v>6.0962837971655151E-2</v>
      </c>
      <c r="AN52" s="35">
        <f t="shared" si="108"/>
        <v>8.6532757704851415E-2</v>
      </c>
      <c r="AO52" s="35">
        <f>IF(ISERROR(AO20/AO$13),"--  ",AO20/AO$13)</f>
        <v>7.8969949693816321E-2</v>
      </c>
      <c r="AP52" s="35">
        <f>IF(ISERROR(AP20/AP$13),"--  ",AP20/AP$13)</f>
        <v>9.1155428529033466E-2</v>
      </c>
      <c r="AQ52" s="35">
        <f t="shared" ref="AQ52:AV52" si="109">IF(ISERROR(AQ20/AQ$13),"--  ",AQ20/AQ$13)</f>
        <v>8.6108565711179183E-2</v>
      </c>
      <c r="AR52" s="35">
        <f t="shared" si="109"/>
        <v>5.7048984468339156E-2</v>
      </c>
      <c r="AS52" s="35">
        <f t="shared" si="109"/>
        <v>9.5146648044692639E-2</v>
      </c>
      <c r="AT52" s="35">
        <f t="shared" si="109"/>
        <v>0.10080517840227345</v>
      </c>
      <c r="AU52" s="35">
        <f t="shared" si="109"/>
        <v>6.599099099099115E-2</v>
      </c>
      <c r="AV52" s="35">
        <f t="shared" si="109"/>
        <v>3.9851265055371399E-2</v>
      </c>
      <c r="AW52" s="35">
        <f t="shared" ref="AW52:BB52" si="110">IF(ISERROR(AW20/AW$13),"--  ",AW20/AW$13)</f>
        <v>4.4930550731270849E-2</v>
      </c>
      <c r="AX52" s="35">
        <f t="shared" si="110"/>
        <v>6.7182123561404586E-2</v>
      </c>
      <c r="AY52" s="35">
        <f t="shared" si="110"/>
        <v>6.5048350415336936E-2</v>
      </c>
      <c r="AZ52" s="35">
        <f t="shared" si="110"/>
        <v>9.0014713843505692E-2</v>
      </c>
      <c r="BA52" s="35">
        <f t="shared" si="110"/>
        <v>8.6939404206193852E-2</v>
      </c>
      <c r="BB52" s="35">
        <f t="shared" si="110"/>
        <v>9.8232001255024459E-2</v>
      </c>
      <c r="BC52" s="35">
        <f t="shared" ref="BC52:BH52" si="111">IF(ISERROR(BC20/BC$13),"--  ",BC20/BC$13)</f>
        <v>5.7042981764666337E-2</v>
      </c>
      <c r="BD52" s="35">
        <f t="shared" si="111"/>
        <v>6.3249780033511199E-2</v>
      </c>
      <c r="BE52" s="35">
        <f t="shared" si="111"/>
        <v>6.7830653249343467E-2</v>
      </c>
      <c r="BF52" s="35">
        <f t="shared" si="111"/>
        <v>6.9875057029235424E-2</v>
      </c>
      <c r="BG52" s="35">
        <f t="shared" si="111"/>
        <v>8.1532988856323277E-2</v>
      </c>
      <c r="BH52" s="35">
        <f t="shared" si="111"/>
        <v>7.9281489594742821E-2</v>
      </c>
      <c r="BI52" s="35">
        <f t="shared" ref="BI52:BS52" si="112">IF(ISERROR(BI20/BI$13),"--  ",BI20/BI$13)</f>
        <v>5.7411246388850694E-2</v>
      </c>
      <c r="BJ52" s="35">
        <f t="shared" si="112"/>
        <v>9.6431503991169593E-2</v>
      </c>
      <c r="BK52" s="35">
        <f t="shared" si="112"/>
        <v>3.5921698626167266E-2</v>
      </c>
      <c r="BL52" s="35">
        <f t="shared" si="112"/>
        <v>5.037738807329304E-2</v>
      </c>
      <c r="BM52" s="35">
        <f t="shared" si="112"/>
        <v>5.0571074785478218E-2</v>
      </c>
      <c r="BN52" s="35">
        <f t="shared" si="112"/>
        <v>6.0904393453102362E-2</v>
      </c>
      <c r="BO52" s="35">
        <f t="shared" si="112"/>
        <v>7.0201445568853577E-2</v>
      </c>
      <c r="BP52" s="35">
        <f t="shared" si="112"/>
        <v>6.5405336920533325E-2</v>
      </c>
      <c r="BQ52" s="35">
        <f t="shared" si="112"/>
        <v>6.7890825249267248E-2</v>
      </c>
      <c r="BR52" s="35">
        <f t="shared" si="112"/>
        <v>3.3201540287604005E-2</v>
      </c>
      <c r="BS52" s="35">
        <f t="shared" si="112"/>
        <v>4.231956513325328E-2</v>
      </c>
      <c r="BT52" s="35">
        <f t="shared" ref="BT52" si="113">IF(ISERROR(BT20/BT$13),"--  ",BT20/BT$13)</f>
        <v>6.1855466780386253E-2</v>
      </c>
      <c r="BU52" s="35">
        <f t="shared" ref="BU52" si="114">IF(ISERROR(BU20/BU$13),"--  ",BU20/BU$13)</f>
        <v>6.1645122879461743E-2</v>
      </c>
      <c r="BW52" s="35">
        <f t="shared" ref="BW52:CE52" si="115">IF(ISERROR(BW20/BW$13),"--  ",BW20/BW$13)</f>
        <v>0.12728448654877661</v>
      </c>
      <c r="BX52" s="35">
        <f t="shared" si="115"/>
        <v>0.10281776422611107</v>
      </c>
      <c r="BY52" s="35">
        <f t="shared" si="115"/>
        <v>7.9287149764193085E-2</v>
      </c>
      <c r="BZ52" s="35">
        <f t="shared" si="115"/>
        <v>8.2493669644291653E-2</v>
      </c>
      <c r="CA52" s="35">
        <f t="shared" si="115"/>
        <v>9.304000923902507E-2</v>
      </c>
      <c r="CB52" s="35">
        <f t="shared" si="115"/>
        <v>9.2472238301256671E-2</v>
      </c>
      <c r="CC52" s="35">
        <f t="shared" si="115"/>
        <v>8.3452671361637323E-2</v>
      </c>
      <c r="CD52" s="35">
        <f t="shared" si="115"/>
        <v>7.7541051128712207E-2</v>
      </c>
      <c r="CE52" s="35">
        <f t="shared" si="115"/>
        <v>7.9725719085285793E-2</v>
      </c>
      <c r="CF52" s="35">
        <f t="shared" ref="CF52:CK52" si="116">IF(ISERROR(CF20/CF$13),"--  ",CF20/CF$13)</f>
        <v>9.3062338324314681E-2</v>
      </c>
      <c r="CG52" s="35">
        <f t="shared" si="116"/>
        <v>8.5695903924512304E-2</v>
      </c>
      <c r="CH52" s="35">
        <f t="shared" si="116"/>
        <v>8.0420316711590181E-2</v>
      </c>
      <c r="CI52" s="35">
        <f t="shared" si="116"/>
        <v>5.5280819334758376E-2</v>
      </c>
      <c r="CJ52" s="35">
        <f t="shared" si="116"/>
        <v>8.3336960899568768E-2</v>
      </c>
      <c r="CK52" s="35">
        <f t="shared" si="116"/>
        <v>7.064481670001331E-2</v>
      </c>
      <c r="CL52" s="35">
        <f>IF(ISERROR(CL20/CL$13),"--  ",CL20/CL$13)</f>
        <v>6.7197962508015394E-2</v>
      </c>
      <c r="CM52" s="35">
        <f>IF(ISERROR(CM20/CM$13),"--  ",CM20/CM$13)</f>
        <v>5.7965166473627087E-2</v>
      </c>
      <c r="CN52" s="35">
        <f>IF(ISERROR(CN20/CN$13),"--  ",CN20/CN$13)</f>
        <v>5.2271003937203277E-2</v>
      </c>
    </row>
    <row r="53" spans="2:92" x14ac:dyDescent="0.35">
      <c r="B53" s="134" t="str">
        <f>IF(Control!$D$5=1,"Net Margin","Margem Líquida")</f>
        <v>Margem Líquida</v>
      </c>
      <c r="C53" s="134"/>
      <c r="D53" s="93">
        <f>IF(ISERROR(D29/D$13),"--  ",D29/D$13)</f>
        <v>0.10263632191858256</v>
      </c>
      <c r="E53" s="93">
        <v>-4.9338398634945204E-3</v>
      </c>
      <c r="F53" s="93">
        <v>6.7033316059578046E-2</v>
      </c>
      <c r="G53" s="93">
        <f>IF(ISERROR(G29/G$13),"--  ",G29/G$13)</f>
        <v>-1.1423065955331902E-2</v>
      </c>
      <c r="H53" s="93">
        <f t="shared" ref="H53:AN53" si="117">IF(ISERROR(H29/H$13),"--  ",H29/H$13)</f>
        <v>7.6407109079488708E-2</v>
      </c>
      <c r="I53" s="93">
        <f t="shared" si="117"/>
        <v>8.0694665837851801E-2</v>
      </c>
      <c r="J53" s="93">
        <f t="shared" si="117"/>
        <v>2.7665218202660293E-2</v>
      </c>
      <c r="K53" s="93">
        <f t="shared" si="117"/>
        <v>2.8377369116999507E-2</v>
      </c>
      <c r="L53" s="93">
        <f t="shared" si="117"/>
        <v>6.8192412456825197E-2</v>
      </c>
      <c r="M53" s="93">
        <f t="shared" si="117"/>
        <v>3.0062026188835057E-2</v>
      </c>
      <c r="N53" s="93">
        <f t="shared" si="117"/>
        <v>3.8197576918180959E-2</v>
      </c>
      <c r="O53" s="93">
        <f t="shared" si="117"/>
        <v>2.2778226992061511E-2</v>
      </c>
      <c r="P53" s="93">
        <f t="shared" si="117"/>
        <v>7.1946792385658098E-2</v>
      </c>
      <c r="Q53" s="93">
        <f t="shared" si="117"/>
        <v>2.1580824767929885E-2</v>
      </c>
      <c r="R53" s="93">
        <f t="shared" si="117"/>
        <v>3.7029824283807362E-2</v>
      </c>
      <c r="S53" s="93">
        <f t="shared" si="117"/>
        <v>3.9889187707039891E-2</v>
      </c>
      <c r="T53" s="93">
        <f t="shared" si="117"/>
        <v>4.9661519114516321E-2</v>
      </c>
      <c r="U53" s="93">
        <f t="shared" si="117"/>
        <v>6.1865784558578496E-2</v>
      </c>
      <c r="V53" s="93">
        <f t="shared" si="117"/>
        <v>4.1881872020056769E-2</v>
      </c>
      <c r="W53" s="93">
        <f t="shared" si="117"/>
        <v>4.6680951066209952E-2</v>
      </c>
      <c r="X53" s="93">
        <f t="shared" si="117"/>
        <v>5.265237033546432E-2</v>
      </c>
      <c r="Y53" s="93">
        <f t="shared" si="117"/>
        <v>3.0263286109017389E-2</v>
      </c>
      <c r="Z53" s="93">
        <f t="shared" si="117"/>
        <v>2.9887910766034226E-2</v>
      </c>
      <c r="AA53" s="93">
        <f t="shared" si="117"/>
        <v>2.7080013373918028E-2</v>
      </c>
      <c r="AB53" s="93">
        <f t="shared" si="117"/>
        <v>4.3417589485005195E-2</v>
      </c>
      <c r="AC53" s="93">
        <f t="shared" si="117"/>
        <v>3.7246061006787068E-2</v>
      </c>
      <c r="AD53" s="93">
        <f t="shared" si="117"/>
        <v>2.3130225306681868E-2</v>
      </c>
      <c r="AE53" s="93">
        <f t="shared" si="117"/>
        <v>1.0725754031216622E-2</v>
      </c>
      <c r="AF53" s="93">
        <f>IF(ISERROR(AF29/AF$13),"--  ",AF29/AF$13)</f>
        <v>3.4953241097924373E-2</v>
      </c>
      <c r="AG53" s="93">
        <f t="shared" si="117"/>
        <v>3.15751970521485E-2</v>
      </c>
      <c r="AH53" s="93">
        <f t="shared" si="117"/>
        <v>2.415357149726468E-2</v>
      </c>
      <c r="AI53" s="93">
        <f t="shared" si="117"/>
        <v>1.5637995643018477E-2</v>
      </c>
      <c r="AJ53" s="93">
        <f t="shared" si="117"/>
        <v>4.4737052869302303E-2</v>
      </c>
      <c r="AK53" s="93">
        <f t="shared" si="117"/>
        <v>4.9913162737977586E-2</v>
      </c>
      <c r="AL53" s="93">
        <f t="shared" si="117"/>
        <v>5.2651293126416421E-2</v>
      </c>
      <c r="AM53" s="93">
        <f t="shared" si="117"/>
        <v>1.5817826049068773E-2</v>
      </c>
      <c r="AN53" s="93">
        <f t="shared" si="117"/>
        <v>4.9933948508394943E-2</v>
      </c>
      <c r="AO53" s="93">
        <f t="shared" ref="AO53:AT53" si="118">IF(ISERROR(AO29/AO$13),"--  ",AO29/AO$13)</f>
        <v>3.4701368896233063E-2</v>
      </c>
      <c r="AP53" s="93">
        <f t="shared" si="118"/>
        <v>6.203527890382976E-2</v>
      </c>
      <c r="AQ53" s="93">
        <f t="shared" si="118"/>
        <v>6.9213081773175283E-2</v>
      </c>
      <c r="AR53" s="93">
        <f t="shared" si="118"/>
        <v>3.2457188371166706E-2</v>
      </c>
      <c r="AS53" s="93">
        <f t="shared" si="118"/>
        <v>6.9046787709497126E-2</v>
      </c>
      <c r="AT53" s="93">
        <f t="shared" si="118"/>
        <v>0.11864540574676351</v>
      </c>
      <c r="AU53" s="93">
        <f>IF(ISERROR(AU29/AU$13),"--  ",AU29/AU$13)</f>
        <v>7.5300300300300466E-2</v>
      </c>
      <c r="AV53" s="93">
        <f t="shared" ref="AV53:BA53" si="119">IF(ISERROR(AV29/AV$13),"--  ",AV29/AV$13)</f>
        <v>4.0255436100557714E-2</v>
      </c>
      <c r="AW53" s="93">
        <f t="shared" si="119"/>
        <v>3.2785612416278878E-2</v>
      </c>
      <c r="AX53" s="93">
        <f t="shared" si="119"/>
        <v>4.578842251762863E-2</v>
      </c>
      <c r="AY53" s="93">
        <f t="shared" si="119"/>
        <v>5.6050554955657771E-2</v>
      </c>
      <c r="AZ53" s="93">
        <f t="shared" si="119"/>
        <v>6.33042295359586E-2</v>
      </c>
      <c r="BA53" s="93">
        <f t="shared" si="119"/>
        <v>7.2489501246465568E-2</v>
      </c>
      <c r="BB53" s="93">
        <f t="shared" ref="BB53:BG53" si="120">IF(ISERROR(BB29/BB$13),"--  ",BB29/BB$13)</f>
        <v>6.495417144610785E-2</v>
      </c>
      <c r="BC53" s="93">
        <f t="shared" si="120"/>
        <v>4.6474125230051649E-2</v>
      </c>
      <c r="BD53" s="93">
        <f t="shared" si="120"/>
        <v>4.792566949115757E-2</v>
      </c>
      <c r="BE53" s="93">
        <f t="shared" si="120"/>
        <v>4.8015235347809784E-2</v>
      </c>
      <c r="BF53" s="93">
        <f t="shared" si="120"/>
        <v>5.301816092429372E-2</v>
      </c>
      <c r="BG53" s="93">
        <f t="shared" si="120"/>
        <v>6.3297760899433633E-2</v>
      </c>
      <c r="BH53" s="93">
        <f t="shared" ref="BH53:BS53" si="121">IF(ISERROR(BH29/BH$13),"--  ",BH29/BH$13)</f>
        <v>4.0400146038700471E-2</v>
      </c>
      <c r="BI53" s="93">
        <f t="shared" si="121"/>
        <v>3.4830206452043495E-2</v>
      </c>
      <c r="BJ53" s="93">
        <f t="shared" si="121"/>
        <v>5.6567882574424556E-2</v>
      </c>
      <c r="BK53" s="93">
        <f t="shared" si="121"/>
        <v>6.3146782833818143E-3</v>
      </c>
      <c r="BL53" s="93">
        <f t="shared" si="121"/>
        <v>2.4121378200782188E-2</v>
      </c>
      <c r="BM53" s="93">
        <f t="shared" si="121"/>
        <v>1.6104303625833233E-2</v>
      </c>
      <c r="BN53" s="93">
        <f t="shared" si="121"/>
        <v>4.760217874788588E-2</v>
      </c>
      <c r="BO53" s="93">
        <f t="shared" si="121"/>
        <v>3.973913049318735E-2</v>
      </c>
      <c r="BP53" s="93">
        <f t="shared" si="121"/>
        <v>2.7071530353972115E-2</v>
      </c>
      <c r="BQ53" s="93">
        <f t="shared" si="121"/>
        <v>3.6413250101178601E-2</v>
      </c>
      <c r="BR53" s="93">
        <f t="shared" si="121"/>
        <v>1.4287439827482529E-2</v>
      </c>
      <c r="BS53" s="93">
        <f t="shared" si="121"/>
        <v>-8.2141422445605582E-3</v>
      </c>
      <c r="BT53" s="93">
        <f t="shared" ref="BT53" si="122">IF(ISERROR(BT29/BT$13),"--  ",BT29/BT$13)</f>
        <v>2.4554638778586695E-2</v>
      </c>
      <c r="BU53" s="93">
        <f t="shared" ref="BU53" si="123">IF(ISERROR(BU29/BU$13),"--  ",BU29/BU$13)</f>
        <v>2.6415023418716457E-2</v>
      </c>
      <c r="BW53" s="93">
        <f t="shared" ref="BW53:CE53" si="124">IF(ISERROR(BW29/BW$13),"--  ",BW29/BW$13)</f>
        <v>6.6467046469545585E-2</v>
      </c>
      <c r="BX53" s="93">
        <f t="shared" si="124"/>
        <v>3.8373112717838317E-2</v>
      </c>
      <c r="BY53" s="93">
        <f t="shared" si="124"/>
        <v>5.4379884720035944E-2</v>
      </c>
      <c r="BZ53" s="93">
        <f t="shared" si="124"/>
        <v>4.0114053034234459E-2</v>
      </c>
      <c r="CA53" s="93">
        <f t="shared" si="124"/>
        <v>4.1391729054379121E-2</v>
      </c>
      <c r="CB53" s="93">
        <f t="shared" si="124"/>
        <v>4.9198963913843874E-2</v>
      </c>
      <c r="CC53" s="93">
        <f t="shared" si="124"/>
        <v>3.4681506370263439E-2</v>
      </c>
      <c r="CD53" s="93">
        <f t="shared" si="124"/>
        <v>2.8554468137664313E-2</v>
      </c>
      <c r="CE53" s="93">
        <f t="shared" si="124"/>
        <v>2.6194688089168319E-2</v>
      </c>
      <c r="CF53" s="93">
        <f t="shared" ref="CF53:CK53" si="125">IF(ISERROR(CF29/CF$13),"--  ",CF29/CF$13)</f>
        <v>4.0743839018260709E-2</v>
      </c>
      <c r="CG53" s="93">
        <f t="shared" si="125"/>
        <v>5.3762384730860154E-2</v>
      </c>
      <c r="CH53" s="93">
        <f t="shared" si="125"/>
        <v>7.6292958221024151E-2</v>
      </c>
      <c r="CI53" s="93">
        <f t="shared" si="125"/>
        <v>4.4408863092408601E-2</v>
      </c>
      <c r="CJ53" s="93">
        <f t="shared" si="125"/>
        <v>6.1971243155117574E-2</v>
      </c>
      <c r="CK53" s="93">
        <f t="shared" si="125"/>
        <v>5.3097051647603928E-2</v>
      </c>
      <c r="CL53" s="93">
        <f>IF(ISERROR(CL29/CL$13),"--  ",CL29/CL$13)</f>
        <v>3.4656255536237086E-2</v>
      </c>
      <c r="CM53" s="93">
        <f>IF(ISERROR(CM29/CM$13),"--  ",CM29/CM$13)</f>
        <v>3.2041029645135756E-2</v>
      </c>
      <c r="CN53" s="93">
        <f>IF(ISERROR(CN29/CN$13),"--  ",CN29/CN$13)</f>
        <v>1.7695497227920125E-2</v>
      </c>
    </row>
    <row r="54" spans="2:92" ht="15.65" customHeight="1" x14ac:dyDescent="0.35">
      <c r="B54" s="10"/>
      <c r="C54" s="10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5"/>
      <c r="BW54" s="59"/>
      <c r="BX54" s="59"/>
      <c r="BY54" s="59"/>
      <c r="BZ54" s="59"/>
      <c r="CA54" s="59"/>
      <c r="CB54" s="59"/>
      <c r="CC54" s="57"/>
      <c r="CD54" s="57"/>
      <c r="CE54" s="63"/>
      <c r="CF54" s="63"/>
      <c r="CG54" s="63"/>
      <c r="CH54" s="63"/>
      <c r="CI54" s="63"/>
      <c r="CJ54" s="63"/>
      <c r="CK54" s="63"/>
      <c r="CL54" s="63"/>
      <c r="CM54" s="63"/>
      <c r="CN54" s="63"/>
    </row>
    <row r="55" spans="2:92" x14ac:dyDescent="0.35">
      <c r="B55" s="10"/>
      <c r="C55" s="10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</row>
    <row r="56" spans="2:92" x14ac:dyDescent="0.35">
      <c r="B56" s="10"/>
      <c r="C56" s="10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</row>
    <row r="58" spans="2:92" x14ac:dyDescent="0.35">
      <c r="D58" s="88"/>
      <c r="E58" s="88"/>
      <c r="F58" s="88"/>
      <c r="G58" s="88"/>
      <c r="H58" s="88"/>
      <c r="I58" s="88"/>
      <c r="J58" s="88"/>
      <c r="K58" s="88"/>
      <c r="M58" s="88"/>
      <c r="N58" s="88"/>
      <c r="O58" s="88"/>
      <c r="Q58" s="88"/>
      <c r="R58" s="88"/>
      <c r="S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</row>
    <row r="62" spans="2:92" x14ac:dyDescent="0.35">
      <c r="D62" s="89"/>
      <c r="E62" s="89"/>
      <c r="F62" s="89"/>
      <c r="G62" s="89"/>
      <c r="H62" s="89"/>
      <c r="I62" s="89"/>
      <c r="J62" s="89"/>
      <c r="K62" s="89"/>
      <c r="M62" s="89"/>
      <c r="N62" s="89"/>
      <c r="O62" s="89"/>
      <c r="Q62" s="89"/>
      <c r="R62" s="89"/>
      <c r="S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</row>
    <row r="63" spans="2:92" ht="10.5" x14ac:dyDescent="0.25">
      <c r="BV63" s="5"/>
    </row>
  </sheetData>
  <dataConsolidate link="1"/>
  <phoneticPr fontId="9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4" fitToWidth="0" orientation="landscape" r:id="rId1"/>
  <ignoredErrors>
    <ignoredError sqref="D6:G6 T6:W6 D7:G8 D5:G5 D11:G19 D10:G10 D21:G21 H6:K6 H7:K8 H5:K5 H11:K19 H21:K21 L6:O6 L7:O8 L5:O5 L11:O19 L21:O21 P7:S8 P5:S5 P11:S19 P21:S21 T7:W8 T5:W5 T11:W19 T21:W21 X6:AA6 X7:AA8 X5:AA5 X11:AA19 X21:AA21 AB6:AE6 AB7:AE8 AB5:AE5 AB11:AE19 AB21:AE21 AF6:AI6 AF7:AI8 AF5:AI5 AF11:AI19 AF21:AI21 AJ6:AM6 AJ7:AM8 AJ5:AM5 AJ11:AM19 AJ21:AM21 AN6 AN7:AN8 AN5 AN11:AN19 AN21:BC21 BW21:CG21 CI24 CI10 CI26 CI21 BD21:BE21 CJ11:CK14 BH26:BL26 BF21:BO21 CJ21:CK29 CJ16:CK19 CJ15 BL10:BM10 CL21:CN21" formulaRange="1"/>
    <ignoredError sqref="CH10 CH13 CH15 CH24:CH26 CH21 CI13 CI15" formula="1" formulaRange="1"/>
    <ignoredError sqref="CH2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  <pageSetUpPr fitToPage="1"/>
  </sheetPr>
  <dimension ref="A1:CT146"/>
  <sheetViews>
    <sheetView showGridLines="0" zoomScale="85" zoomScaleNormal="85" workbookViewId="0">
      <pane xSplit="2" ySplit="7" topLeftCell="BP8" activePane="bottomRight" state="frozen"/>
      <selection activeCell="AI67" sqref="AI67"/>
      <selection pane="topRight" activeCell="AI67" sqref="AI67"/>
      <selection pane="bottomLeft" activeCell="AI67" sqref="AI67"/>
      <selection pane="bottomRight" activeCell="BU2" sqref="BU2"/>
    </sheetView>
  </sheetViews>
  <sheetFormatPr defaultColWidth="11.7265625" defaultRowHeight="14.5" outlineLevelRow="1" x14ac:dyDescent="0.35"/>
  <cols>
    <col min="1" max="1" width="5.26953125" style="5" customWidth="1"/>
    <col min="2" max="2" width="48" style="5" customWidth="1"/>
    <col min="3" max="54" width="11.453125" style="60" customWidth="1"/>
    <col min="55" max="55" width="13.1796875" style="60" bestFit="1" customWidth="1"/>
    <col min="56" max="57" width="12.81640625" style="60" bestFit="1" customWidth="1"/>
    <col min="58" max="58" width="13.1796875" style="60" bestFit="1" customWidth="1"/>
    <col min="59" max="59" width="13.54296875" style="60" bestFit="1" customWidth="1"/>
    <col min="60" max="61" width="13.453125" style="60" bestFit="1" customWidth="1"/>
    <col min="62" max="63" width="13.54296875" style="60" bestFit="1" customWidth="1"/>
    <col min="64" max="65" width="13.453125" style="60" bestFit="1" customWidth="1"/>
    <col min="66" max="67" width="13.54296875" style="60" bestFit="1" customWidth="1"/>
    <col min="68" max="68" width="13.453125" style="60" bestFit="1" customWidth="1"/>
    <col min="69" max="73" width="14.81640625" style="60" customWidth="1"/>
    <col min="74" max="74" width="5.54296875" style="60" customWidth="1"/>
    <col min="75" max="92" width="11.453125" style="60" customWidth="1"/>
    <col min="94" max="94" width="13.7265625" bestFit="1" customWidth="1"/>
    <col min="98" max="98" width="12.453125" style="5" customWidth="1"/>
    <col min="99" max="16384" width="11.7265625" style="5"/>
  </cols>
  <sheetData>
    <row r="1" spans="1:98" s="14" customFormat="1" ht="13" x14ac:dyDescent="0.3"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8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</row>
    <row r="2" spans="1:98" s="14" customFormat="1" ht="18.5" x14ac:dyDescent="0.45">
      <c r="B2" s="15" t="str">
        <f>IF(Control!$D$5=1,"Balance Sheet","Balanço Patrimonial")</f>
        <v>Balanço Patrimonial</v>
      </c>
      <c r="C2" s="54"/>
      <c r="D2" s="62"/>
      <c r="E2" s="54"/>
      <c r="F2" s="54"/>
      <c r="G2" s="54"/>
      <c r="H2" s="62"/>
      <c r="I2" s="54"/>
      <c r="J2" s="54"/>
      <c r="K2" s="54"/>
      <c r="L2" s="62"/>
      <c r="M2" s="54"/>
      <c r="N2" s="54"/>
      <c r="O2" s="54"/>
      <c r="P2" s="62"/>
      <c r="Q2" s="54"/>
      <c r="R2" s="54"/>
      <c r="S2" s="54"/>
      <c r="T2" s="62"/>
      <c r="U2" s="54"/>
      <c r="V2" s="54"/>
      <c r="W2" s="54"/>
      <c r="X2" s="54"/>
      <c r="Y2" s="54"/>
      <c r="Z2" s="62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218"/>
      <c r="BR2" s="218"/>
      <c r="BS2" s="218"/>
      <c r="BT2" s="218"/>
      <c r="BU2" s="218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</row>
    <row r="3" spans="1:98" s="14" customFormat="1" x14ac:dyDescent="0.35">
      <c r="B3" s="21" t="str">
        <f>IF(Control!$D$5=1,"Consolidated Financials","Consolidado")</f>
        <v>Consolidado</v>
      </c>
      <c r="C3" s="53"/>
      <c r="D3" s="84"/>
      <c r="E3" s="53"/>
      <c r="F3" s="53"/>
      <c r="G3" s="53"/>
      <c r="H3" s="84"/>
      <c r="I3" s="53"/>
      <c r="J3" s="53"/>
      <c r="K3" s="53"/>
      <c r="L3" s="84"/>
      <c r="M3" s="53"/>
      <c r="N3" s="53"/>
      <c r="O3" s="53"/>
      <c r="P3" s="84"/>
      <c r="Q3" s="53"/>
      <c r="R3" s="53"/>
      <c r="S3" s="53"/>
      <c r="T3" s="84"/>
      <c r="U3" s="53"/>
      <c r="V3" s="53"/>
      <c r="W3" s="53"/>
      <c r="X3" s="53"/>
      <c r="Y3" s="53"/>
      <c r="Z3" s="84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</row>
    <row r="4" spans="1:98" s="14" customFormat="1" ht="13" x14ac:dyDescent="0.3">
      <c r="C4" s="55"/>
      <c r="D4" s="53"/>
      <c r="E4" s="55"/>
      <c r="F4" s="55"/>
      <c r="G4" s="55"/>
      <c r="H4" s="53"/>
      <c r="I4" s="55"/>
      <c r="J4" s="55"/>
      <c r="K4" s="55"/>
      <c r="L4" s="53"/>
      <c r="M4" s="55"/>
      <c r="N4" s="55"/>
      <c r="O4" s="55"/>
      <c r="P4" s="53"/>
      <c r="Q4" s="55"/>
      <c r="R4" s="55"/>
      <c r="S4" s="55"/>
      <c r="T4" s="53"/>
      <c r="U4" s="55"/>
      <c r="V4" s="55"/>
      <c r="W4" s="55"/>
      <c r="X4" s="55"/>
      <c r="Y4" s="55"/>
      <c r="Z4" s="53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</row>
    <row r="5" spans="1:98" s="1" customFormat="1" x14ac:dyDescent="0.35">
      <c r="A5" s="6"/>
      <c r="B5" s="22" t="str">
        <f>IF(Control!$D$5=1,"FINANCIAL STATEMENTS","DEMONSTRATIVOS FINANCEIROS")</f>
        <v>DEMONSTRATIVOS FINANCEIROS</v>
      </c>
      <c r="C5" s="56"/>
      <c r="D5" s="107"/>
      <c r="E5" s="107"/>
      <c r="F5" s="107"/>
      <c r="G5" s="56"/>
      <c r="H5" s="107"/>
      <c r="I5" s="107"/>
      <c r="J5" s="107"/>
      <c r="K5" s="56"/>
      <c r="L5" s="107"/>
      <c r="M5" s="107"/>
      <c r="N5" s="107"/>
      <c r="O5" s="56"/>
      <c r="P5" s="107"/>
      <c r="Q5" s="107"/>
      <c r="R5" s="107"/>
      <c r="S5" s="56"/>
      <c r="T5" s="107"/>
      <c r="U5" s="107"/>
      <c r="V5" s="107"/>
      <c r="W5" s="56"/>
      <c r="X5" s="107"/>
      <c r="Y5" s="56"/>
      <c r="Z5" s="107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5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</row>
    <row r="6" spans="1:98" s="6" customFormat="1" x14ac:dyDescent="0.35">
      <c r="B6" s="22" t="str">
        <f>IF(Control!$D$5=1,"In "&amp;TEXT(Control!$D$8,0)&amp;" "&amp;TEXT(Control!$D$7,0)&amp;", except where noted","Em "&amp;TEXT(Control!$D$8,0)&amp;" "&amp;TEXT(Control!$D$7,0)&amp;", exceto se especificado")</f>
        <v>Em milhões R$, exceto se especificado</v>
      </c>
      <c r="C6" s="56" t="str">
        <f>IF(Control!$D$5=1,"4Q07","4T07")</f>
        <v>4T07</v>
      </c>
      <c r="D6" s="56" t="str">
        <f>IF(Control!$D$5=1,"1Q08","1T08")</f>
        <v>1T08</v>
      </c>
      <c r="E6" s="56" t="s">
        <v>6</v>
      </c>
      <c r="F6" s="56" t="s">
        <v>7</v>
      </c>
      <c r="G6" s="56" t="str">
        <f>IF(Control!$D$5=1,"4Q08","4T08")</f>
        <v>4T08</v>
      </c>
      <c r="H6" s="56" t="str">
        <f>IF(Control!$D$5=1,"1Q09","1T09")</f>
        <v>1T09</v>
      </c>
      <c r="I6" s="56" t="str">
        <f>IF(Control!$D$5=1,"2Q09","2T09")</f>
        <v>2T09</v>
      </c>
      <c r="J6" s="56" t="str">
        <f>IF(Control!$D$5=1,"3Q09","3T09")</f>
        <v>3T09</v>
      </c>
      <c r="K6" s="56" t="str">
        <f>IF(Control!$D$5=1,"4Q09","4T09")</f>
        <v>4T09</v>
      </c>
      <c r="L6" s="56" t="str">
        <f>IF(Control!$D$5=1,"1Q10","1T10")</f>
        <v>1T10</v>
      </c>
      <c r="M6" s="56" t="str">
        <f>IF(Control!$D$5=1,"2Q10","2T10")</f>
        <v>2T10</v>
      </c>
      <c r="N6" s="56" t="str">
        <f>IF(Control!$D$5=1,"3Q10","3T10")</f>
        <v>3T10</v>
      </c>
      <c r="O6" s="56" t="str">
        <f>IF(Control!$D$5=1,"4Q10","4T10")</f>
        <v>4T10</v>
      </c>
      <c r="P6" s="56" t="str">
        <f>IF(Control!$D$5=1,"1Q11","1T11")</f>
        <v>1T11</v>
      </c>
      <c r="Q6" s="56" t="str">
        <f>IF(Control!$D$5=1,"2Q11","2T11")</f>
        <v>2T11</v>
      </c>
      <c r="R6" s="56" t="str">
        <f>IF(Control!$D$5=1,"3Q11","3T11")</f>
        <v>3T11</v>
      </c>
      <c r="S6" s="56" t="str">
        <f>IF(Control!$D$5=1,"4Q11","4T11")</f>
        <v>4T11</v>
      </c>
      <c r="T6" s="56" t="str">
        <f>IF(Control!$D$5=1,"1Q12","1T12")</f>
        <v>1T12</v>
      </c>
      <c r="U6" s="56" t="str">
        <f>IF(Control!$D$5=1,"2Q12","2T12")</f>
        <v>2T12</v>
      </c>
      <c r="V6" s="56" t="str">
        <f>IF(Control!$D$5=1,"3Q12","3T12")</f>
        <v>3T12</v>
      </c>
      <c r="W6" s="56" t="str">
        <f>IF(Control!$D$5=1,"4Q12","4T12")</f>
        <v>4T12</v>
      </c>
      <c r="X6" s="56" t="str">
        <f>IF(Control!$D$5=1,"1Q13","1T13")</f>
        <v>1T13</v>
      </c>
      <c r="Y6" s="56" t="str">
        <f>IF(Control!$D$5=1,"2Q13","2T13")</f>
        <v>2T13</v>
      </c>
      <c r="Z6" s="56" t="str">
        <f>IF(Control!$D$5=1,"3Q13","3T13")</f>
        <v>3T13</v>
      </c>
      <c r="AA6" s="56" t="str">
        <f>IF(Control!$D$5=1,"4Q13","4T13")</f>
        <v>4T13</v>
      </c>
      <c r="AB6" s="56" t="str">
        <f>IF(Control!$D$5=1,"1Q14","1T14")</f>
        <v>1T14</v>
      </c>
      <c r="AC6" s="56" t="str">
        <f>IF(Control!$D$5=1,"2Q14","2T14")</f>
        <v>2T14</v>
      </c>
      <c r="AD6" s="56" t="str">
        <f>IF(Control!$D$5=1,"3Q14","3T14")</f>
        <v>3T14</v>
      </c>
      <c r="AE6" s="56" t="str">
        <f>IF(Control!$D$5=1,"4Q14","4T14")</f>
        <v>4T14</v>
      </c>
      <c r="AF6" s="56" t="str">
        <f>IF(Control!$D$5=1,"1Q15","1T15")</f>
        <v>1T15</v>
      </c>
      <c r="AG6" s="56" t="str">
        <f>IF(Control!$D$5=1,"2Q15","2T15")</f>
        <v>2T15</v>
      </c>
      <c r="AH6" s="56" t="str">
        <f>IF(Control!$D$5=1,"3Q15","3T15")</f>
        <v>3T15</v>
      </c>
      <c r="AI6" s="56" t="str">
        <f>IF(Control!$D$5=1,"4Q15","4T15")</f>
        <v>4T15</v>
      </c>
      <c r="AJ6" s="56" t="str">
        <f>IF(Control!$D$5=1,"1Q16","1T16")</f>
        <v>1T16</v>
      </c>
      <c r="AK6" s="56" t="str">
        <f>IF(Control!$D$5=1,"2Q16","2T16")</f>
        <v>2T16</v>
      </c>
      <c r="AL6" s="56" t="str">
        <f>IF(Control!$D$5=1,"3Q16","3T16")</f>
        <v>3T16</v>
      </c>
      <c r="AM6" s="56" t="str">
        <f>IF(Control!$D$5=1,"4Q16","4T16")</f>
        <v>4T16</v>
      </c>
      <c r="AN6" s="56" t="str">
        <f>IF(Control!$D$5=1,"1Q17","1T17")</f>
        <v>1T17</v>
      </c>
      <c r="AO6" s="56" t="str">
        <f>IF(Control!$D$5=1,"2Q17","2T17")</f>
        <v>2T17</v>
      </c>
      <c r="AP6" s="56" t="str">
        <f>IF(Control!$D$5=1,"3Q17","3T17")</f>
        <v>3T17</v>
      </c>
      <c r="AQ6" s="56" t="str">
        <f>IF(Control!$D$5=1,"4Q17","4T17")</f>
        <v>4T17</v>
      </c>
      <c r="AR6" s="56" t="str">
        <f>IF(Control!$D$5=1,"1Q18","1T18")</f>
        <v>1T18</v>
      </c>
      <c r="AS6" s="56" t="str">
        <f>IF(Control!$D$5=1,"2Q18","2T18")</f>
        <v>2T18</v>
      </c>
      <c r="AT6" s="56" t="str">
        <f>IF(Control!$D$5=1,"3Q18","3T18")</f>
        <v>3T18</v>
      </c>
      <c r="AU6" s="56" t="str">
        <f>IF(Control!$D$5=1,"4Q18","4T18")</f>
        <v>4T18</v>
      </c>
      <c r="AV6" s="56" t="str">
        <f>IF(Control!$D$5=1,"1Q19","1T19")</f>
        <v>1T19</v>
      </c>
      <c r="AW6" s="56" t="str">
        <f>IF(Control!$D$5=1,"2Q19","2T19")</f>
        <v>2T19</v>
      </c>
      <c r="AX6" s="56" t="str">
        <f>IF(Control!$D$5=1,"3Q19","3T19")</f>
        <v>3T19</v>
      </c>
      <c r="AY6" s="56" t="str">
        <f>IF(Control!$D$5=1,"4Q19","4T19")</f>
        <v>4T19</v>
      </c>
      <c r="AZ6" s="56" t="str">
        <f>IF(Control!$D$5=1,"1Q20","1T20")</f>
        <v>1T20</v>
      </c>
      <c r="BA6" s="56" t="str">
        <f>IF(Control!$D$5=1,"2Q20","2T20")</f>
        <v>2T20</v>
      </c>
      <c r="BB6" s="56" t="str">
        <f>IF(Control!$D$5=1,"3Q20","3T20")</f>
        <v>3T20</v>
      </c>
      <c r="BC6" s="56" t="str">
        <f>IF(Control!$D$5=1,"4Q20","4T20")</f>
        <v>4T20</v>
      </c>
      <c r="BD6" s="56" t="str">
        <f>IF(Control!$D$5=1,"1Q21","1T21")</f>
        <v>1T21</v>
      </c>
      <c r="BE6" s="56" t="str">
        <f>IF(Control!$D$5=1,"2Q21","2T21")</f>
        <v>2T21</v>
      </c>
      <c r="BF6" s="56" t="str">
        <f>IF(Control!$D$5=1,"3Q21","3T21")</f>
        <v>3T21</v>
      </c>
      <c r="BG6" s="56" t="str">
        <f>IF(Control!$D$5=1,"4Q21","4T21")</f>
        <v>4T21</v>
      </c>
      <c r="BH6" s="56" t="str">
        <f>IF(Control!$D$5=1,"1Q22","1T22")</f>
        <v>1T22</v>
      </c>
      <c r="BI6" s="56" t="str">
        <f>IF(Control!$D$5=1,"2Q22","2T22")</f>
        <v>2T22</v>
      </c>
      <c r="BJ6" s="56" t="str">
        <f>IF(Control!$D$5=1,"3Q22","3T22")</f>
        <v>3T22</v>
      </c>
      <c r="BK6" s="56" t="str">
        <f>IF(Control!$D$5=1,"4Q22","4T22")</f>
        <v>4T22</v>
      </c>
      <c r="BL6" s="56" t="str">
        <f>IF(Control!$D$5=1,"1Q23","1T23")</f>
        <v>1T23</v>
      </c>
      <c r="BM6" s="56" t="str">
        <f>IF(Control!$D$5=1,"2Q23","2T23")</f>
        <v>2T23</v>
      </c>
      <c r="BN6" s="56" t="str">
        <f>IF(Control!$D$5=1,"3Q23","3T23")</f>
        <v>3T23</v>
      </c>
      <c r="BO6" s="56" t="str">
        <f>IF(Control!$D$5=1,"4Q23","4T23")</f>
        <v>4T23</v>
      </c>
      <c r="BP6" s="56" t="str">
        <f>IF(Control!$D$5=1,"1Q24","1T24")</f>
        <v>1T24</v>
      </c>
      <c r="BQ6" s="56" t="str">
        <f>IF(Control!$D$5=1,"2Q24","2T24")</f>
        <v>2T24</v>
      </c>
      <c r="BR6" s="56" t="str">
        <f>IF(Control!$D$5=1,"3Q24","3T24")</f>
        <v>3T24</v>
      </c>
      <c r="BS6" s="56" t="str">
        <f>IF(Control!$D$5=1,"4Q24","4T24")</f>
        <v>4T24</v>
      </c>
      <c r="BT6" s="56" t="str">
        <f>IF(Control!$D$5=1,"1Q25","1T25")</f>
        <v>1T25</v>
      </c>
      <c r="BU6" s="56" t="str">
        <f>IF(Control!$D$5=1,"2Q25","2T25")</f>
        <v>2T25</v>
      </c>
      <c r="BV6" s="55"/>
      <c r="BW6" s="56" t="str">
        <f>IF(Control!$D$5=1,"12M07","12M07")</f>
        <v>12M07</v>
      </c>
      <c r="BX6" s="56" t="str">
        <f>IF(Control!$D$5=1,"12M08","12M08")</f>
        <v>12M08</v>
      </c>
      <c r="BY6" s="56" t="str">
        <f>IF(Control!$D$5=1,"12M09","12M09")</f>
        <v>12M09</v>
      </c>
      <c r="BZ6" s="56" t="str">
        <f>IF(Control!$D$5=1,"12M10","12M10")</f>
        <v>12M10</v>
      </c>
      <c r="CA6" s="56" t="str">
        <f>IF(Control!$D$5=1,"12M11","12M11")</f>
        <v>12M11</v>
      </c>
      <c r="CB6" s="56" t="str">
        <f>IF(Control!$D$5=1,"12M12","12M12")</f>
        <v>12M12</v>
      </c>
      <c r="CC6" s="56" t="str">
        <f>IF(Control!$D$5=1,"12M13","12M13")</f>
        <v>12M13</v>
      </c>
      <c r="CD6" s="56" t="str">
        <f>IF(Control!$D$5=1,"12M14","12M14")</f>
        <v>12M14</v>
      </c>
      <c r="CE6" s="56" t="str">
        <f>IF(Control!$D$5=1,"12M15","12M15")</f>
        <v>12M15</v>
      </c>
      <c r="CF6" s="56" t="str">
        <f>IF(Control!$D$5=1,"12M16","12M16")</f>
        <v>12M16</v>
      </c>
      <c r="CG6" s="56" t="str">
        <f>IF(Control!$D$5=1,"12M17","12M17")</f>
        <v>12M17</v>
      </c>
      <c r="CH6" s="56" t="s">
        <v>10</v>
      </c>
      <c r="CI6" s="56" t="s">
        <v>11</v>
      </c>
      <c r="CJ6" s="56" t="s">
        <v>12</v>
      </c>
      <c r="CK6" s="56" t="s">
        <v>15</v>
      </c>
      <c r="CL6" s="56" t="s">
        <v>16</v>
      </c>
      <c r="CM6" s="56" t="s">
        <v>20</v>
      </c>
      <c r="CN6" s="56" t="s">
        <v>27</v>
      </c>
    </row>
    <row r="7" spans="1:98" s="61" customFormat="1" x14ac:dyDescent="0.35">
      <c r="B7" s="22" t="str">
        <f>IF(Control!$D$5=1,"Closing Date","Data Fechamento")</f>
        <v>Data Fechamento</v>
      </c>
      <c r="C7" s="236">
        <v>39506</v>
      </c>
      <c r="D7" s="236">
        <v>39599</v>
      </c>
      <c r="E7" s="236">
        <v>39690</v>
      </c>
      <c r="F7" s="236">
        <v>39782</v>
      </c>
      <c r="G7" s="236">
        <v>39872</v>
      </c>
      <c r="H7" s="236">
        <v>39964</v>
      </c>
      <c r="I7" s="236">
        <v>40056</v>
      </c>
      <c r="J7" s="236">
        <v>40147</v>
      </c>
      <c r="K7" s="236">
        <v>40237</v>
      </c>
      <c r="L7" s="236">
        <v>40329</v>
      </c>
      <c r="M7" s="236">
        <v>40421</v>
      </c>
      <c r="N7" s="236">
        <v>40512</v>
      </c>
      <c r="O7" s="236">
        <v>40602</v>
      </c>
      <c r="P7" s="236">
        <v>40694</v>
      </c>
      <c r="Q7" s="236">
        <v>40786</v>
      </c>
      <c r="R7" s="236">
        <v>40877</v>
      </c>
      <c r="S7" s="236">
        <v>40968</v>
      </c>
      <c r="T7" s="236">
        <v>41060</v>
      </c>
      <c r="U7" s="236">
        <v>41152</v>
      </c>
      <c r="V7" s="236">
        <v>41243</v>
      </c>
      <c r="W7" s="236">
        <v>41333</v>
      </c>
      <c r="X7" s="236">
        <v>41425</v>
      </c>
      <c r="Y7" s="236">
        <v>41517</v>
      </c>
      <c r="Z7" s="236">
        <v>41608</v>
      </c>
      <c r="AA7" s="236">
        <v>41698</v>
      </c>
      <c r="AB7" s="236">
        <v>41790</v>
      </c>
      <c r="AC7" s="236">
        <v>41882</v>
      </c>
      <c r="AD7" s="236">
        <v>41973</v>
      </c>
      <c r="AE7" s="236">
        <v>42063</v>
      </c>
      <c r="AF7" s="236">
        <v>42155</v>
      </c>
      <c r="AG7" s="236">
        <v>42247</v>
      </c>
      <c r="AH7" s="236">
        <v>42338</v>
      </c>
      <c r="AI7" s="236">
        <v>42429</v>
      </c>
      <c r="AJ7" s="236">
        <v>42521</v>
      </c>
      <c r="AK7" s="236">
        <v>42613</v>
      </c>
      <c r="AL7" s="236">
        <v>42704</v>
      </c>
      <c r="AM7" s="236">
        <v>42794</v>
      </c>
      <c r="AN7" s="236">
        <v>42886</v>
      </c>
      <c r="AO7" s="236">
        <v>42978</v>
      </c>
      <c r="AP7" s="236">
        <v>43069</v>
      </c>
      <c r="AQ7" s="236">
        <v>43159</v>
      </c>
      <c r="AR7" s="236">
        <v>43251</v>
      </c>
      <c r="AS7" s="236">
        <v>43343</v>
      </c>
      <c r="AT7" s="236">
        <v>43434</v>
      </c>
      <c r="AU7" s="236">
        <v>43524</v>
      </c>
      <c r="AV7" s="236">
        <v>43616</v>
      </c>
      <c r="AW7" s="236">
        <v>43708</v>
      </c>
      <c r="AX7" s="236">
        <v>43799</v>
      </c>
      <c r="AY7" s="236">
        <v>43890</v>
      </c>
      <c r="AZ7" s="236">
        <v>43982</v>
      </c>
      <c r="BA7" s="236">
        <v>44074</v>
      </c>
      <c r="BB7" s="236">
        <v>44165</v>
      </c>
      <c r="BC7" s="236">
        <v>44255</v>
      </c>
      <c r="BD7" s="236">
        <v>44347</v>
      </c>
      <c r="BE7" s="236">
        <v>44439</v>
      </c>
      <c r="BF7" s="236">
        <v>44530</v>
      </c>
      <c r="BG7" s="236">
        <v>44620</v>
      </c>
      <c r="BH7" s="236">
        <v>44712</v>
      </c>
      <c r="BI7" s="236">
        <v>44804</v>
      </c>
      <c r="BJ7" s="236">
        <v>44895</v>
      </c>
      <c r="BK7" s="236">
        <v>44985</v>
      </c>
      <c r="BL7" s="236">
        <v>45077</v>
      </c>
      <c r="BM7" s="236">
        <v>45169</v>
      </c>
      <c r="BN7" s="236">
        <v>45260</v>
      </c>
      <c r="BO7" s="236">
        <v>45351</v>
      </c>
      <c r="BP7" s="236">
        <v>45443</v>
      </c>
      <c r="BQ7" s="236">
        <v>45535</v>
      </c>
      <c r="BR7" s="236">
        <v>45626</v>
      </c>
      <c r="BS7" s="236">
        <v>45716</v>
      </c>
      <c r="BT7" s="236">
        <v>45808</v>
      </c>
      <c r="BU7" s="236">
        <v>45900</v>
      </c>
      <c r="BV7" s="55"/>
      <c r="BW7" s="236">
        <v>39506</v>
      </c>
      <c r="BX7" s="236">
        <v>39872</v>
      </c>
      <c r="BY7" s="236">
        <v>40237</v>
      </c>
      <c r="BZ7" s="236">
        <f>O7</f>
        <v>40602</v>
      </c>
      <c r="CA7" s="236">
        <f>S7</f>
        <v>40968</v>
      </c>
      <c r="CB7" s="236">
        <v>41333</v>
      </c>
      <c r="CC7" s="236">
        <v>41698</v>
      </c>
      <c r="CD7" s="236">
        <v>42063</v>
      </c>
      <c r="CE7" s="236">
        <v>42429</v>
      </c>
      <c r="CF7" s="236">
        <v>42794</v>
      </c>
      <c r="CG7" s="236">
        <v>43159</v>
      </c>
      <c r="CH7" s="236">
        <v>43524</v>
      </c>
      <c r="CI7" s="236">
        <v>43890</v>
      </c>
      <c r="CJ7" s="236">
        <v>44255</v>
      </c>
      <c r="CK7" s="236">
        <v>44620</v>
      </c>
      <c r="CL7" s="236">
        <v>44985</v>
      </c>
      <c r="CM7" s="236">
        <v>45351</v>
      </c>
      <c r="CN7" s="236">
        <v>45716</v>
      </c>
    </row>
    <row r="8" spans="1:98" ht="6.75" customHeight="1" x14ac:dyDescent="0.35">
      <c r="B8" s="10"/>
      <c r="C8" s="108"/>
      <c r="D8" s="59"/>
      <c r="E8" s="59"/>
      <c r="F8" s="59"/>
      <c r="G8" s="108"/>
      <c r="H8" s="59"/>
      <c r="I8" s="59"/>
      <c r="J8" s="59"/>
      <c r="K8" s="108"/>
      <c r="L8" s="59"/>
      <c r="M8" s="59"/>
      <c r="N8" s="59"/>
      <c r="O8" s="108"/>
      <c r="P8" s="59"/>
      <c r="Q8" s="59"/>
      <c r="R8" s="59"/>
      <c r="S8" s="108"/>
      <c r="T8" s="59"/>
      <c r="U8" s="59"/>
      <c r="V8" s="59"/>
      <c r="W8" s="108"/>
      <c r="X8" s="59"/>
      <c r="Y8" s="108"/>
      <c r="Z8" s="59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55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</row>
    <row r="9" spans="1:98" x14ac:dyDescent="0.35">
      <c r="A9" s="17"/>
      <c r="B9" s="41" t="str">
        <f>IF(Control!$D$5=1,"Total Current Assets","Ativo Circulante")</f>
        <v>Ativo Circulante</v>
      </c>
      <c r="C9" s="106">
        <f>SUM(C10,C11:C21)</f>
        <v>302.71000000000004</v>
      </c>
      <c r="D9" s="106">
        <f>SUM(D10,D11:D21)</f>
        <v>655.62800000000004</v>
      </c>
      <c r="E9" s="109" t="s">
        <v>2</v>
      </c>
      <c r="F9" s="109" t="s">
        <v>2</v>
      </c>
      <c r="G9" s="106">
        <f t="shared" ref="G9:AL9" si="0">SUM(G10,G11:G21)</f>
        <v>536.44899999999996</v>
      </c>
      <c r="H9" s="106">
        <f t="shared" si="0"/>
        <v>716.56000000000006</v>
      </c>
      <c r="I9" s="106">
        <f t="shared" si="0"/>
        <v>564.80799999999999</v>
      </c>
      <c r="J9" s="106">
        <f t="shared" si="0"/>
        <v>503.87299999999999</v>
      </c>
      <c r="K9" s="106">
        <f t="shared" si="0"/>
        <v>690.63499999999988</v>
      </c>
      <c r="L9" s="106">
        <f t="shared" si="0"/>
        <v>910.26600000000008</v>
      </c>
      <c r="M9" s="106">
        <f t="shared" si="0"/>
        <v>824.48800000000006</v>
      </c>
      <c r="N9" s="106">
        <f t="shared" si="0"/>
        <v>765.07099999999991</v>
      </c>
      <c r="O9" s="106">
        <f t="shared" si="0"/>
        <v>652.63799999999992</v>
      </c>
      <c r="P9" s="106">
        <f t="shared" si="0"/>
        <v>985.61900000000003</v>
      </c>
      <c r="Q9" s="106">
        <f t="shared" si="0"/>
        <v>956.23699999999985</v>
      </c>
      <c r="R9" s="106">
        <f t="shared" si="0"/>
        <v>1057.662</v>
      </c>
      <c r="S9" s="106">
        <f t="shared" si="0"/>
        <v>1197.7949999999998</v>
      </c>
      <c r="T9" s="106">
        <f t="shared" si="0"/>
        <v>1554.4969999999998</v>
      </c>
      <c r="U9" s="106">
        <f t="shared" si="0"/>
        <v>1424.816</v>
      </c>
      <c r="V9" s="106">
        <f t="shared" si="0"/>
        <v>1469.7869999999998</v>
      </c>
      <c r="W9" s="106">
        <f t="shared" si="0"/>
        <v>1417.35</v>
      </c>
      <c r="X9" s="106">
        <f t="shared" si="0"/>
        <v>1843.0099999999998</v>
      </c>
      <c r="Y9" s="106">
        <f t="shared" si="0"/>
        <v>1871.4019999999998</v>
      </c>
      <c r="Z9" s="106">
        <f t="shared" si="0"/>
        <v>1717.0530000000001</v>
      </c>
      <c r="AA9" s="106">
        <f t="shared" si="0"/>
        <v>1608.1130000000003</v>
      </c>
      <c r="AB9" s="106">
        <f t="shared" si="0"/>
        <v>2013.002</v>
      </c>
      <c r="AC9" s="106">
        <f t="shared" si="0"/>
        <v>1972.5740000000001</v>
      </c>
      <c r="AD9" s="106">
        <f t="shared" si="0"/>
        <v>2001.3010000000002</v>
      </c>
      <c r="AE9" s="106">
        <f t="shared" si="0"/>
        <v>1777.7020000000002</v>
      </c>
      <c r="AF9" s="106">
        <f t="shared" si="0"/>
        <v>2302.3490000000002</v>
      </c>
      <c r="AG9" s="106">
        <f t="shared" si="0"/>
        <v>2305.3370000000004</v>
      </c>
      <c r="AH9" s="106">
        <f t="shared" si="0"/>
        <v>2242.1579999999999</v>
      </c>
      <c r="AI9" s="106">
        <f t="shared" si="0"/>
        <v>2190.8039999999996</v>
      </c>
      <c r="AJ9" s="106">
        <f t="shared" si="0"/>
        <v>2500.5</v>
      </c>
      <c r="AK9" s="106">
        <f t="shared" si="0"/>
        <v>2399.471</v>
      </c>
      <c r="AL9" s="106">
        <f t="shared" si="0"/>
        <v>2287.4549999999999</v>
      </c>
      <c r="AM9" s="106">
        <f t="shared" ref="AM9:BN9" si="1">SUM(AM10,AM11:AM21)</f>
        <v>2379.7999999999997</v>
      </c>
      <c r="AN9" s="106">
        <f t="shared" si="1"/>
        <v>2489.2919999999999</v>
      </c>
      <c r="AO9" s="106">
        <f t="shared" si="1"/>
        <v>2331.3109999999997</v>
      </c>
      <c r="AP9" s="106">
        <f t="shared" si="1"/>
        <v>2206.2500000000005</v>
      </c>
      <c r="AQ9" s="106">
        <f t="shared" si="1"/>
        <v>2291.1999999999998</v>
      </c>
      <c r="AR9" s="106">
        <f t="shared" si="1"/>
        <v>2868.5</v>
      </c>
      <c r="AS9" s="106">
        <f t="shared" si="1"/>
        <v>2797.4000000000005</v>
      </c>
      <c r="AT9" s="106">
        <f t="shared" si="1"/>
        <v>2769.3999999999996</v>
      </c>
      <c r="AU9" s="106">
        <f t="shared" si="1"/>
        <v>2483.5730000000003</v>
      </c>
      <c r="AV9" s="106">
        <f t="shared" si="1"/>
        <v>3604.4389999999999</v>
      </c>
      <c r="AW9" s="106">
        <f t="shared" si="1"/>
        <v>3311.3870000000002</v>
      </c>
      <c r="AX9" s="106">
        <f t="shared" si="1"/>
        <v>3094.0349999999994</v>
      </c>
      <c r="AY9" s="106">
        <f t="shared" si="1"/>
        <v>2700.1909999999998</v>
      </c>
      <c r="AZ9" s="106">
        <f t="shared" si="1"/>
        <v>5118.1989999999996</v>
      </c>
      <c r="BA9" s="106">
        <f t="shared" si="1"/>
        <v>4367.1120000000001</v>
      </c>
      <c r="BB9" s="106">
        <f t="shared" si="1"/>
        <v>4309.6779999999999</v>
      </c>
      <c r="BC9" s="106">
        <f t="shared" si="1"/>
        <v>3803.9809999999998</v>
      </c>
      <c r="BD9" s="106">
        <f t="shared" si="1"/>
        <v>5087.0540000000001</v>
      </c>
      <c r="BE9" s="106">
        <f t="shared" si="1"/>
        <v>4391.4960000000001</v>
      </c>
      <c r="BF9" s="106">
        <f t="shared" si="1"/>
        <v>5146.3449999999993</v>
      </c>
      <c r="BG9" s="106">
        <f t="shared" si="1"/>
        <v>4829.0990000000002</v>
      </c>
      <c r="BH9" s="106">
        <f t="shared" si="1"/>
        <v>5452.9919999999993</v>
      </c>
      <c r="BI9" s="106">
        <f t="shared" si="1"/>
        <v>5218.2186338499996</v>
      </c>
      <c r="BJ9" s="106">
        <f t="shared" si="1"/>
        <v>4839.0952089604061</v>
      </c>
      <c r="BK9" s="106">
        <f t="shared" si="1"/>
        <v>5087.0590000000002</v>
      </c>
      <c r="BL9" s="109">
        <f t="shared" si="1"/>
        <v>5848.3372463073329</v>
      </c>
      <c r="BM9" s="109">
        <f t="shared" si="1"/>
        <v>6392.9428188703841</v>
      </c>
      <c r="BN9" s="109">
        <f t="shared" si="1"/>
        <v>6158.482</v>
      </c>
      <c r="BO9" s="109">
        <f t="shared" ref="BO9:BU9" si="2">SUM(BO10,BO11:BO21)</f>
        <v>6350.713999999999</v>
      </c>
      <c r="BP9" s="109">
        <f t="shared" si="2"/>
        <v>7304.4440000000004</v>
      </c>
      <c r="BQ9" s="109">
        <f t="shared" si="2"/>
        <v>7645.6849999999995</v>
      </c>
      <c r="BR9" s="109">
        <f t="shared" si="2"/>
        <v>7114.6249999999991</v>
      </c>
      <c r="BS9" s="109">
        <f t="shared" si="2"/>
        <v>6210.39</v>
      </c>
      <c r="BT9" s="109">
        <f t="shared" si="2"/>
        <v>7187.7839999999987</v>
      </c>
      <c r="BU9" s="109">
        <f t="shared" si="2"/>
        <v>6364.4790000000012</v>
      </c>
      <c r="BV9" s="55"/>
      <c r="BW9" s="106">
        <f t="shared" ref="BW9:CH9" si="3">SUM(BW10,BW11:BW21)</f>
        <v>302.71000000000004</v>
      </c>
      <c r="BX9" s="106">
        <f t="shared" si="3"/>
        <v>536.44899999999996</v>
      </c>
      <c r="BY9" s="106">
        <f t="shared" si="3"/>
        <v>690.63499999999988</v>
      </c>
      <c r="BZ9" s="106">
        <f t="shared" si="3"/>
        <v>652.63799999999992</v>
      </c>
      <c r="CA9" s="106">
        <f t="shared" si="3"/>
        <v>1197.7949999999998</v>
      </c>
      <c r="CB9" s="106">
        <f t="shared" si="3"/>
        <v>1417.35</v>
      </c>
      <c r="CC9" s="106">
        <f t="shared" si="3"/>
        <v>1608.1130000000003</v>
      </c>
      <c r="CD9" s="106">
        <f t="shared" si="3"/>
        <v>1777.7020000000002</v>
      </c>
      <c r="CE9" s="106">
        <f t="shared" si="3"/>
        <v>2190.8039999999996</v>
      </c>
      <c r="CF9" s="106">
        <f t="shared" si="3"/>
        <v>2379.7999999999997</v>
      </c>
      <c r="CG9" s="106">
        <f t="shared" si="3"/>
        <v>2291.1999999999998</v>
      </c>
      <c r="CH9" s="106">
        <f t="shared" si="3"/>
        <v>2483.5730000000003</v>
      </c>
      <c r="CI9" s="106">
        <f t="shared" ref="CI9:CI21" si="4">AY9</f>
        <v>2700.1909999999998</v>
      </c>
      <c r="CJ9" s="106">
        <f t="shared" ref="CJ9:CJ21" si="5">BC9</f>
        <v>3803.9809999999998</v>
      </c>
      <c r="CK9" s="106">
        <f t="shared" ref="CK9:CK21" si="6">BG9</f>
        <v>4829.0990000000002</v>
      </c>
      <c r="CL9" s="106">
        <f>BK9</f>
        <v>5087.0590000000002</v>
      </c>
      <c r="CM9" s="106">
        <f>BO9</f>
        <v>6350.713999999999</v>
      </c>
      <c r="CN9" s="106">
        <f t="shared" ref="CN9:CN23" si="7">BS9</f>
        <v>6210.39</v>
      </c>
      <c r="CO9" s="206"/>
      <c r="CP9" s="6"/>
      <c r="CQ9" s="6"/>
      <c r="CR9" s="6"/>
      <c r="CS9" s="6"/>
    </row>
    <row r="10" spans="1:98" x14ac:dyDescent="0.35">
      <c r="A10" s="17"/>
      <c r="B10" s="40" t="str">
        <f>IF(Control!$D$5=1,"Cash &amp; Equivalents","Caixa e Equivalentes de Caixa")</f>
        <v>Caixa e Equivalentes de Caixa</v>
      </c>
      <c r="C10" s="110">
        <v>14.096</v>
      </c>
      <c r="D10" s="110">
        <v>9.3879999999999999</v>
      </c>
      <c r="E10" s="58" t="s">
        <v>2</v>
      </c>
      <c r="F10" s="58" t="s">
        <v>2</v>
      </c>
      <c r="G10" s="110">
        <v>67.762</v>
      </c>
      <c r="H10" s="110">
        <v>87.692000000000007</v>
      </c>
      <c r="I10" s="110">
        <v>57.484000000000002</v>
      </c>
      <c r="J10" s="110">
        <v>91.628</v>
      </c>
      <c r="K10" s="110">
        <v>224.26299999999998</v>
      </c>
      <c r="L10" s="110">
        <v>196.58699999999999</v>
      </c>
      <c r="M10" s="110">
        <v>222.46600000000001</v>
      </c>
      <c r="N10" s="110">
        <v>218.60599999999999</v>
      </c>
      <c r="O10" s="110">
        <v>192.34099999999998</v>
      </c>
      <c r="P10" s="110">
        <v>117.343</v>
      </c>
      <c r="Q10" s="110">
        <v>204.405</v>
      </c>
      <c r="R10" s="110">
        <v>295.73600000000005</v>
      </c>
      <c r="S10" s="110">
        <v>167.751</v>
      </c>
      <c r="T10" s="110">
        <v>351.65999999999997</v>
      </c>
      <c r="U10" s="110">
        <v>65.715000000000003</v>
      </c>
      <c r="V10" s="110">
        <v>50.45</v>
      </c>
      <c r="W10" s="110">
        <v>92.118000000000009</v>
      </c>
      <c r="X10" s="110">
        <v>102.295</v>
      </c>
      <c r="Y10" s="110">
        <v>95.361000000000004</v>
      </c>
      <c r="Z10" s="110">
        <v>170.78399999999999</v>
      </c>
      <c r="AA10" s="110">
        <v>261.85599999999999</v>
      </c>
      <c r="AB10" s="110">
        <v>129.48400000000001</v>
      </c>
      <c r="AC10" s="110">
        <v>176.262</v>
      </c>
      <c r="AD10" s="110">
        <v>140.39100000000002</v>
      </c>
      <c r="AE10" s="110">
        <v>243.97799999999998</v>
      </c>
      <c r="AF10" s="110">
        <v>337.11</v>
      </c>
      <c r="AG10" s="110">
        <v>293.32500000000005</v>
      </c>
      <c r="AH10" s="110">
        <v>204.14400000000001</v>
      </c>
      <c r="AI10" s="110">
        <v>441.37700000000001</v>
      </c>
      <c r="AJ10" s="110">
        <v>281.04900000000004</v>
      </c>
      <c r="AK10" s="110">
        <v>266.95600000000002</v>
      </c>
      <c r="AL10" s="110">
        <v>158.28100000000001</v>
      </c>
      <c r="AM10" s="110">
        <v>139.69999999999999</v>
      </c>
      <c r="AN10" s="110">
        <v>268.61900000000003</v>
      </c>
      <c r="AO10" s="110">
        <v>202.18699999999998</v>
      </c>
      <c r="AP10" s="110">
        <v>187.43299999999999</v>
      </c>
      <c r="AQ10" s="110">
        <v>276.5</v>
      </c>
      <c r="AR10" s="110">
        <v>572.29999999999995</v>
      </c>
      <c r="AS10" s="110">
        <v>369.1</v>
      </c>
      <c r="AT10" s="110">
        <v>222.6</v>
      </c>
      <c r="AU10" s="110">
        <v>365.3</v>
      </c>
      <c r="AV10" s="110">
        <v>630.69999999999993</v>
      </c>
      <c r="AW10" s="110">
        <v>529.66200000000003</v>
      </c>
      <c r="AX10" s="110">
        <v>302.36800000000005</v>
      </c>
      <c r="AY10" s="110">
        <v>537.76400000000001</v>
      </c>
      <c r="AZ10" s="110">
        <v>1699.778</v>
      </c>
      <c r="BA10" s="110">
        <v>1220.989</v>
      </c>
      <c r="BB10" s="110">
        <v>1165.4829999999999</v>
      </c>
      <c r="BC10" s="110">
        <v>1081.9549999999999</v>
      </c>
      <c r="BD10" s="110">
        <v>1450.2099999999998</v>
      </c>
      <c r="BE10" s="110">
        <v>1332.453</v>
      </c>
      <c r="BF10" s="110">
        <v>1867.1210000000001</v>
      </c>
      <c r="BG10" s="110">
        <v>1596.35</v>
      </c>
      <c r="BH10" s="110">
        <v>1307.509</v>
      </c>
      <c r="BI10" s="110">
        <v>1438.09117253</v>
      </c>
      <c r="BJ10" s="110">
        <v>775.050883</v>
      </c>
      <c r="BK10" s="110">
        <v>1225.6130000000001</v>
      </c>
      <c r="BL10" s="110">
        <v>906.97399999999993</v>
      </c>
      <c r="BM10" s="110">
        <v>2062.991</v>
      </c>
      <c r="BN10" s="110">
        <v>1485.777</v>
      </c>
      <c r="BO10" s="110">
        <v>2800.2559999999999</v>
      </c>
      <c r="BP10" s="110">
        <v>2027.4</v>
      </c>
      <c r="BQ10" s="66">
        <v>2648.3879999999999</v>
      </c>
      <c r="BR10" s="66">
        <v>1831.08</v>
      </c>
      <c r="BS10" s="66">
        <v>2530.2040000000002</v>
      </c>
      <c r="BT10" s="66">
        <v>1624.3330000000001</v>
      </c>
      <c r="BU10" s="66">
        <v>1907.191</v>
      </c>
      <c r="BV10" s="55"/>
      <c r="BW10" s="110">
        <v>14.096</v>
      </c>
      <c r="BX10" s="110">
        <v>67.762</v>
      </c>
      <c r="BY10" s="110">
        <v>224.26299999999998</v>
      </c>
      <c r="BZ10" s="110">
        <v>192.34099999999998</v>
      </c>
      <c r="CA10" s="110">
        <v>167.751</v>
      </c>
      <c r="CB10" s="110">
        <v>92.118000000000009</v>
      </c>
      <c r="CC10" s="110">
        <v>261.85599999999999</v>
      </c>
      <c r="CD10" s="110">
        <v>243.97799999999998</v>
      </c>
      <c r="CE10" s="110">
        <v>441.37700000000001</v>
      </c>
      <c r="CF10" s="110">
        <v>139.69999999999999</v>
      </c>
      <c r="CG10" s="110">
        <v>276.5</v>
      </c>
      <c r="CH10" s="110">
        <v>365.3</v>
      </c>
      <c r="CI10" s="110">
        <v>537.76400000000001</v>
      </c>
      <c r="CJ10" s="110">
        <v>1081.9549999999999</v>
      </c>
      <c r="CK10" s="110">
        <v>1596.35</v>
      </c>
      <c r="CL10" s="110">
        <v>1225.6130000000001</v>
      </c>
      <c r="CM10" s="110">
        <f t="shared" ref="CM10:CM73" si="8">BO10</f>
        <v>2800.2559999999999</v>
      </c>
      <c r="CN10" s="110">
        <f t="shared" si="7"/>
        <v>2530.2040000000002</v>
      </c>
      <c r="CO10" s="206"/>
      <c r="CP10" s="6"/>
      <c r="CT10" s="48"/>
    </row>
    <row r="11" spans="1:98" x14ac:dyDescent="0.35">
      <c r="A11" s="18"/>
      <c r="B11" s="40" t="str">
        <f>IF(Control!$D$5=1,"Short Term Investments","Aplicações Financeiras")</f>
        <v>Aplicações Financeiras</v>
      </c>
      <c r="C11" s="110">
        <v>11.878</v>
      </c>
      <c r="D11" s="110">
        <v>13.579000000000001</v>
      </c>
      <c r="E11" s="58" t="s">
        <v>2</v>
      </c>
      <c r="F11" s="58" t="s">
        <v>2</v>
      </c>
      <c r="G11" s="110">
        <v>25.428999999999998</v>
      </c>
      <c r="H11" s="110">
        <v>30.172000000000001</v>
      </c>
      <c r="I11" s="110">
        <v>32.262</v>
      </c>
      <c r="J11" s="110">
        <v>26.282</v>
      </c>
      <c r="K11" s="110">
        <v>33.152000000000001</v>
      </c>
      <c r="L11" s="110">
        <v>19.145</v>
      </c>
      <c r="M11" s="110">
        <v>15.734</v>
      </c>
      <c r="N11" s="110">
        <v>11.071</v>
      </c>
      <c r="O11" s="110">
        <v>7.5410000000000004</v>
      </c>
      <c r="P11" s="110">
        <v>7.258</v>
      </c>
      <c r="Q11" s="110">
        <v>9.3879999999999999</v>
      </c>
      <c r="R11" s="110">
        <v>18.696000000000002</v>
      </c>
      <c r="S11" s="110">
        <v>244.642</v>
      </c>
      <c r="T11" s="110">
        <v>69.186999999999998</v>
      </c>
      <c r="U11" s="110">
        <v>277.30700000000002</v>
      </c>
      <c r="V11" s="110">
        <v>231.22300000000001</v>
      </c>
      <c r="W11" s="110">
        <v>268.59800000000001</v>
      </c>
      <c r="X11" s="110">
        <v>238.904</v>
      </c>
      <c r="Y11" s="110">
        <v>262.33699999999999</v>
      </c>
      <c r="Z11" s="110">
        <v>108.39700000000001</v>
      </c>
      <c r="AA11" s="110">
        <v>53.991999999999997</v>
      </c>
      <c r="AB11" s="110">
        <v>204.74</v>
      </c>
      <c r="AC11" s="110">
        <v>291.68200000000002</v>
      </c>
      <c r="AD11" s="110">
        <v>286.61900000000003</v>
      </c>
      <c r="AE11" s="110">
        <v>134.83000000000001</v>
      </c>
      <c r="AF11" s="110">
        <v>14.773999999999999</v>
      </c>
      <c r="AG11" s="110">
        <v>145.03299999999999</v>
      </c>
      <c r="AH11" s="110">
        <v>40.621000000000002</v>
      </c>
      <c r="AI11" s="110">
        <v>50.665999999999997</v>
      </c>
      <c r="AJ11" s="110">
        <v>55.093000000000004</v>
      </c>
      <c r="AK11" s="110">
        <v>53.771999999999998</v>
      </c>
      <c r="AL11" s="110">
        <v>100.383</v>
      </c>
      <c r="AM11" s="110">
        <v>470.7</v>
      </c>
      <c r="AN11" s="110">
        <v>21.757999999999999</v>
      </c>
      <c r="AO11" s="110">
        <v>184.708</v>
      </c>
      <c r="AP11" s="110">
        <v>204.55199999999999</v>
      </c>
      <c r="AQ11" s="110">
        <v>406.3</v>
      </c>
      <c r="AR11" s="110">
        <v>153.4</v>
      </c>
      <c r="AS11" s="110">
        <v>296.79999999999995</v>
      </c>
      <c r="AT11" s="110">
        <v>238.6</v>
      </c>
      <c r="AU11" s="110">
        <v>31.242000000000001</v>
      </c>
      <c r="AV11" s="110">
        <v>335</v>
      </c>
      <c r="AW11" s="110">
        <f>305.991+33.4</f>
        <v>339.39099999999996</v>
      </c>
      <c r="AX11" s="110">
        <f>150.999+33.1</f>
        <v>184.09899999999999</v>
      </c>
      <c r="AY11" s="110">
        <v>32.292000000000002</v>
      </c>
      <c r="AZ11" s="110">
        <v>146.517</v>
      </c>
      <c r="BA11" s="110">
        <v>32.945999999999998</v>
      </c>
      <c r="BB11" s="110">
        <v>32.557000000000002</v>
      </c>
      <c r="BC11" s="110">
        <v>32.923000000000002</v>
      </c>
      <c r="BD11" s="110">
        <v>33.137</v>
      </c>
      <c r="BE11" s="110">
        <v>33.573999999999998</v>
      </c>
      <c r="BF11" s="110">
        <v>34.052999999999997</v>
      </c>
      <c r="BG11" s="110">
        <v>33.712000000000003</v>
      </c>
      <c r="BH11" s="58">
        <v>34.634999999999998</v>
      </c>
      <c r="BI11" s="58">
        <v>35.942</v>
      </c>
      <c r="BJ11" s="58">
        <v>0</v>
      </c>
      <c r="BK11" s="58">
        <v>0</v>
      </c>
      <c r="BL11" s="58">
        <v>0</v>
      </c>
      <c r="BM11" s="58">
        <v>0</v>
      </c>
      <c r="BN11" s="58">
        <v>0</v>
      </c>
      <c r="BO11" s="58">
        <v>0</v>
      </c>
      <c r="BP11" s="58">
        <v>0</v>
      </c>
      <c r="BQ11" s="71">
        <v>0</v>
      </c>
      <c r="BR11" s="71">
        <v>0</v>
      </c>
      <c r="BS11" s="71">
        <v>1.74</v>
      </c>
      <c r="BT11" s="71">
        <v>0</v>
      </c>
      <c r="BU11" s="71">
        <v>0</v>
      </c>
      <c r="BV11" s="55"/>
      <c r="BW11" s="110">
        <v>11.878</v>
      </c>
      <c r="BX11" s="110">
        <v>25.428999999999998</v>
      </c>
      <c r="BY11" s="110">
        <v>33.152000000000001</v>
      </c>
      <c r="BZ11" s="110">
        <v>7.5410000000000004</v>
      </c>
      <c r="CA11" s="110">
        <v>244.642</v>
      </c>
      <c r="CB11" s="110">
        <v>268.59800000000001</v>
      </c>
      <c r="CC11" s="110">
        <v>53.991999999999997</v>
      </c>
      <c r="CD11" s="110">
        <v>134.83000000000001</v>
      </c>
      <c r="CE11" s="110">
        <v>50.665999999999997</v>
      </c>
      <c r="CF11" s="110">
        <v>470.7</v>
      </c>
      <c r="CG11" s="110">
        <f t="shared" ref="CG11:CG21" si="9">AQ11</f>
        <v>406.3</v>
      </c>
      <c r="CH11" s="110">
        <f t="shared" ref="CH11:CH21" si="10">AU11</f>
        <v>31.242000000000001</v>
      </c>
      <c r="CI11" s="110">
        <f t="shared" si="4"/>
        <v>32.292000000000002</v>
      </c>
      <c r="CJ11" s="110">
        <f t="shared" si="5"/>
        <v>32.923000000000002</v>
      </c>
      <c r="CK11" s="110">
        <f t="shared" si="6"/>
        <v>33.712000000000003</v>
      </c>
      <c r="CL11" s="110">
        <f t="shared" ref="CL11:CL44" si="11">BK11</f>
        <v>0</v>
      </c>
      <c r="CM11" s="110">
        <f t="shared" si="8"/>
        <v>0</v>
      </c>
      <c r="CN11" s="110">
        <f t="shared" si="7"/>
        <v>1.74</v>
      </c>
      <c r="CO11" s="206"/>
      <c r="CP11" s="6"/>
      <c r="CT11" s="48"/>
    </row>
    <row r="12" spans="1:98" x14ac:dyDescent="0.35">
      <c r="A12" s="18"/>
      <c r="B12" s="40" t="str">
        <f>IF(Control!$D$5=1,"Accounts Receivable","Contas a Receber")</f>
        <v>Contas a Receber</v>
      </c>
      <c r="C12" s="110">
        <v>112.723</v>
      </c>
      <c r="D12" s="110">
        <v>140.05699999999999</v>
      </c>
      <c r="E12" s="58" t="s">
        <v>2</v>
      </c>
      <c r="F12" s="58" t="s">
        <v>2</v>
      </c>
      <c r="G12" s="110">
        <v>171.84899999999999</v>
      </c>
      <c r="H12" s="110">
        <v>167.245</v>
      </c>
      <c r="I12" s="110">
        <v>137.10400000000001</v>
      </c>
      <c r="J12" s="110">
        <v>127.252</v>
      </c>
      <c r="K12" s="110">
        <v>174.07499999999999</v>
      </c>
      <c r="L12" s="110">
        <v>213.68799999999999</v>
      </c>
      <c r="M12" s="110">
        <v>179.3</v>
      </c>
      <c r="N12" s="110">
        <v>183.12899999999999</v>
      </c>
      <c r="O12" s="110">
        <v>179.20500000000001</v>
      </c>
      <c r="P12" s="110">
        <v>234.24799999999999</v>
      </c>
      <c r="Q12" s="110">
        <v>206.55799999999999</v>
      </c>
      <c r="R12" s="110">
        <v>272.65300000000002</v>
      </c>
      <c r="S12" s="110">
        <v>308.935</v>
      </c>
      <c r="T12" s="110">
        <v>300.98399999999998</v>
      </c>
      <c r="U12" s="110">
        <v>352.15800000000002</v>
      </c>
      <c r="V12" s="111">
        <v>459.78</v>
      </c>
      <c r="W12" s="110">
        <v>439.63499999999999</v>
      </c>
      <c r="X12" s="110">
        <v>440.86099999999999</v>
      </c>
      <c r="Y12" s="110">
        <v>490.5</v>
      </c>
      <c r="Z12" s="110">
        <v>476.37</v>
      </c>
      <c r="AA12" s="110">
        <v>526.65</v>
      </c>
      <c r="AB12" s="110">
        <v>498.77699999999999</v>
      </c>
      <c r="AC12" s="110">
        <v>492.125</v>
      </c>
      <c r="AD12" s="110">
        <v>584.255</v>
      </c>
      <c r="AE12" s="110">
        <v>575.32600000000002</v>
      </c>
      <c r="AF12" s="110">
        <v>559.46400000000006</v>
      </c>
      <c r="AG12" s="110">
        <v>585.77800000000002</v>
      </c>
      <c r="AH12" s="110">
        <v>687.29100000000005</v>
      </c>
      <c r="AI12" s="110">
        <v>615.03800000000001</v>
      </c>
      <c r="AJ12" s="110">
        <v>588.03499999999997</v>
      </c>
      <c r="AK12" s="110">
        <v>585.81299999999999</v>
      </c>
      <c r="AL12" s="110">
        <v>625.04200000000003</v>
      </c>
      <c r="AM12" s="110">
        <v>676.7</v>
      </c>
      <c r="AN12" s="110">
        <v>602.90700000000004</v>
      </c>
      <c r="AO12" s="110">
        <v>579.69000000000005</v>
      </c>
      <c r="AP12" s="110">
        <v>601.83199999999999</v>
      </c>
      <c r="AQ12" s="110">
        <v>609.5</v>
      </c>
      <c r="AR12" s="110">
        <v>560.29999999999995</v>
      </c>
      <c r="AS12" s="110">
        <v>590.30000000000007</v>
      </c>
      <c r="AT12" s="110">
        <v>678.5</v>
      </c>
      <c r="AU12" s="110">
        <v>690.53599999999994</v>
      </c>
      <c r="AV12" s="110">
        <v>665.4</v>
      </c>
      <c r="AW12" s="110">
        <v>634.72799999999995</v>
      </c>
      <c r="AX12" s="110">
        <v>909.00300000000004</v>
      </c>
      <c r="AY12" s="110">
        <v>725.26199999999994</v>
      </c>
      <c r="AZ12" s="110">
        <v>863.67899999999997</v>
      </c>
      <c r="BA12" s="110">
        <v>978.226</v>
      </c>
      <c r="BB12" s="110">
        <v>962.42700000000002</v>
      </c>
      <c r="BC12" s="58">
        <v>945.12</v>
      </c>
      <c r="BD12" s="58">
        <v>1191.3</v>
      </c>
      <c r="BE12" s="58">
        <v>1040.2260000000001</v>
      </c>
      <c r="BF12" s="58">
        <v>1212.8869999999999</v>
      </c>
      <c r="BG12" s="58">
        <v>1212.386</v>
      </c>
      <c r="BH12" s="58">
        <v>1415.4749999999999</v>
      </c>
      <c r="BI12" s="58">
        <v>1319.7719999999999</v>
      </c>
      <c r="BJ12" s="58">
        <v>1520.9749999999999</v>
      </c>
      <c r="BK12" s="58">
        <v>1331.654</v>
      </c>
      <c r="BL12" s="58">
        <v>1379.327</v>
      </c>
      <c r="BM12" s="58">
        <v>1346.1638188703839</v>
      </c>
      <c r="BN12" s="58">
        <v>1885.93</v>
      </c>
      <c r="BO12" s="58">
        <v>1359.367</v>
      </c>
      <c r="BP12" s="58">
        <v>1920.067</v>
      </c>
      <c r="BQ12" s="66">
        <v>1746.8309999999999</v>
      </c>
      <c r="BR12" s="66">
        <v>1977.453</v>
      </c>
      <c r="BS12" s="66">
        <v>1153.9929999999999</v>
      </c>
      <c r="BT12" s="66">
        <v>1850.1890000000001</v>
      </c>
      <c r="BU12" s="66">
        <v>1444.549</v>
      </c>
      <c r="BV12" s="55"/>
      <c r="BW12" s="110">
        <v>112.723</v>
      </c>
      <c r="BX12" s="110">
        <v>171.84899999999999</v>
      </c>
      <c r="BY12" s="110">
        <v>174.07499999999999</v>
      </c>
      <c r="BZ12" s="110">
        <v>179.20500000000001</v>
      </c>
      <c r="CA12" s="110">
        <v>308.935</v>
      </c>
      <c r="CB12" s="110">
        <v>439.63499999999999</v>
      </c>
      <c r="CC12" s="110">
        <v>526.65</v>
      </c>
      <c r="CD12" s="110">
        <v>575.32600000000002</v>
      </c>
      <c r="CE12" s="110">
        <v>615.03800000000001</v>
      </c>
      <c r="CF12" s="110">
        <v>676.7</v>
      </c>
      <c r="CG12" s="110">
        <f t="shared" si="9"/>
        <v>609.5</v>
      </c>
      <c r="CH12" s="110">
        <f t="shared" si="10"/>
        <v>690.53599999999994</v>
      </c>
      <c r="CI12" s="110">
        <f t="shared" si="4"/>
        <v>725.26199999999994</v>
      </c>
      <c r="CJ12" s="110">
        <f t="shared" si="5"/>
        <v>945.12</v>
      </c>
      <c r="CK12" s="110">
        <f t="shared" si="6"/>
        <v>1212.386</v>
      </c>
      <c r="CL12" s="110">
        <f t="shared" si="11"/>
        <v>1331.654</v>
      </c>
      <c r="CM12" s="110">
        <f t="shared" si="8"/>
        <v>1359.367</v>
      </c>
      <c r="CN12" s="110">
        <f t="shared" si="7"/>
        <v>1153.9929999999999</v>
      </c>
      <c r="CO12" s="206"/>
      <c r="CP12" s="6"/>
      <c r="CT12" s="48"/>
    </row>
    <row r="13" spans="1:98" x14ac:dyDescent="0.35">
      <c r="A13" s="6"/>
      <c r="B13" s="40" t="str">
        <f>IF(Control!$D$5=1,"Financial Instruments - Derivatives","Instrumentos Financeiros - Derivativos")</f>
        <v>Instrumentos Financeiros - Derivativos</v>
      </c>
      <c r="C13" s="110">
        <v>0</v>
      </c>
      <c r="D13" s="110">
        <v>0</v>
      </c>
      <c r="E13" s="58" t="s">
        <v>2</v>
      </c>
      <c r="F13" s="58" t="s">
        <v>2</v>
      </c>
      <c r="G13" s="110">
        <v>0</v>
      </c>
      <c r="H13" s="110">
        <v>0</v>
      </c>
      <c r="I13" s="110">
        <v>0</v>
      </c>
      <c r="J13" s="110">
        <v>0</v>
      </c>
      <c r="K13" s="110">
        <v>0</v>
      </c>
      <c r="L13" s="110">
        <v>0</v>
      </c>
      <c r="M13" s="110">
        <v>0</v>
      </c>
      <c r="N13" s="110">
        <v>207.61</v>
      </c>
      <c r="O13" s="110">
        <v>0</v>
      </c>
      <c r="P13" s="110">
        <v>0</v>
      </c>
      <c r="Q13" s="110">
        <v>0</v>
      </c>
      <c r="R13" s="110">
        <v>0</v>
      </c>
      <c r="S13" s="110">
        <v>0</v>
      </c>
      <c r="T13" s="110">
        <v>0</v>
      </c>
      <c r="U13" s="110">
        <v>0</v>
      </c>
      <c r="V13" s="110">
        <v>36.033000000000001</v>
      </c>
      <c r="W13" s="110">
        <v>28.661000000000001</v>
      </c>
      <c r="X13" s="110">
        <v>38.439</v>
      </c>
      <c r="Y13" s="110">
        <v>0</v>
      </c>
      <c r="Z13" s="110">
        <v>0</v>
      </c>
      <c r="AA13" s="110">
        <v>0</v>
      </c>
      <c r="AB13" s="110">
        <v>0</v>
      </c>
      <c r="AC13" s="110">
        <v>0</v>
      </c>
      <c r="AD13" s="110">
        <v>0</v>
      </c>
      <c r="AE13" s="110">
        <v>0</v>
      </c>
      <c r="AF13" s="110"/>
      <c r="AG13" s="110">
        <v>0</v>
      </c>
      <c r="AH13" s="110">
        <v>0</v>
      </c>
      <c r="AI13" s="110">
        <v>0</v>
      </c>
      <c r="AJ13" s="110">
        <v>0.74099999999999999</v>
      </c>
      <c r="AK13" s="110">
        <v>0</v>
      </c>
      <c r="AL13" s="110">
        <v>0</v>
      </c>
      <c r="AM13" s="110">
        <v>0.6</v>
      </c>
      <c r="AN13" s="110">
        <v>0</v>
      </c>
      <c r="AO13" s="110">
        <v>0</v>
      </c>
      <c r="AP13" s="110">
        <v>0.68</v>
      </c>
      <c r="AQ13" s="110">
        <v>0</v>
      </c>
      <c r="AR13" s="110">
        <v>0</v>
      </c>
      <c r="AS13" s="110">
        <v>0</v>
      </c>
      <c r="AT13" s="110">
        <v>0.1</v>
      </c>
      <c r="AU13" s="110">
        <v>0.51100000000000001</v>
      </c>
      <c r="AV13" s="110">
        <v>0</v>
      </c>
      <c r="AW13" s="110">
        <v>0</v>
      </c>
      <c r="AX13" s="110">
        <v>0</v>
      </c>
      <c r="AY13" s="110">
        <v>0.60499999999999998</v>
      </c>
      <c r="AZ13" s="110">
        <v>0.45300000000000001</v>
      </c>
      <c r="BA13" s="110">
        <v>2.4860000000000002</v>
      </c>
      <c r="BB13" s="110">
        <v>1.141</v>
      </c>
      <c r="BC13" s="58">
        <v>1.1439999999999999</v>
      </c>
      <c r="BD13" s="58">
        <v>1.7999999999999999E-2</v>
      </c>
      <c r="BE13" s="58">
        <v>0</v>
      </c>
      <c r="BF13" s="58">
        <v>0.80500000000000005</v>
      </c>
      <c r="BG13" s="58">
        <v>0.52800000000000002</v>
      </c>
      <c r="BH13" s="58">
        <v>0</v>
      </c>
      <c r="BI13" s="58">
        <v>2.121</v>
      </c>
      <c r="BJ13" s="58">
        <v>0</v>
      </c>
      <c r="BK13" s="58">
        <v>0.67400000000000004</v>
      </c>
      <c r="BL13" s="58">
        <v>0.63500000000000001</v>
      </c>
      <c r="BM13" s="58">
        <v>2.7160000000000002</v>
      </c>
      <c r="BN13" s="58">
        <v>1.522</v>
      </c>
      <c r="BO13" s="58">
        <v>0</v>
      </c>
      <c r="BP13" s="58">
        <v>1.7330000000000001</v>
      </c>
      <c r="BQ13" s="66">
        <v>0.96699999999999997</v>
      </c>
      <c r="BR13" s="66">
        <v>0.81</v>
      </c>
      <c r="BS13" s="66">
        <v>1.3240000000000001</v>
      </c>
      <c r="BT13" s="66">
        <v>0.79</v>
      </c>
      <c r="BU13" s="66">
        <v>0.39</v>
      </c>
      <c r="BV13" s="55"/>
      <c r="BW13" s="110">
        <v>0</v>
      </c>
      <c r="BX13" s="110">
        <v>0</v>
      </c>
      <c r="BY13" s="110">
        <v>0</v>
      </c>
      <c r="BZ13" s="110">
        <v>0</v>
      </c>
      <c r="CA13" s="110">
        <v>0</v>
      </c>
      <c r="CB13" s="110">
        <v>28.661000000000001</v>
      </c>
      <c r="CC13" s="110">
        <v>0</v>
      </c>
      <c r="CD13" s="110">
        <v>0</v>
      </c>
      <c r="CE13" s="110">
        <v>0</v>
      </c>
      <c r="CF13" s="110">
        <v>0.6</v>
      </c>
      <c r="CG13" s="110">
        <f t="shared" si="9"/>
        <v>0</v>
      </c>
      <c r="CH13" s="110">
        <f t="shared" si="10"/>
        <v>0.51100000000000001</v>
      </c>
      <c r="CI13" s="110">
        <f t="shared" si="4"/>
        <v>0.60499999999999998</v>
      </c>
      <c r="CJ13" s="110">
        <f t="shared" si="5"/>
        <v>1.1439999999999999</v>
      </c>
      <c r="CK13" s="110">
        <f t="shared" si="6"/>
        <v>0.52800000000000002</v>
      </c>
      <c r="CL13" s="110">
        <f t="shared" si="11"/>
        <v>0.67400000000000004</v>
      </c>
      <c r="CM13" s="110">
        <f t="shared" si="8"/>
        <v>0</v>
      </c>
      <c r="CN13" s="110">
        <f t="shared" si="7"/>
        <v>1.3240000000000001</v>
      </c>
      <c r="CO13" s="206"/>
      <c r="CP13" s="6"/>
      <c r="CT13" s="48"/>
    </row>
    <row r="14" spans="1:98" x14ac:dyDescent="0.35">
      <c r="A14" s="18"/>
      <c r="B14" s="40" t="str">
        <f>IF(Control!$D$5=1,"Inventories","Estoques")</f>
        <v>Estoques</v>
      </c>
      <c r="C14" s="58">
        <v>67.320999999999998</v>
      </c>
      <c r="D14" s="58">
        <v>371.40199999999999</v>
      </c>
      <c r="E14" s="58" t="s">
        <v>2</v>
      </c>
      <c r="F14" s="58" t="s">
        <v>2</v>
      </c>
      <c r="G14" s="58">
        <v>136.24700000000001</v>
      </c>
      <c r="H14" s="58">
        <v>340.62099999999998</v>
      </c>
      <c r="I14" s="58">
        <v>249.49799999999999</v>
      </c>
      <c r="J14" s="58">
        <v>154.71899999999999</v>
      </c>
      <c r="K14" s="58">
        <v>117.34099999999999</v>
      </c>
      <c r="L14" s="58">
        <v>342.34199999999998</v>
      </c>
      <c r="M14" s="58">
        <v>279.34100000000001</v>
      </c>
      <c r="N14" s="58">
        <v>75.147999999999996</v>
      </c>
      <c r="O14" s="58">
        <v>107.623</v>
      </c>
      <c r="P14" s="58">
        <v>458.31400000000002</v>
      </c>
      <c r="Q14" s="58">
        <v>394.96</v>
      </c>
      <c r="R14" s="58">
        <v>291.20800000000003</v>
      </c>
      <c r="S14" s="58">
        <v>239.80099999999999</v>
      </c>
      <c r="T14" s="58">
        <v>596.25099999999998</v>
      </c>
      <c r="U14" s="58">
        <v>534.03399999999999</v>
      </c>
      <c r="V14" s="58">
        <v>459.36099999999999</v>
      </c>
      <c r="W14" s="58">
        <v>326.02199999999999</v>
      </c>
      <c r="X14" s="58">
        <v>767.005</v>
      </c>
      <c r="Y14" s="58">
        <v>773.63599999999997</v>
      </c>
      <c r="Z14" s="58">
        <v>603.69000000000005</v>
      </c>
      <c r="AA14" s="58">
        <v>436.51400000000001</v>
      </c>
      <c r="AB14" s="58">
        <v>850.56299999999999</v>
      </c>
      <c r="AC14" s="58">
        <v>709.60299999999995</v>
      </c>
      <c r="AD14" s="58">
        <v>581.92499999999995</v>
      </c>
      <c r="AE14" s="58">
        <v>414.28699999999998</v>
      </c>
      <c r="AF14" s="58">
        <v>988.20500000000004</v>
      </c>
      <c r="AG14" s="58">
        <v>920.28200000000004</v>
      </c>
      <c r="AH14" s="58">
        <v>792.17899999999997</v>
      </c>
      <c r="AI14" s="58">
        <f>857.64-AI15</f>
        <v>557.904</v>
      </c>
      <c r="AJ14" s="58">
        <f>1363.44-AJ15</f>
        <v>1082.615</v>
      </c>
      <c r="AK14" s="58">
        <f>1336.695-AK15</f>
        <v>1044.261</v>
      </c>
      <c r="AL14" s="58">
        <f>1253.325-AL15</f>
        <v>928.46900000000005</v>
      </c>
      <c r="AM14" s="58">
        <v>623.70000000000005</v>
      </c>
      <c r="AN14" s="58">
        <f>1438.272-AN15</f>
        <v>1131.443</v>
      </c>
      <c r="AO14" s="58">
        <f>1232.966-AO15</f>
        <v>1017.1489999999999</v>
      </c>
      <c r="AP14" s="58">
        <v>801.72900000000004</v>
      </c>
      <c r="AQ14" s="58">
        <v>538.70000000000005</v>
      </c>
      <c r="AR14" s="58">
        <v>1089.0999999999999</v>
      </c>
      <c r="AS14" s="58">
        <v>1124.8</v>
      </c>
      <c r="AT14" s="58">
        <v>981.30000000000007</v>
      </c>
      <c r="AU14" s="58">
        <f>1120.18-AU15</f>
        <v>717.0630000000001</v>
      </c>
      <c r="AV14" s="58">
        <v>1320.7759999999998</v>
      </c>
      <c r="AW14" s="58">
        <v>1215.47</v>
      </c>
      <c r="AX14" s="58">
        <v>1003.5999999999999</v>
      </c>
      <c r="AY14" s="58">
        <v>686.69900000000007</v>
      </c>
      <c r="AZ14" s="58">
        <v>1566.2430000000002</v>
      </c>
      <c r="BA14" s="58">
        <v>1414.393</v>
      </c>
      <c r="BB14" s="58">
        <v>1383.944</v>
      </c>
      <c r="BC14" s="58">
        <v>978.93000000000006</v>
      </c>
      <c r="BD14" s="58">
        <v>1712.55</v>
      </c>
      <c r="BE14" s="58">
        <v>1419.175</v>
      </c>
      <c r="BF14" s="58">
        <v>1342.9140000000002</v>
      </c>
      <c r="BG14" s="58">
        <v>1129.3</v>
      </c>
      <c r="BH14" s="58">
        <v>1839.261</v>
      </c>
      <c r="BI14" s="58">
        <v>1639.2199999999998</v>
      </c>
      <c r="BJ14" s="58">
        <v>1559.9193259604067</v>
      </c>
      <c r="BK14" s="58">
        <v>1558.5889999999999</v>
      </c>
      <c r="BL14" s="58">
        <v>2484.2190000000001</v>
      </c>
      <c r="BM14" s="58">
        <v>2189.163</v>
      </c>
      <c r="BN14" s="58">
        <v>1904.0050000000001</v>
      </c>
      <c r="BO14" s="58">
        <v>1378.076</v>
      </c>
      <c r="BP14" s="58">
        <v>2433.2310000000002</v>
      </c>
      <c r="BQ14" s="71">
        <v>2429.2829999999999</v>
      </c>
      <c r="BR14" s="71">
        <v>2223.509</v>
      </c>
      <c r="BS14" s="71">
        <v>1541.5649999999998</v>
      </c>
      <c r="BT14" s="71">
        <v>2758.0250000000001</v>
      </c>
      <c r="BU14" s="71">
        <v>2251.7460000000001</v>
      </c>
      <c r="BV14" s="55"/>
      <c r="BW14" s="58">
        <v>67.320999999999998</v>
      </c>
      <c r="BX14" s="58">
        <v>136.24700000000001</v>
      </c>
      <c r="BY14" s="58">
        <v>117.34099999999999</v>
      </c>
      <c r="BZ14" s="58">
        <v>107.623</v>
      </c>
      <c r="CA14" s="58">
        <v>239.80099999999999</v>
      </c>
      <c r="CB14" s="58">
        <v>326.02199999999999</v>
      </c>
      <c r="CC14" s="58">
        <v>436.51400000000001</v>
      </c>
      <c r="CD14" s="58">
        <v>414.28699999999998</v>
      </c>
      <c r="CE14" s="58">
        <f>857.64-CE15</f>
        <v>557.904</v>
      </c>
      <c r="CF14" s="58">
        <v>623.70000000000005</v>
      </c>
      <c r="CG14" s="58">
        <f t="shared" si="9"/>
        <v>538.70000000000005</v>
      </c>
      <c r="CH14" s="58">
        <f t="shared" si="10"/>
        <v>717.0630000000001</v>
      </c>
      <c r="CI14" s="58">
        <f t="shared" si="4"/>
        <v>686.69900000000007</v>
      </c>
      <c r="CJ14" s="58">
        <f t="shared" si="5"/>
        <v>978.93000000000006</v>
      </c>
      <c r="CK14" s="58">
        <f t="shared" si="6"/>
        <v>1129.3</v>
      </c>
      <c r="CL14" s="58">
        <f t="shared" si="11"/>
        <v>1558.5889999999999</v>
      </c>
      <c r="CM14" s="58">
        <f t="shared" si="8"/>
        <v>1378.076</v>
      </c>
      <c r="CN14" s="58">
        <f t="shared" si="7"/>
        <v>1541.5649999999998</v>
      </c>
      <c r="CO14" s="206"/>
      <c r="CP14" s="6"/>
      <c r="CT14" s="48"/>
    </row>
    <row r="15" spans="1:98" x14ac:dyDescent="0.35">
      <c r="A15" s="6"/>
      <c r="B15" s="40" t="str">
        <f>IF(Control!$D$5=1,"Payments in Advance (Producers)","Adiantamentos a Produtores")</f>
        <v>Adiantamentos a Produtores</v>
      </c>
      <c r="C15" s="58">
        <v>50.676000000000002</v>
      </c>
      <c r="D15" s="58">
        <v>78.519000000000005</v>
      </c>
      <c r="E15" s="58" t="s">
        <v>2</v>
      </c>
      <c r="F15" s="58" t="s">
        <v>2</v>
      </c>
      <c r="G15" s="58">
        <v>78.738</v>
      </c>
      <c r="H15" s="58">
        <v>38.356000000000002</v>
      </c>
      <c r="I15" s="58">
        <v>43.591999999999999</v>
      </c>
      <c r="J15" s="58">
        <v>59.664999999999999</v>
      </c>
      <c r="K15" s="58">
        <v>82.766000000000005</v>
      </c>
      <c r="L15" s="58">
        <v>78.652000000000001</v>
      </c>
      <c r="M15" s="58">
        <v>70.262</v>
      </c>
      <c r="N15" s="58">
        <v>38.113</v>
      </c>
      <c r="O15" s="58">
        <v>96.665000000000006</v>
      </c>
      <c r="P15" s="58">
        <v>75.076999999999998</v>
      </c>
      <c r="Q15" s="58">
        <v>40.814</v>
      </c>
      <c r="R15" s="58">
        <v>74.945999999999998</v>
      </c>
      <c r="S15" s="58">
        <v>123.878</v>
      </c>
      <c r="T15" s="58">
        <v>119.535</v>
      </c>
      <c r="U15" s="58">
        <v>79.938999999999993</v>
      </c>
      <c r="V15" s="58">
        <v>109.60899999999999</v>
      </c>
      <c r="W15" s="58">
        <v>134.113</v>
      </c>
      <c r="X15" s="58">
        <v>127.37</v>
      </c>
      <c r="Y15" s="58">
        <v>98.766999999999996</v>
      </c>
      <c r="Z15" s="58">
        <v>189.518</v>
      </c>
      <c r="AA15" s="58">
        <v>191.4</v>
      </c>
      <c r="AB15" s="58">
        <v>176.89099999999999</v>
      </c>
      <c r="AC15" s="58">
        <v>129.89500000000001</v>
      </c>
      <c r="AD15" s="58">
        <v>221.84700000000001</v>
      </c>
      <c r="AE15" s="58">
        <v>230.68799999999999</v>
      </c>
      <c r="AF15" s="58">
        <v>200.05600000000001</v>
      </c>
      <c r="AG15" s="58">
        <v>160.83799999999999</v>
      </c>
      <c r="AH15" s="58">
        <v>304.42899999999997</v>
      </c>
      <c r="AI15" s="58">
        <v>299.73599999999999</v>
      </c>
      <c r="AJ15" s="58">
        <v>280.82499999999999</v>
      </c>
      <c r="AK15" s="58">
        <v>292.43400000000003</v>
      </c>
      <c r="AL15" s="58">
        <v>324.85599999999999</v>
      </c>
      <c r="AM15" s="58">
        <v>330.1</v>
      </c>
      <c r="AN15" s="58">
        <v>306.82900000000001</v>
      </c>
      <c r="AO15" s="58">
        <v>215.81700000000001</v>
      </c>
      <c r="AP15" s="58">
        <f>283405/1000</f>
        <v>283.40499999999997</v>
      </c>
      <c r="AQ15" s="58">
        <v>316.60000000000002</v>
      </c>
      <c r="AR15" s="58">
        <v>320.39999999999998</v>
      </c>
      <c r="AS15" s="58">
        <v>264.60000000000002</v>
      </c>
      <c r="AT15" s="58">
        <v>336.79999999999995</v>
      </c>
      <c r="AU15" s="58">
        <f>393.285+9.832</f>
        <v>403.11700000000002</v>
      </c>
      <c r="AV15" s="58">
        <v>358.26300000000003</v>
      </c>
      <c r="AW15" s="58">
        <f>321.003</f>
        <v>321.00299999999999</v>
      </c>
      <c r="AX15" s="58">
        <f>435.584</f>
        <v>435.584</v>
      </c>
      <c r="AY15" s="58">
        <v>466.10500000000002</v>
      </c>
      <c r="AZ15" s="58">
        <v>514.63499999999999</v>
      </c>
      <c r="BA15" s="58">
        <v>446.44200000000001</v>
      </c>
      <c r="BB15" s="58">
        <v>495.04300000000001</v>
      </c>
      <c r="BC15" s="58">
        <v>477.84999999999997</v>
      </c>
      <c r="BD15" s="58">
        <v>411.512</v>
      </c>
      <c r="BE15" s="58">
        <v>287.46100000000001</v>
      </c>
      <c r="BF15" s="58">
        <v>391.13</v>
      </c>
      <c r="BG15" s="58">
        <v>517.39699999999993</v>
      </c>
      <c r="BH15" s="58">
        <v>496.38000000000005</v>
      </c>
      <c r="BI15" s="58">
        <v>459.61199999999997</v>
      </c>
      <c r="BJ15" s="58">
        <v>584.57299999999998</v>
      </c>
      <c r="BK15" s="58">
        <v>655.34100000000001</v>
      </c>
      <c r="BL15" s="58">
        <v>663.15599999999995</v>
      </c>
      <c r="BM15" s="58">
        <v>449.00200000000001</v>
      </c>
      <c r="BN15" s="58">
        <v>548.01499999999999</v>
      </c>
      <c r="BO15" s="58">
        <v>541.69100000000003</v>
      </c>
      <c r="BP15" s="58">
        <v>624.30700000000002</v>
      </c>
      <c r="BQ15" s="71">
        <v>525.17700000000002</v>
      </c>
      <c r="BR15" s="71">
        <v>664.14099999999996</v>
      </c>
      <c r="BS15" s="71">
        <v>671.23800000000006</v>
      </c>
      <c r="BT15" s="71">
        <v>594.72</v>
      </c>
      <c r="BU15" s="71">
        <v>360.71600000000001</v>
      </c>
      <c r="BV15" s="55"/>
      <c r="BW15" s="58">
        <v>50.676000000000002</v>
      </c>
      <c r="BX15" s="58">
        <v>78.738</v>
      </c>
      <c r="BY15" s="58">
        <v>82.766000000000005</v>
      </c>
      <c r="BZ15" s="58">
        <v>96.665000000000006</v>
      </c>
      <c r="CA15" s="58">
        <v>123.878</v>
      </c>
      <c r="CB15" s="58">
        <v>134.113</v>
      </c>
      <c r="CC15" s="58">
        <v>191.4</v>
      </c>
      <c r="CD15" s="58">
        <v>230.68799999999999</v>
      </c>
      <c r="CE15" s="58">
        <v>299.73599999999999</v>
      </c>
      <c r="CF15" s="58">
        <v>330.1</v>
      </c>
      <c r="CG15" s="58">
        <f t="shared" si="9"/>
        <v>316.60000000000002</v>
      </c>
      <c r="CH15" s="58">
        <f t="shared" si="10"/>
        <v>403.11700000000002</v>
      </c>
      <c r="CI15" s="58">
        <f t="shared" si="4"/>
        <v>466.10500000000002</v>
      </c>
      <c r="CJ15" s="58">
        <f t="shared" si="5"/>
        <v>477.84999999999997</v>
      </c>
      <c r="CK15" s="58">
        <f t="shared" si="6"/>
        <v>517.39699999999993</v>
      </c>
      <c r="CL15" s="58">
        <f t="shared" si="11"/>
        <v>655.34100000000001</v>
      </c>
      <c r="CM15" s="58">
        <f t="shared" si="8"/>
        <v>541.69100000000003</v>
      </c>
      <c r="CN15" s="58">
        <f t="shared" si="7"/>
        <v>671.23800000000006</v>
      </c>
      <c r="CO15" s="206"/>
      <c r="CP15" s="6"/>
      <c r="CT15" s="48"/>
    </row>
    <row r="16" spans="1:98" x14ac:dyDescent="0.35">
      <c r="A16" s="6"/>
      <c r="B16" s="40" t="str">
        <f>IF(Control!$D$5=1,"Payments in Advance","Adiantamentos a Fornecedores")</f>
        <v>Adiantamentos a Fornecedores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>
        <v>9.8320000000000007</v>
      </c>
      <c r="AV16" s="58">
        <v>13.058999999999999</v>
      </c>
      <c r="AW16" s="58">
        <v>8.3719999999999999</v>
      </c>
      <c r="AX16" s="58">
        <v>6.0650000000000004</v>
      </c>
      <c r="AY16" s="58">
        <v>7.0839999999999996</v>
      </c>
      <c r="AZ16" s="58">
        <v>13.217000000000001</v>
      </c>
      <c r="BA16" s="58">
        <v>8.3439999999999994</v>
      </c>
      <c r="BB16" s="58">
        <v>4.5449999999999999</v>
      </c>
      <c r="BC16" s="58">
        <v>4.899</v>
      </c>
      <c r="BD16" s="58">
        <v>4.6920000000000002</v>
      </c>
      <c r="BE16" s="58">
        <v>2.6389999999999998</v>
      </c>
      <c r="BF16" s="58">
        <v>13.622999999999999</v>
      </c>
      <c r="BG16" s="58">
        <v>24.484999999999999</v>
      </c>
      <c r="BH16" s="58">
        <v>29.638000000000002</v>
      </c>
      <c r="BI16" s="58">
        <v>11.269</v>
      </c>
      <c r="BJ16" s="58">
        <v>22.853000000000002</v>
      </c>
      <c r="BK16" s="58">
        <v>16.158999999999999</v>
      </c>
      <c r="BL16" s="58">
        <v>32.259</v>
      </c>
      <c r="BM16" s="58">
        <v>25.029</v>
      </c>
      <c r="BN16" s="58">
        <v>19.646999999999998</v>
      </c>
      <c r="BO16" s="58">
        <v>0</v>
      </c>
      <c r="BP16" s="58">
        <v>0</v>
      </c>
      <c r="BQ16" s="71">
        <v>0</v>
      </c>
      <c r="BR16" s="71">
        <v>0</v>
      </c>
      <c r="BS16" s="71">
        <v>0</v>
      </c>
      <c r="BT16" s="71">
        <v>0</v>
      </c>
      <c r="BU16" s="71">
        <v>0</v>
      </c>
      <c r="BV16" s="55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>
        <f t="shared" si="9"/>
        <v>0</v>
      </c>
      <c r="CH16" s="58">
        <f t="shared" si="10"/>
        <v>9.8320000000000007</v>
      </c>
      <c r="CI16" s="58">
        <f t="shared" si="4"/>
        <v>7.0839999999999996</v>
      </c>
      <c r="CJ16" s="58">
        <f t="shared" si="5"/>
        <v>4.899</v>
      </c>
      <c r="CK16" s="58">
        <f t="shared" si="6"/>
        <v>24.484999999999999</v>
      </c>
      <c r="CL16" s="58">
        <f t="shared" si="11"/>
        <v>16.158999999999999</v>
      </c>
      <c r="CM16" s="58">
        <f t="shared" si="8"/>
        <v>0</v>
      </c>
      <c r="CN16" s="58">
        <f t="shared" si="7"/>
        <v>0</v>
      </c>
      <c r="CO16" s="206"/>
      <c r="CP16" s="6"/>
      <c r="CT16" s="48"/>
    </row>
    <row r="17" spans="1:98" x14ac:dyDescent="0.35">
      <c r="A17" s="91"/>
      <c r="B17" s="40" t="str">
        <f>IF(Control!$D$5=1,"Recoverable Taxes","Impostos a Recuperar")</f>
        <v>Impostos a Recuperar</v>
      </c>
      <c r="C17" s="110">
        <v>29.192</v>
      </c>
      <c r="D17" s="110">
        <v>27.175999999999998</v>
      </c>
      <c r="E17" s="58" t="s">
        <v>2</v>
      </c>
      <c r="F17" s="58" t="s">
        <v>2</v>
      </c>
      <c r="G17" s="110">
        <v>34.107999999999997</v>
      </c>
      <c r="H17" s="110">
        <v>33.606999999999999</v>
      </c>
      <c r="I17" s="110">
        <v>28.515000000000001</v>
      </c>
      <c r="J17" s="110">
        <v>30.446999999999999</v>
      </c>
      <c r="K17" s="110">
        <v>39.801000000000002</v>
      </c>
      <c r="L17" s="110">
        <v>38.911000000000001</v>
      </c>
      <c r="M17" s="110">
        <v>38.692</v>
      </c>
      <c r="N17" s="110">
        <v>3.3279999999999998</v>
      </c>
      <c r="O17" s="110">
        <v>38.731999999999999</v>
      </c>
      <c r="P17" s="110">
        <v>60.143000000000001</v>
      </c>
      <c r="Q17" s="110">
        <v>60.51</v>
      </c>
      <c r="R17" s="110">
        <v>66.578999999999994</v>
      </c>
      <c r="S17" s="110">
        <v>72.096999999999994</v>
      </c>
      <c r="T17" s="110">
        <v>73.225999999999999</v>
      </c>
      <c r="U17" s="110">
        <v>78.340999999999994</v>
      </c>
      <c r="V17" s="110">
        <v>87.606999999999999</v>
      </c>
      <c r="W17" s="110">
        <v>92.004999999999995</v>
      </c>
      <c r="X17" s="110">
        <v>84.406000000000006</v>
      </c>
      <c r="Y17" s="110">
        <v>104.663</v>
      </c>
      <c r="Z17" s="110">
        <v>129.745</v>
      </c>
      <c r="AA17" s="110">
        <v>91.75</v>
      </c>
      <c r="AB17" s="110">
        <v>104.565</v>
      </c>
      <c r="AC17" s="110">
        <v>120.94499999999999</v>
      </c>
      <c r="AD17" s="110">
        <v>133.417</v>
      </c>
      <c r="AE17" s="110">
        <v>122.79300000000001</v>
      </c>
      <c r="AF17" s="110">
        <v>131.13399999999999</v>
      </c>
      <c r="AG17" s="110">
        <v>134.81100000000001</v>
      </c>
      <c r="AH17" s="110">
        <v>133.15799999999999</v>
      </c>
      <c r="AI17" s="110">
        <v>117.705</v>
      </c>
      <c r="AJ17" s="110">
        <v>115.498</v>
      </c>
      <c r="AK17" s="110">
        <v>108.346</v>
      </c>
      <c r="AL17" s="110">
        <v>87.861999999999995</v>
      </c>
      <c r="AM17" s="110">
        <v>75.7</v>
      </c>
      <c r="AN17" s="110">
        <v>73.884</v>
      </c>
      <c r="AO17" s="110">
        <v>60.283000000000001</v>
      </c>
      <c r="AP17" s="110">
        <v>60.069000000000003</v>
      </c>
      <c r="AQ17" s="110">
        <v>67.2</v>
      </c>
      <c r="AR17" s="110">
        <v>84</v>
      </c>
      <c r="AS17" s="110">
        <v>64.3</v>
      </c>
      <c r="AT17" s="110">
        <v>238.7</v>
      </c>
      <c r="AU17" s="110">
        <v>142.02500000000001</v>
      </c>
      <c r="AV17" s="110">
        <v>134.19999999999999</v>
      </c>
      <c r="AW17" s="110">
        <v>134.19999999999999</v>
      </c>
      <c r="AX17" s="110">
        <v>130.56200000000001</v>
      </c>
      <c r="AY17" s="110">
        <v>119.443</v>
      </c>
      <c r="AZ17" s="110">
        <v>162.26</v>
      </c>
      <c r="BA17" s="110">
        <v>152.709</v>
      </c>
      <c r="BB17" s="110">
        <v>144.69</v>
      </c>
      <c r="BC17" s="110">
        <v>145.63300000000001</v>
      </c>
      <c r="BD17" s="110">
        <v>146.881</v>
      </c>
      <c r="BE17" s="110">
        <v>129.684</v>
      </c>
      <c r="BF17" s="110">
        <v>135.30699999999999</v>
      </c>
      <c r="BG17" s="110">
        <v>195.02</v>
      </c>
      <c r="BH17" s="110">
        <v>214.85599999999999</v>
      </c>
      <c r="BI17" s="110">
        <v>204.58646131999993</v>
      </c>
      <c r="BJ17" s="110">
        <v>250.19900000000001</v>
      </c>
      <c r="BK17" s="110">
        <v>221.49299999999999</v>
      </c>
      <c r="BL17" s="58">
        <v>281.69600000000003</v>
      </c>
      <c r="BM17" s="58">
        <v>241.22</v>
      </c>
      <c r="BN17" s="58">
        <v>233.12899999999999</v>
      </c>
      <c r="BO17" s="58">
        <v>203.75800000000001</v>
      </c>
      <c r="BP17" s="58">
        <v>204.137</v>
      </c>
      <c r="BQ17" s="66">
        <v>195.589</v>
      </c>
      <c r="BR17" s="66">
        <v>193.66499999999999</v>
      </c>
      <c r="BS17" s="66">
        <v>208.196</v>
      </c>
      <c r="BT17" s="66">
        <v>218.08799999999999</v>
      </c>
      <c r="BU17" s="66">
        <v>224.66300000000001</v>
      </c>
      <c r="BV17" s="55"/>
      <c r="BW17" s="110">
        <v>29.192</v>
      </c>
      <c r="BX17" s="110">
        <v>34.107999999999997</v>
      </c>
      <c r="BY17" s="110">
        <v>39.801000000000002</v>
      </c>
      <c r="BZ17" s="110">
        <v>38.731999999999999</v>
      </c>
      <c r="CA17" s="110">
        <v>72.096999999999994</v>
      </c>
      <c r="CB17" s="110">
        <v>92.004999999999995</v>
      </c>
      <c r="CC17" s="110">
        <v>91.75</v>
      </c>
      <c r="CD17" s="110">
        <v>122.79300000000001</v>
      </c>
      <c r="CE17" s="110">
        <v>117.705</v>
      </c>
      <c r="CF17" s="110">
        <v>75.7</v>
      </c>
      <c r="CG17" s="110">
        <f t="shared" si="9"/>
        <v>67.2</v>
      </c>
      <c r="CH17" s="110">
        <f t="shared" si="10"/>
        <v>142.02500000000001</v>
      </c>
      <c r="CI17" s="110">
        <f t="shared" si="4"/>
        <v>119.443</v>
      </c>
      <c r="CJ17" s="110">
        <f t="shared" si="5"/>
        <v>145.63300000000001</v>
      </c>
      <c r="CK17" s="110">
        <f t="shared" si="6"/>
        <v>195.02</v>
      </c>
      <c r="CL17" s="110">
        <f t="shared" si="11"/>
        <v>221.49299999999999</v>
      </c>
      <c r="CM17" s="110">
        <f t="shared" si="8"/>
        <v>203.75800000000001</v>
      </c>
      <c r="CN17" s="110">
        <f t="shared" si="7"/>
        <v>208.196</v>
      </c>
      <c r="CO17" s="206"/>
      <c r="CP17" s="6"/>
      <c r="CT17" s="48"/>
    </row>
    <row r="18" spans="1:98" x14ac:dyDescent="0.35">
      <c r="A18" s="91"/>
      <c r="B18" s="40" t="str">
        <f>IF(Control!$D$5=1,"Related Party","Partes Relacionadas")</f>
        <v>Partes Relacionadas</v>
      </c>
      <c r="C18" s="110">
        <v>0</v>
      </c>
      <c r="D18" s="110">
        <v>0</v>
      </c>
      <c r="E18" s="58" t="s">
        <v>2</v>
      </c>
      <c r="F18" s="58" t="s">
        <v>2</v>
      </c>
      <c r="G18" s="110">
        <v>0</v>
      </c>
      <c r="H18" s="110">
        <v>0</v>
      </c>
      <c r="I18" s="110">
        <v>11.574</v>
      </c>
      <c r="J18" s="110">
        <v>0</v>
      </c>
      <c r="K18" s="110">
        <v>0</v>
      </c>
      <c r="L18" s="110">
        <v>0</v>
      </c>
      <c r="M18" s="110">
        <v>0</v>
      </c>
      <c r="N18" s="110">
        <v>4.7169999999999996</v>
      </c>
      <c r="O18" s="110">
        <v>5.4909999999999997</v>
      </c>
      <c r="P18" s="110">
        <v>6.0979999999999999</v>
      </c>
      <c r="Q18" s="110">
        <v>4.9859999999999998</v>
      </c>
      <c r="R18" s="110">
        <v>6.0910000000000002</v>
      </c>
      <c r="S18" s="110">
        <v>6.5529999999999999</v>
      </c>
      <c r="T18" s="110">
        <v>9.6709999999999994</v>
      </c>
      <c r="U18" s="110">
        <v>7.6689999999999996</v>
      </c>
      <c r="V18" s="110">
        <v>8.5220000000000002</v>
      </c>
      <c r="W18" s="110">
        <v>9.6199999999999992</v>
      </c>
      <c r="X18" s="110">
        <v>10.837999999999999</v>
      </c>
      <c r="Y18" s="110">
        <v>10.888</v>
      </c>
      <c r="Z18" s="110">
        <v>10.19</v>
      </c>
      <c r="AA18" s="110">
        <v>10.467000000000001</v>
      </c>
      <c r="AB18" s="110">
        <v>11.175000000000001</v>
      </c>
      <c r="AC18" s="110">
        <v>10.91</v>
      </c>
      <c r="AD18" s="110">
        <v>10.938000000000001</v>
      </c>
      <c r="AE18" s="110">
        <v>13.362</v>
      </c>
      <c r="AF18" s="110">
        <v>16.945</v>
      </c>
      <c r="AG18" s="110">
        <v>16.065999999999999</v>
      </c>
      <c r="AH18" s="110">
        <v>18.805</v>
      </c>
      <c r="AI18" s="110">
        <v>23.555</v>
      </c>
      <c r="AJ18" s="110">
        <v>22.582999999999998</v>
      </c>
      <c r="AK18" s="110">
        <v>13.007</v>
      </c>
      <c r="AL18" s="110">
        <v>7.9550000000000001</v>
      </c>
      <c r="AM18" s="110">
        <v>10.199999999999999</v>
      </c>
      <c r="AN18" s="110">
        <v>17.111000000000001</v>
      </c>
      <c r="AO18" s="110">
        <v>11.478999999999999</v>
      </c>
      <c r="AP18" s="110">
        <v>14.458</v>
      </c>
      <c r="AQ18" s="110">
        <v>16.899999999999999</v>
      </c>
      <c r="AR18" s="110">
        <v>21.8</v>
      </c>
      <c r="AS18" s="110">
        <v>22.8</v>
      </c>
      <c r="AT18" s="110">
        <v>23.5</v>
      </c>
      <c r="AU18" s="110">
        <v>24.248999999999999</v>
      </c>
      <c r="AV18" s="110">
        <v>27.5</v>
      </c>
      <c r="AW18" s="110">
        <v>29.324000000000002</v>
      </c>
      <c r="AX18" s="110">
        <v>39.337000000000003</v>
      </c>
      <c r="AY18" s="110">
        <v>43.776000000000003</v>
      </c>
      <c r="AZ18" s="110">
        <v>61.301000000000002</v>
      </c>
      <c r="BA18" s="110">
        <v>39.581000000000003</v>
      </c>
      <c r="BB18" s="110">
        <v>39.375</v>
      </c>
      <c r="BC18" s="110">
        <v>43.411000000000001</v>
      </c>
      <c r="BD18" s="110">
        <v>41.677999999999997</v>
      </c>
      <c r="BE18" s="110">
        <v>40.735999999999997</v>
      </c>
      <c r="BF18" s="110">
        <v>43.671999999999997</v>
      </c>
      <c r="BG18" s="110">
        <v>12.420999999999999</v>
      </c>
      <c r="BH18" s="110">
        <v>11.968</v>
      </c>
      <c r="BI18" s="110">
        <v>10.430999999999999</v>
      </c>
      <c r="BJ18" s="110">
        <v>12.372999999999999</v>
      </c>
      <c r="BK18" s="110">
        <v>13.613</v>
      </c>
      <c r="BL18" s="58">
        <v>19.163</v>
      </c>
      <c r="BM18" s="58">
        <v>10.958</v>
      </c>
      <c r="BN18" s="58">
        <v>14.042999999999999</v>
      </c>
      <c r="BO18" s="58">
        <v>18.347999999999999</v>
      </c>
      <c r="BP18" s="58">
        <v>20.585000000000001</v>
      </c>
      <c r="BQ18" s="66">
        <v>20.654</v>
      </c>
      <c r="BR18" s="66">
        <v>142.60599999999999</v>
      </c>
      <c r="BS18" s="66">
        <v>50.475999999999999</v>
      </c>
      <c r="BT18" s="66">
        <v>74.582999999999998</v>
      </c>
      <c r="BU18" s="66">
        <v>93.128</v>
      </c>
      <c r="BV18" s="55"/>
      <c r="BW18" s="110">
        <v>0</v>
      </c>
      <c r="BX18" s="110">
        <v>0</v>
      </c>
      <c r="BY18" s="110">
        <v>0</v>
      </c>
      <c r="BZ18" s="110">
        <v>5.4909999999999997</v>
      </c>
      <c r="CA18" s="110">
        <v>6.5529999999999999</v>
      </c>
      <c r="CB18" s="110">
        <v>9.6199999999999992</v>
      </c>
      <c r="CC18" s="110">
        <v>10.467000000000001</v>
      </c>
      <c r="CD18" s="110">
        <v>13.362</v>
      </c>
      <c r="CE18" s="110">
        <v>23.555</v>
      </c>
      <c r="CF18" s="110">
        <v>10.199999999999999</v>
      </c>
      <c r="CG18" s="110">
        <f t="shared" si="9"/>
        <v>16.899999999999999</v>
      </c>
      <c r="CH18" s="110">
        <f t="shared" si="10"/>
        <v>24.248999999999999</v>
      </c>
      <c r="CI18" s="110">
        <f t="shared" si="4"/>
        <v>43.776000000000003</v>
      </c>
      <c r="CJ18" s="110">
        <f t="shared" si="5"/>
        <v>43.411000000000001</v>
      </c>
      <c r="CK18" s="110">
        <f t="shared" si="6"/>
        <v>12.420999999999999</v>
      </c>
      <c r="CL18" s="110">
        <f t="shared" si="11"/>
        <v>13.613</v>
      </c>
      <c r="CM18" s="110">
        <f t="shared" si="8"/>
        <v>18.347999999999999</v>
      </c>
      <c r="CN18" s="110">
        <f t="shared" si="7"/>
        <v>50.475999999999999</v>
      </c>
      <c r="CO18" s="206"/>
      <c r="CP18" s="6"/>
      <c r="CT18" s="48"/>
    </row>
    <row r="19" spans="1:98" x14ac:dyDescent="0.35">
      <c r="A19" s="91"/>
      <c r="B19" s="40" t="str">
        <f>IF(Control!$D$5=1,"Advance IOE Payment","Adiantamento de JCP")</f>
        <v>Adiantamento de JCP</v>
      </c>
      <c r="C19" s="110">
        <v>0</v>
      </c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0</v>
      </c>
      <c r="M19" s="110">
        <v>0</v>
      </c>
      <c r="N19" s="110">
        <v>0</v>
      </c>
      <c r="O19" s="110">
        <v>0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0</v>
      </c>
      <c r="AA19" s="110">
        <v>0</v>
      </c>
      <c r="AB19" s="110">
        <v>0</v>
      </c>
      <c r="AC19" s="110">
        <v>0</v>
      </c>
      <c r="AD19" s="110">
        <v>0</v>
      </c>
      <c r="AE19" s="110">
        <v>0</v>
      </c>
      <c r="AF19" s="110">
        <v>0</v>
      </c>
      <c r="AG19" s="110">
        <v>0</v>
      </c>
      <c r="AH19" s="110">
        <v>0</v>
      </c>
      <c r="AI19" s="110">
        <v>0</v>
      </c>
      <c r="AJ19" s="110">
        <v>0</v>
      </c>
      <c r="AK19" s="110">
        <v>0</v>
      </c>
      <c r="AL19" s="110">
        <v>0</v>
      </c>
      <c r="AM19" s="110">
        <v>0</v>
      </c>
      <c r="AN19" s="110">
        <v>0</v>
      </c>
      <c r="AO19" s="110">
        <v>0</v>
      </c>
      <c r="AP19" s="110">
        <v>0</v>
      </c>
      <c r="AQ19" s="110">
        <v>0</v>
      </c>
      <c r="AR19" s="110">
        <v>0</v>
      </c>
      <c r="AS19" s="110">
        <v>0</v>
      </c>
      <c r="AT19" s="110">
        <v>0</v>
      </c>
      <c r="AU19" s="110">
        <v>0</v>
      </c>
      <c r="AV19" s="110">
        <v>0</v>
      </c>
      <c r="AW19" s="110">
        <v>15</v>
      </c>
      <c r="AX19" s="110">
        <v>5.7279999999999998</v>
      </c>
      <c r="AY19" s="110">
        <v>6.8559999999999999</v>
      </c>
      <c r="AZ19" s="110">
        <v>11.972</v>
      </c>
      <c r="BA19" s="110">
        <v>0</v>
      </c>
      <c r="BB19" s="110">
        <v>0</v>
      </c>
      <c r="BC19" s="110">
        <v>0</v>
      </c>
      <c r="BD19" s="110">
        <v>0</v>
      </c>
      <c r="BE19" s="110">
        <v>0</v>
      </c>
      <c r="BF19" s="110">
        <v>0</v>
      </c>
      <c r="BG19" s="110">
        <v>0</v>
      </c>
      <c r="BH19" s="110">
        <v>0</v>
      </c>
      <c r="BI19" s="110">
        <v>0</v>
      </c>
      <c r="BJ19" s="110">
        <v>0</v>
      </c>
      <c r="BK19" s="110">
        <v>0</v>
      </c>
      <c r="BL19" s="58">
        <v>0</v>
      </c>
      <c r="BM19" s="58">
        <v>0</v>
      </c>
      <c r="BN19" s="58">
        <v>0</v>
      </c>
      <c r="BO19" s="58">
        <v>0</v>
      </c>
      <c r="BP19" s="58">
        <v>0</v>
      </c>
      <c r="BQ19" s="66">
        <v>0</v>
      </c>
      <c r="BR19" s="66">
        <v>0</v>
      </c>
      <c r="BS19" s="66">
        <v>0</v>
      </c>
      <c r="BT19" s="66">
        <v>0</v>
      </c>
      <c r="BU19" s="66">
        <v>0</v>
      </c>
      <c r="BV19" s="55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>
        <f t="shared" si="9"/>
        <v>0</v>
      </c>
      <c r="CH19" s="110">
        <f t="shared" si="10"/>
        <v>0</v>
      </c>
      <c r="CI19" s="110">
        <f t="shared" si="4"/>
        <v>6.8559999999999999</v>
      </c>
      <c r="CJ19" s="110">
        <f t="shared" si="5"/>
        <v>0</v>
      </c>
      <c r="CK19" s="110">
        <f t="shared" si="6"/>
        <v>0</v>
      </c>
      <c r="CL19" s="110">
        <f t="shared" si="11"/>
        <v>0</v>
      </c>
      <c r="CM19" s="110">
        <f t="shared" si="8"/>
        <v>0</v>
      </c>
      <c r="CN19" s="110">
        <f t="shared" si="7"/>
        <v>0</v>
      </c>
      <c r="CO19" s="206"/>
      <c r="CP19" s="6"/>
      <c r="CT19" s="48"/>
    </row>
    <row r="20" spans="1:98" x14ac:dyDescent="0.35">
      <c r="A20" s="91"/>
      <c r="B20" s="40" t="str">
        <f>IF(Control!$D$5=1,"Expenses in advance","Despesas Antecipadas")</f>
        <v>Despesas Antecipadas</v>
      </c>
      <c r="C20" s="110">
        <v>1.2929999999999999</v>
      </c>
      <c r="D20" s="110">
        <v>0.95099999999999996</v>
      </c>
      <c r="E20" s="58" t="s">
        <v>2</v>
      </c>
      <c r="F20" s="58" t="s">
        <v>2</v>
      </c>
      <c r="G20" s="110">
        <v>1.6519999999999999</v>
      </c>
      <c r="H20" s="110">
        <v>1.6</v>
      </c>
      <c r="I20" s="110">
        <v>1.7969999999999999</v>
      </c>
      <c r="J20" s="110">
        <v>0.39400000000000002</v>
      </c>
      <c r="K20" s="110">
        <v>2.1629999999999998</v>
      </c>
      <c r="L20" s="110">
        <v>1.6180000000000001</v>
      </c>
      <c r="M20" s="110">
        <v>1.4410000000000001</v>
      </c>
      <c r="N20" s="110">
        <v>0.69</v>
      </c>
      <c r="O20" s="110">
        <v>2.6070000000000002</v>
      </c>
      <c r="P20" s="110">
        <v>1.82</v>
      </c>
      <c r="Q20" s="110">
        <v>1.5640000000000001</v>
      </c>
      <c r="R20" s="110">
        <v>0.68600000000000005</v>
      </c>
      <c r="S20" s="110">
        <v>3.3570000000000002</v>
      </c>
      <c r="T20" s="110">
        <v>3.0750000000000002</v>
      </c>
      <c r="U20" s="110">
        <v>2.8029999999999999</v>
      </c>
      <c r="V20" s="110">
        <v>1.0680000000000001</v>
      </c>
      <c r="W20" s="110">
        <v>4.2560000000000002</v>
      </c>
      <c r="X20" s="110">
        <v>2.7389999999999999</v>
      </c>
      <c r="Y20" s="110">
        <v>2.4420000000000002</v>
      </c>
      <c r="Z20" s="110">
        <v>0.96899999999999997</v>
      </c>
      <c r="AA20" s="110">
        <v>5.4329999999999998</v>
      </c>
      <c r="AB20" s="110">
        <v>3.2040000000000002</v>
      </c>
      <c r="AC20" s="110">
        <v>3.113</v>
      </c>
      <c r="AD20" s="110">
        <v>1.7490000000000001</v>
      </c>
      <c r="AE20" s="110">
        <v>9.2880000000000003</v>
      </c>
      <c r="AF20" s="110">
        <v>6.9390000000000001</v>
      </c>
      <c r="AG20" s="110">
        <v>7.891</v>
      </c>
      <c r="AH20" s="110">
        <v>5.673</v>
      </c>
      <c r="AI20" s="110">
        <v>9.1519999999999992</v>
      </c>
      <c r="AJ20" s="110">
        <v>7.1260000000000003</v>
      </c>
      <c r="AK20" s="110">
        <v>7.3949999999999996</v>
      </c>
      <c r="AL20" s="110">
        <v>4.0069999999999997</v>
      </c>
      <c r="AM20" s="110">
        <v>11.299999999999999</v>
      </c>
      <c r="AN20" s="110">
        <v>10.178000000000001</v>
      </c>
      <c r="AO20" s="110">
        <v>10.179</v>
      </c>
      <c r="AP20" s="110">
        <v>4.8689999999999998</v>
      </c>
      <c r="AQ20" s="110">
        <v>12</v>
      </c>
      <c r="AR20" s="110">
        <v>55.7</v>
      </c>
      <c r="AS20" s="110">
        <v>9.4</v>
      </c>
      <c r="AT20" s="110">
        <v>9.4</v>
      </c>
      <c r="AU20" s="110">
        <v>18.521000000000001</v>
      </c>
      <c r="AV20" s="110">
        <v>11.9</v>
      </c>
      <c r="AW20" s="110">
        <v>10.207000000000001</v>
      </c>
      <c r="AX20" s="110">
        <v>8.1890000000000001</v>
      </c>
      <c r="AY20" s="110">
        <v>15.298</v>
      </c>
      <c r="AZ20" s="110">
        <v>14.538</v>
      </c>
      <c r="BA20" s="110">
        <v>8.9109999999999996</v>
      </c>
      <c r="BB20" s="110">
        <v>5.7309999999999999</v>
      </c>
      <c r="BC20" s="110">
        <v>16.716000000000001</v>
      </c>
      <c r="BD20" s="110">
        <v>17.789000000000001</v>
      </c>
      <c r="BE20" s="110">
        <v>13.146000000000001</v>
      </c>
      <c r="BF20" s="110">
        <v>12.265000000000001</v>
      </c>
      <c r="BG20" s="110">
        <v>12.7</v>
      </c>
      <c r="BH20" s="110">
        <v>13.67</v>
      </c>
      <c r="BI20" s="110">
        <v>12.725</v>
      </c>
      <c r="BJ20" s="110">
        <v>12.654999999999999</v>
      </c>
      <c r="BK20" s="110">
        <v>10.83</v>
      </c>
      <c r="BL20" s="58">
        <v>12.939246307333002</v>
      </c>
      <c r="BM20" s="58">
        <v>12.4</v>
      </c>
      <c r="BN20" s="58">
        <v>10.615</v>
      </c>
      <c r="BO20" s="58">
        <v>0</v>
      </c>
      <c r="BP20" s="58"/>
      <c r="BQ20" s="66">
        <v>0</v>
      </c>
      <c r="BR20" s="66">
        <v>0</v>
      </c>
      <c r="BS20" s="66">
        <v>0</v>
      </c>
      <c r="BT20" s="66">
        <v>0</v>
      </c>
      <c r="BU20" s="66">
        <v>0</v>
      </c>
      <c r="BV20" s="55"/>
      <c r="BW20" s="110">
        <v>1.2929999999999999</v>
      </c>
      <c r="BX20" s="110">
        <v>1.6519999999999999</v>
      </c>
      <c r="BY20" s="110">
        <v>2.1629999999999998</v>
      </c>
      <c r="BZ20" s="110">
        <v>2.6070000000000002</v>
      </c>
      <c r="CA20" s="110">
        <v>3.3570000000000002</v>
      </c>
      <c r="CB20" s="110">
        <v>4.2560000000000002</v>
      </c>
      <c r="CC20" s="110">
        <v>5.4329999999999998</v>
      </c>
      <c r="CD20" s="110">
        <v>9.2880000000000003</v>
      </c>
      <c r="CE20" s="110">
        <v>9.1519999999999992</v>
      </c>
      <c r="CF20" s="110">
        <v>11.299999999999999</v>
      </c>
      <c r="CG20" s="110">
        <f t="shared" si="9"/>
        <v>12</v>
      </c>
      <c r="CH20" s="110">
        <f t="shared" si="10"/>
        <v>18.521000000000001</v>
      </c>
      <c r="CI20" s="110">
        <f t="shared" si="4"/>
        <v>15.298</v>
      </c>
      <c r="CJ20" s="110">
        <f t="shared" si="5"/>
        <v>16.716000000000001</v>
      </c>
      <c r="CK20" s="110">
        <f t="shared" si="6"/>
        <v>12.7</v>
      </c>
      <c r="CL20" s="110">
        <f t="shared" si="11"/>
        <v>10.83</v>
      </c>
      <c r="CM20" s="110">
        <f t="shared" si="8"/>
        <v>0</v>
      </c>
      <c r="CN20" s="110">
        <f t="shared" si="7"/>
        <v>0</v>
      </c>
      <c r="CO20" s="206"/>
      <c r="CP20" s="6"/>
      <c r="CT20" s="48"/>
    </row>
    <row r="21" spans="1:98" x14ac:dyDescent="0.35">
      <c r="A21" s="18"/>
      <c r="B21" s="40" t="str">
        <f>IF(Control!$D$5=1,"Other Current Assets","Outros Ativos Circulantes")</f>
        <v>Outros Ativos Circulantes</v>
      </c>
      <c r="C21" s="110">
        <f>10.087+5.444</f>
        <v>15.530999999999999</v>
      </c>
      <c r="D21" s="110">
        <f>10.761+3.795</f>
        <v>14.555999999999999</v>
      </c>
      <c r="E21" s="58" t="s">
        <v>2</v>
      </c>
      <c r="F21" s="58" t="s">
        <v>2</v>
      </c>
      <c r="G21" s="110">
        <f>17.814+2.85</f>
        <v>20.664000000000001</v>
      </c>
      <c r="H21" s="111">
        <f>13.974+3.293</f>
        <v>17.266999999999999</v>
      </c>
      <c r="I21" s="110">
        <v>2.9820000000000002</v>
      </c>
      <c r="J21" s="110">
        <f>10.306+3.18</f>
        <v>13.485999999999999</v>
      </c>
      <c r="K21" s="110">
        <f>14.369+2.705</f>
        <v>17.073999999999998</v>
      </c>
      <c r="L21" s="110">
        <v>19.323</v>
      </c>
      <c r="M21" s="110">
        <v>17.251999999999999</v>
      </c>
      <c r="N21" s="110">
        <v>22.658999999999999</v>
      </c>
      <c r="O21" s="110">
        <v>22.433</v>
      </c>
      <c r="P21" s="110">
        <v>25.318000000000001</v>
      </c>
      <c r="Q21" s="110">
        <v>33.052</v>
      </c>
      <c r="R21" s="110">
        <v>31.067</v>
      </c>
      <c r="S21" s="110">
        <v>30.780999999999999</v>
      </c>
      <c r="T21" s="110">
        <v>30.908000000000001</v>
      </c>
      <c r="U21" s="110">
        <v>26.85</v>
      </c>
      <c r="V21" s="110">
        <v>26.134</v>
      </c>
      <c r="W21" s="110">
        <v>22.321999999999999</v>
      </c>
      <c r="X21" s="110">
        <v>30.152999999999999</v>
      </c>
      <c r="Y21" s="110">
        <v>32.808</v>
      </c>
      <c r="Z21" s="110">
        <v>27.39</v>
      </c>
      <c r="AA21" s="110">
        <v>30.050999999999998</v>
      </c>
      <c r="AB21" s="110">
        <v>33.603000000000002</v>
      </c>
      <c r="AC21" s="110">
        <v>38.039000000000001</v>
      </c>
      <c r="AD21" s="110">
        <v>40.159999999999997</v>
      </c>
      <c r="AE21" s="110">
        <v>33.15</v>
      </c>
      <c r="AF21" s="110">
        <v>47.722000000000001</v>
      </c>
      <c r="AG21" s="110">
        <v>41.313000000000002</v>
      </c>
      <c r="AH21" s="110">
        <v>55.857999999999997</v>
      </c>
      <c r="AI21" s="110">
        <v>75.671000000000006</v>
      </c>
      <c r="AJ21" s="110">
        <v>66.935000000000002</v>
      </c>
      <c r="AK21" s="110">
        <v>27.486999999999998</v>
      </c>
      <c r="AL21" s="110">
        <v>50.6</v>
      </c>
      <c r="AM21" s="110">
        <v>41.1</v>
      </c>
      <c r="AN21" s="110">
        <v>56.563000000000002</v>
      </c>
      <c r="AO21" s="110">
        <v>49.819000000000003</v>
      </c>
      <c r="AP21" s="110">
        <v>47.222999999999999</v>
      </c>
      <c r="AQ21" s="110">
        <v>47.5</v>
      </c>
      <c r="AR21" s="110">
        <v>11.5</v>
      </c>
      <c r="AS21" s="110">
        <v>55.3</v>
      </c>
      <c r="AT21" s="110">
        <v>39.9</v>
      </c>
      <c r="AU21" s="110">
        <v>81.176999999999992</v>
      </c>
      <c r="AV21" s="110">
        <v>107.64100000000001</v>
      </c>
      <c r="AW21" s="110">
        <v>74.03</v>
      </c>
      <c r="AX21" s="110">
        <v>69.5</v>
      </c>
      <c r="AY21" s="110">
        <v>59.006999999999998</v>
      </c>
      <c r="AZ21" s="110">
        <v>63.605999999999995</v>
      </c>
      <c r="BA21" s="110">
        <v>62.084999999999994</v>
      </c>
      <c r="BB21" s="110">
        <v>74.74199999999999</v>
      </c>
      <c r="BC21" s="110">
        <f>38.3+37.1</f>
        <v>75.400000000000006</v>
      </c>
      <c r="BD21" s="110">
        <v>77.287000000000006</v>
      </c>
      <c r="BE21" s="110">
        <v>92.402000000000001</v>
      </c>
      <c r="BF21" s="110">
        <v>92.567999999999998</v>
      </c>
      <c r="BG21" s="110">
        <f>46.6+48.2</f>
        <v>94.800000000000011</v>
      </c>
      <c r="BH21" s="110">
        <f>43+46.6</f>
        <v>89.6</v>
      </c>
      <c r="BI21" s="110">
        <v>84.448999999999998</v>
      </c>
      <c r="BJ21" s="110">
        <f>53.897+46.6</f>
        <v>100.497</v>
      </c>
      <c r="BK21" s="110">
        <v>53.093000000000004</v>
      </c>
      <c r="BL21" s="58">
        <v>67.968999999999994</v>
      </c>
      <c r="BM21" s="58">
        <v>53.3</v>
      </c>
      <c r="BN21" s="58">
        <v>55.798999999999999</v>
      </c>
      <c r="BO21" s="58">
        <v>49.218000000000004</v>
      </c>
      <c r="BP21" s="58">
        <v>72.983999999999995</v>
      </c>
      <c r="BQ21" s="66">
        <v>78.796000000000006</v>
      </c>
      <c r="BR21" s="66">
        <v>81.361000000000004</v>
      </c>
      <c r="BS21" s="66">
        <v>51.654000000000003</v>
      </c>
      <c r="BT21" s="66">
        <v>67.055999999999997</v>
      </c>
      <c r="BU21" s="110">
        <v>82.096000000000004</v>
      </c>
      <c r="BV21" s="55"/>
      <c r="BW21" s="110">
        <f>10.087+5.444</f>
        <v>15.530999999999999</v>
      </c>
      <c r="BX21" s="110">
        <f>17.814+2.85</f>
        <v>20.664000000000001</v>
      </c>
      <c r="BY21" s="110">
        <f>14.369+2.705</f>
        <v>17.073999999999998</v>
      </c>
      <c r="BZ21" s="110">
        <v>22.433</v>
      </c>
      <c r="CA21" s="110">
        <v>30.780999999999999</v>
      </c>
      <c r="CB21" s="110">
        <v>22.321999999999999</v>
      </c>
      <c r="CC21" s="110">
        <v>30.050999999999998</v>
      </c>
      <c r="CD21" s="110">
        <v>33.15</v>
      </c>
      <c r="CE21" s="110">
        <v>75.671000000000006</v>
      </c>
      <c r="CF21" s="110">
        <v>41.1</v>
      </c>
      <c r="CG21" s="110">
        <f t="shared" si="9"/>
        <v>47.5</v>
      </c>
      <c r="CH21" s="110">
        <f t="shared" si="10"/>
        <v>81.176999999999992</v>
      </c>
      <c r="CI21" s="110">
        <f t="shared" si="4"/>
        <v>59.006999999999998</v>
      </c>
      <c r="CJ21" s="110">
        <f t="shared" si="5"/>
        <v>75.400000000000006</v>
      </c>
      <c r="CK21" s="110">
        <f t="shared" si="6"/>
        <v>94.800000000000011</v>
      </c>
      <c r="CL21" s="110">
        <f t="shared" si="11"/>
        <v>53.093000000000004</v>
      </c>
      <c r="CM21" s="110">
        <f t="shared" si="8"/>
        <v>49.218000000000004</v>
      </c>
      <c r="CN21" s="110">
        <f t="shared" si="7"/>
        <v>51.654000000000003</v>
      </c>
      <c r="CO21" s="206"/>
      <c r="CP21" s="6"/>
      <c r="CT21" s="48"/>
    </row>
    <row r="22" spans="1:98" x14ac:dyDescent="0.35">
      <c r="A22" s="6"/>
      <c r="B22" s="10"/>
      <c r="C22" s="110"/>
      <c r="D22" s="110"/>
      <c r="E22" s="58"/>
      <c r="F22" s="58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53"/>
      <c r="BV22" s="55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>
        <f t="shared" si="8"/>
        <v>0</v>
      </c>
      <c r="CN22" s="110">
        <f t="shared" si="7"/>
        <v>0</v>
      </c>
      <c r="CO22" s="206"/>
      <c r="CP22" s="6"/>
    </row>
    <row r="23" spans="1:98" s="6" customFormat="1" x14ac:dyDescent="0.35">
      <c r="A23" s="91"/>
      <c r="B23" s="32" t="str">
        <f>IF(Control!$D$5=1,"Total non Current Assets","Ativo Não Circulante")</f>
        <v>Ativo Não Circulante</v>
      </c>
      <c r="C23" s="106">
        <f>+C25+C39</f>
        <v>146.74199999999999</v>
      </c>
      <c r="D23" s="106">
        <f>+D25+D39</f>
        <v>145.29599999999999</v>
      </c>
      <c r="E23" s="109" t="s">
        <v>2</v>
      </c>
      <c r="F23" s="109" t="s">
        <v>2</v>
      </c>
      <c r="G23" s="106">
        <f t="shared" ref="G23:AZ23" si="12">+G25+G39</f>
        <v>211.14100000000002</v>
      </c>
      <c r="H23" s="106">
        <f t="shared" si="12"/>
        <v>195.57599999999999</v>
      </c>
      <c r="I23" s="106">
        <f t="shared" si="12"/>
        <v>198.67199999999997</v>
      </c>
      <c r="J23" s="106">
        <f t="shared" si="12"/>
        <v>205.27199999999999</v>
      </c>
      <c r="K23" s="106">
        <f t="shared" si="12"/>
        <v>267.70999999999998</v>
      </c>
      <c r="L23" s="106">
        <f t="shared" si="12"/>
        <v>285.06299999999999</v>
      </c>
      <c r="M23" s="106">
        <f t="shared" si="12"/>
        <v>296.78300000000002</v>
      </c>
      <c r="N23" s="106">
        <f t="shared" si="12"/>
        <v>310.59000000000003</v>
      </c>
      <c r="O23" s="106">
        <f t="shared" si="12"/>
        <v>462.54899999999998</v>
      </c>
      <c r="P23" s="106">
        <f t="shared" si="12"/>
        <v>642.46800000000007</v>
      </c>
      <c r="Q23" s="106">
        <f t="shared" si="12"/>
        <v>642.93000000000006</v>
      </c>
      <c r="R23" s="106">
        <f t="shared" si="12"/>
        <v>820.005</v>
      </c>
      <c r="S23" s="106">
        <f t="shared" si="12"/>
        <v>831.26099999999997</v>
      </c>
      <c r="T23" s="106">
        <f t="shared" si="12"/>
        <v>886.21599999999989</v>
      </c>
      <c r="U23" s="106">
        <f t="shared" si="12"/>
        <v>898.86599999999999</v>
      </c>
      <c r="V23" s="106">
        <f t="shared" si="12"/>
        <v>1303.3049999999998</v>
      </c>
      <c r="W23" s="106">
        <f t="shared" si="12"/>
        <v>1320.0320000000002</v>
      </c>
      <c r="X23" s="106">
        <f t="shared" si="12"/>
        <v>1327.8330000000001</v>
      </c>
      <c r="Y23" s="106">
        <f t="shared" si="12"/>
        <v>1356.2260000000001</v>
      </c>
      <c r="Z23" s="106">
        <f t="shared" si="12"/>
        <v>1366.2149999999999</v>
      </c>
      <c r="AA23" s="106">
        <f t="shared" si="12"/>
        <v>1393.6690000000001</v>
      </c>
      <c r="AB23" s="106">
        <f t="shared" si="12"/>
        <v>1388.2619999999999</v>
      </c>
      <c r="AC23" s="106">
        <f t="shared" si="12"/>
        <v>1367.271</v>
      </c>
      <c r="AD23" s="106">
        <f t="shared" si="12"/>
        <v>1449.2630000000001</v>
      </c>
      <c r="AE23" s="106">
        <f t="shared" si="12"/>
        <v>1488.0559999999998</v>
      </c>
      <c r="AF23" s="106">
        <f t="shared" si="12"/>
        <v>1516.981</v>
      </c>
      <c r="AG23" s="106">
        <f t="shared" si="12"/>
        <v>1572.749</v>
      </c>
      <c r="AH23" s="106">
        <f t="shared" si="12"/>
        <v>1552.7929999999999</v>
      </c>
      <c r="AI23" s="106">
        <f t="shared" si="12"/>
        <v>1551</v>
      </c>
      <c r="AJ23" s="106">
        <f t="shared" si="12"/>
        <v>1498.415</v>
      </c>
      <c r="AK23" s="106">
        <f t="shared" si="12"/>
        <v>1460.1200000000001</v>
      </c>
      <c r="AL23" s="106">
        <f t="shared" si="12"/>
        <v>1469.0360000000001</v>
      </c>
      <c r="AM23" s="106">
        <f t="shared" si="12"/>
        <v>1450.8</v>
      </c>
      <c r="AN23" s="106">
        <f t="shared" si="12"/>
        <v>1455.633</v>
      </c>
      <c r="AO23" s="106">
        <f t="shared" si="12"/>
        <v>1451.7339999999999</v>
      </c>
      <c r="AP23" s="106">
        <f t="shared" si="12"/>
        <v>1463.2030000000002</v>
      </c>
      <c r="AQ23" s="106">
        <f t="shared" si="12"/>
        <v>1490</v>
      </c>
      <c r="AR23" s="106">
        <f t="shared" si="12"/>
        <v>1558.7</v>
      </c>
      <c r="AS23" s="106">
        <f t="shared" si="12"/>
        <v>1597.3</v>
      </c>
      <c r="AT23" s="106">
        <f t="shared" si="12"/>
        <v>1547.8</v>
      </c>
      <c r="AU23" s="106">
        <f t="shared" si="12"/>
        <v>1953.143</v>
      </c>
      <c r="AV23" s="106">
        <f t="shared" si="12"/>
        <v>2047.1019999999999</v>
      </c>
      <c r="AW23" s="106">
        <f t="shared" si="12"/>
        <v>2078.6280000000002</v>
      </c>
      <c r="AX23" s="106">
        <f t="shared" si="12"/>
        <v>2080.7539999999999</v>
      </c>
      <c r="AY23" s="106">
        <f t="shared" si="12"/>
        <v>2109.2080000000001</v>
      </c>
      <c r="AZ23" s="106">
        <f t="shared" si="12"/>
        <v>2201.94</v>
      </c>
      <c r="BA23" s="106">
        <f t="shared" ref="BA23:BF23" si="13">+BA25+BA39</f>
        <v>2199.3100000000004</v>
      </c>
      <c r="BB23" s="106">
        <f t="shared" si="13"/>
        <v>2294.502</v>
      </c>
      <c r="BC23" s="106">
        <f t="shared" si="13"/>
        <v>2362.797</v>
      </c>
      <c r="BD23" s="106">
        <f t="shared" si="13"/>
        <v>2339.4130000000005</v>
      </c>
      <c r="BE23" s="106">
        <f t="shared" si="13"/>
        <v>2299.4319999999998</v>
      </c>
      <c r="BF23" s="106">
        <f t="shared" si="13"/>
        <v>2971.6329999999998</v>
      </c>
      <c r="BG23" s="106">
        <f>+BG25+BG39</f>
        <v>3101.8599999999997</v>
      </c>
      <c r="BH23" s="106">
        <f>+BH25+BH39</f>
        <v>3171.9260000000004</v>
      </c>
      <c r="BI23" s="106">
        <f>+BI25+BI39</f>
        <v>3292.9625386800003</v>
      </c>
      <c r="BJ23" s="106">
        <f>+BJ25+BJ39</f>
        <v>3721.223</v>
      </c>
      <c r="BK23" s="106">
        <f>+BK25+BK39</f>
        <v>4126.8040000000001</v>
      </c>
      <c r="BL23" s="106">
        <f t="shared" ref="BL23:BU23" si="14">+BL25+BL39</f>
        <v>4090.1039999999998</v>
      </c>
      <c r="BM23" s="106">
        <f t="shared" si="14"/>
        <v>4140.2999999999993</v>
      </c>
      <c r="BN23" s="106">
        <f t="shared" si="14"/>
        <v>4175.1000000000004</v>
      </c>
      <c r="BO23" s="106">
        <f t="shared" si="14"/>
        <v>4270.6440000000002</v>
      </c>
      <c r="BP23" s="106">
        <f t="shared" si="14"/>
        <v>4351.1100000000006</v>
      </c>
      <c r="BQ23" s="106">
        <f t="shared" si="14"/>
        <v>4437.5410000000002</v>
      </c>
      <c r="BR23" s="106">
        <f t="shared" si="14"/>
        <v>4779.8959999999997</v>
      </c>
      <c r="BS23" s="106">
        <f t="shared" si="14"/>
        <v>4896.2049999999999</v>
      </c>
      <c r="BT23" s="106">
        <f t="shared" si="14"/>
        <v>4954.5829999999996</v>
      </c>
      <c r="BU23" s="106">
        <f t="shared" si="14"/>
        <v>4975.683</v>
      </c>
      <c r="BV23" s="55"/>
      <c r="BW23" s="106">
        <f t="shared" ref="BW23:CH23" si="15">+BW25+BW39</f>
        <v>146.74199999999999</v>
      </c>
      <c r="BX23" s="106">
        <f t="shared" si="15"/>
        <v>211.14100000000002</v>
      </c>
      <c r="BY23" s="106">
        <f t="shared" si="15"/>
        <v>267.70999999999998</v>
      </c>
      <c r="BZ23" s="106">
        <f t="shared" si="15"/>
        <v>462.54899999999998</v>
      </c>
      <c r="CA23" s="106">
        <f t="shared" si="15"/>
        <v>831.26099999999997</v>
      </c>
      <c r="CB23" s="106">
        <f t="shared" si="15"/>
        <v>1320.0320000000002</v>
      </c>
      <c r="CC23" s="106">
        <f t="shared" si="15"/>
        <v>1393.6690000000001</v>
      </c>
      <c r="CD23" s="106">
        <f t="shared" si="15"/>
        <v>1488.0559999999998</v>
      </c>
      <c r="CE23" s="106">
        <f t="shared" si="15"/>
        <v>1551</v>
      </c>
      <c r="CF23" s="106">
        <f t="shared" si="15"/>
        <v>1450.8</v>
      </c>
      <c r="CG23" s="106">
        <f t="shared" si="15"/>
        <v>1490</v>
      </c>
      <c r="CH23" s="106">
        <f t="shared" si="15"/>
        <v>1953.143</v>
      </c>
      <c r="CI23" s="106">
        <f>AY23</f>
        <v>2109.2080000000001</v>
      </c>
      <c r="CJ23" s="106">
        <f>BC23</f>
        <v>2362.797</v>
      </c>
      <c r="CK23" s="106">
        <f>BG23</f>
        <v>3101.8599999999997</v>
      </c>
      <c r="CL23" s="106">
        <f t="shared" si="11"/>
        <v>4126.8040000000001</v>
      </c>
      <c r="CM23" s="106">
        <f t="shared" si="8"/>
        <v>4270.6440000000002</v>
      </c>
      <c r="CN23" s="106">
        <f t="shared" si="7"/>
        <v>4896.2049999999999</v>
      </c>
      <c r="CO23" s="206"/>
    </row>
    <row r="24" spans="1:98" x14ac:dyDescent="0.35">
      <c r="A24" s="18"/>
      <c r="B24" s="10"/>
      <c r="C24" s="110"/>
      <c r="D24" s="110"/>
      <c r="E24" s="58"/>
      <c r="F24" s="58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55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206"/>
      <c r="CP24" s="6"/>
    </row>
    <row r="25" spans="1:98" s="6" customFormat="1" x14ac:dyDescent="0.35">
      <c r="B25" s="41" t="str">
        <f>IF(Control!$D$5=1,"Total Long-Term Assets","Ativo Realizável a Longo Prazo")</f>
        <v>Ativo Realizável a Longo Prazo</v>
      </c>
      <c r="C25" s="106">
        <f>SUM(C26:C37)</f>
        <v>15.632000000000001</v>
      </c>
      <c r="D25" s="106">
        <f>SUM(D26:D37)</f>
        <v>17.384000000000004</v>
      </c>
      <c r="E25" s="109" t="s">
        <v>2</v>
      </c>
      <c r="F25" s="109" t="s">
        <v>2</v>
      </c>
      <c r="G25" s="106">
        <f>SUM(G26:G37)</f>
        <v>9.298</v>
      </c>
      <c r="H25" s="106">
        <f>SUM(H26:H37)</f>
        <v>8.8940000000000001</v>
      </c>
      <c r="I25" s="106">
        <f>SUM(I26:I37)</f>
        <v>9.7899999999999991</v>
      </c>
      <c r="J25" s="106">
        <f>SUM(J26:J37)</f>
        <v>11.850999999999999</v>
      </c>
      <c r="K25" s="106">
        <f>SUM(K26:K37)</f>
        <v>18.71</v>
      </c>
      <c r="L25" s="106">
        <f t="shared" ref="L25:AZ25" si="16">SUM(L26:L37)</f>
        <v>23.044</v>
      </c>
      <c r="M25" s="106">
        <f t="shared" si="16"/>
        <v>22.869</v>
      </c>
      <c r="N25" s="106">
        <f t="shared" si="16"/>
        <v>21.139000000000003</v>
      </c>
      <c r="O25" s="106">
        <f t="shared" si="16"/>
        <v>31.633000000000003</v>
      </c>
      <c r="P25" s="106">
        <f t="shared" si="16"/>
        <v>48.091999999999999</v>
      </c>
      <c r="Q25" s="106">
        <f t="shared" si="16"/>
        <v>50.411999999999999</v>
      </c>
      <c r="R25" s="106">
        <f t="shared" si="16"/>
        <v>65.974000000000004</v>
      </c>
      <c r="S25" s="106">
        <f t="shared" si="16"/>
        <v>66.307000000000002</v>
      </c>
      <c r="T25" s="106">
        <f t="shared" si="16"/>
        <v>85.403999999999996</v>
      </c>
      <c r="U25" s="106">
        <f t="shared" si="16"/>
        <v>80.096000000000004</v>
      </c>
      <c r="V25" s="106">
        <f t="shared" si="16"/>
        <v>65.385999999999996</v>
      </c>
      <c r="W25" s="106">
        <f t="shared" si="16"/>
        <v>106.688</v>
      </c>
      <c r="X25" s="106">
        <f t="shared" si="16"/>
        <v>47.852999999999994</v>
      </c>
      <c r="Y25" s="106">
        <f t="shared" si="16"/>
        <v>37.091000000000001</v>
      </c>
      <c r="Z25" s="106">
        <f t="shared" si="16"/>
        <v>37.157000000000004</v>
      </c>
      <c r="AA25" s="106">
        <f t="shared" si="16"/>
        <v>34.314</v>
      </c>
      <c r="AB25" s="106">
        <f t="shared" si="16"/>
        <v>36.483999999999995</v>
      </c>
      <c r="AC25" s="106">
        <f t="shared" si="16"/>
        <v>57.683</v>
      </c>
      <c r="AD25" s="106">
        <f t="shared" si="16"/>
        <v>51.622</v>
      </c>
      <c r="AE25" s="106">
        <f t="shared" si="16"/>
        <v>46.820999999999998</v>
      </c>
      <c r="AF25" s="106">
        <f t="shared" si="16"/>
        <v>48.759</v>
      </c>
      <c r="AG25" s="106">
        <f t="shared" si="16"/>
        <v>51.206000000000003</v>
      </c>
      <c r="AH25" s="106">
        <f t="shared" si="16"/>
        <v>33.206000000000003</v>
      </c>
      <c r="AI25" s="106">
        <f t="shared" si="16"/>
        <v>38.693999999999996</v>
      </c>
      <c r="AJ25" s="106">
        <f t="shared" si="16"/>
        <v>36.469000000000001</v>
      </c>
      <c r="AK25" s="106">
        <f t="shared" si="16"/>
        <v>72.234999999999999</v>
      </c>
      <c r="AL25" s="106">
        <f t="shared" si="16"/>
        <v>67.242999999999995</v>
      </c>
      <c r="AM25" s="106">
        <f t="shared" si="16"/>
        <v>63</v>
      </c>
      <c r="AN25" s="106">
        <f t="shared" si="16"/>
        <v>59.255999999999993</v>
      </c>
      <c r="AO25" s="106">
        <f t="shared" si="16"/>
        <v>62.037999999999997</v>
      </c>
      <c r="AP25" s="106">
        <f t="shared" si="16"/>
        <v>65.39</v>
      </c>
      <c r="AQ25" s="106">
        <f t="shared" si="16"/>
        <v>74</v>
      </c>
      <c r="AR25" s="106">
        <f t="shared" si="16"/>
        <v>74.8</v>
      </c>
      <c r="AS25" s="106">
        <f t="shared" si="16"/>
        <v>53.2</v>
      </c>
      <c r="AT25" s="106">
        <f t="shared" si="16"/>
        <v>56.3</v>
      </c>
      <c r="AU25" s="106">
        <f t="shared" si="16"/>
        <v>296.12900000000002</v>
      </c>
      <c r="AV25" s="106">
        <f t="shared" si="16"/>
        <v>390.30200000000002</v>
      </c>
      <c r="AW25" s="106">
        <f t="shared" si="16"/>
        <v>292.67500000000001</v>
      </c>
      <c r="AX25" s="106">
        <f t="shared" si="16"/>
        <v>294.46899999999999</v>
      </c>
      <c r="AY25" s="106">
        <f t="shared" si="16"/>
        <v>308.63999999999993</v>
      </c>
      <c r="AZ25" s="106">
        <f t="shared" si="16"/>
        <v>297.52399999999994</v>
      </c>
      <c r="BA25" s="106">
        <f t="shared" ref="BA25:BF25" si="17">SUM(BA26:BA37)</f>
        <v>290.43100000000004</v>
      </c>
      <c r="BB25" s="106">
        <f t="shared" si="17"/>
        <v>271.10200000000003</v>
      </c>
      <c r="BC25" s="106">
        <f t="shared" si="17"/>
        <v>268.56</v>
      </c>
      <c r="BD25" s="106">
        <f t="shared" si="17"/>
        <v>295.34800000000001</v>
      </c>
      <c r="BE25" s="106">
        <f t="shared" si="17"/>
        <v>290.036</v>
      </c>
      <c r="BF25" s="106">
        <f t="shared" si="17"/>
        <v>311.52699999999999</v>
      </c>
      <c r="BG25" s="106">
        <f>SUM(BG26:BG37)</f>
        <v>325.70399999999995</v>
      </c>
      <c r="BH25" s="106">
        <f>SUM(BH26:BH37)</f>
        <v>335.44300000000004</v>
      </c>
      <c r="BI25" s="106">
        <f>SUM(BI26:BI37)</f>
        <v>337.57253868000009</v>
      </c>
      <c r="BJ25" s="106">
        <f>SUM(BJ26:BJ37)</f>
        <v>367.77299999999997</v>
      </c>
      <c r="BK25" s="106">
        <f>SUM(BK26:BK37)</f>
        <v>673.80799999999988</v>
      </c>
      <c r="BL25" s="106">
        <f t="shared" ref="BL25:BU25" si="18">SUM(BL26:BL37)</f>
        <v>572.32399999999996</v>
      </c>
      <c r="BM25" s="106">
        <f t="shared" si="18"/>
        <v>604.90000000000009</v>
      </c>
      <c r="BN25" s="106">
        <f t="shared" si="18"/>
        <v>645.06799999999998</v>
      </c>
      <c r="BO25" s="106">
        <f t="shared" si="18"/>
        <v>655.26699999999994</v>
      </c>
      <c r="BP25" s="106">
        <f t="shared" si="18"/>
        <v>667.01199999999994</v>
      </c>
      <c r="BQ25" s="106">
        <f t="shared" si="18"/>
        <v>625.30799999999988</v>
      </c>
      <c r="BR25" s="106">
        <f t="shared" si="18"/>
        <v>660.10599999999999</v>
      </c>
      <c r="BS25" s="106">
        <f t="shared" si="18"/>
        <v>853.37400000000002</v>
      </c>
      <c r="BT25" s="106">
        <f t="shared" si="18"/>
        <v>895.19399999999996</v>
      </c>
      <c r="BU25" s="106">
        <f t="shared" si="18"/>
        <v>922.73099999999999</v>
      </c>
      <c r="BV25" s="55"/>
      <c r="BW25" s="106">
        <f>SUM(BW26:BW37)</f>
        <v>15.632000000000001</v>
      </c>
      <c r="BX25" s="106">
        <f>SUM(BX26:BX37)</f>
        <v>9.298</v>
      </c>
      <c r="BY25" s="106">
        <f>SUM(BY26:BY37)</f>
        <v>18.71</v>
      </c>
      <c r="BZ25" s="106">
        <f t="shared" ref="BZ25:CH25" si="19">SUM(BZ26:BZ37)</f>
        <v>31.633000000000003</v>
      </c>
      <c r="CA25" s="106">
        <f t="shared" si="19"/>
        <v>66.307000000000002</v>
      </c>
      <c r="CB25" s="106">
        <f t="shared" si="19"/>
        <v>106.688</v>
      </c>
      <c r="CC25" s="106">
        <f t="shared" si="19"/>
        <v>34.314</v>
      </c>
      <c r="CD25" s="106">
        <f t="shared" si="19"/>
        <v>46.820999999999998</v>
      </c>
      <c r="CE25" s="106">
        <f t="shared" si="19"/>
        <v>38.693999999999996</v>
      </c>
      <c r="CF25" s="106">
        <f t="shared" si="19"/>
        <v>63</v>
      </c>
      <c r="CG25" s="106">
        <f t="shared" si="19"/>
        <v>74</v>
      </c>
      <c r="CH25" s="106">
        <f t="shared" si="19"/>
        <v>296.12900000000002</v>
      </c>
      <c r="CI25" s="106">
        <f t="shared" ref="CI25:CI37" si="20">AY25</f>
        <v>308.63999999999993</v>
      </c>
      <c r="CJ25" s="106">
        <f t="shared" ref="CJ25:CJ37" si="21">BC25</f>
        <v>268.56</v>
      </c>
      <c r="CK25" s="106">
        <f t="shared" ref="CK25:CK37" si="22">BG25</f>
        <v>325.70399999999995</v>
      </c>
      <c r="CL25" s="106">
        <f t="shared" si="11"/>
        <v>673.80799999999988</v>
      </c>
      <c r="CM25" s="106">
        <f t="shared" si="8"/>
        <v>655.26699999999994</v>
      </c>
      <c r="CN25" s="106">
        <f t="shared" ref="CN25:CN46" si="23">BS25</f>
        <v>853.37400000000002</v>
      </c>
      <c r="CO25" s="206"/>
    </row>
    <row r="26" spans="1:98" x14ac:dyDescent="0.35">
      <c r="A26" s="18"/>
      <c r="B26" s="40" t="str">
        <f>IF(Control!$D$5=1,"Long-Term Investments","Aplicações Financeiras")</f>
        <v>Aplicações Financeiras</v>
      </c>
      <c r="C26" s="110">
        <v>8.8149999999999995</v>
      </c>
      <c r="D26" s="110">
        <v>0</v>
      </c>
      <c r="E26" s="58" t="s">
        <v>2</v>
      </c>
      <c r="F26" s="58" t="s">
        <v>2</v>
      </c>
      <c r="G26" s="110">
        <v>0</v>
      </c>
      <c r="H26" s="110">
        <v>0</v>
      </c>
      <c r="I26" s="110">
        <v>0</v>
      </c>
      <c r="J26" s="110">
        <v>0</v>
      </c>
      <c r="K26" s="110">
        <v>0</v>
      </c>
      <c r="L26" s="110">
        <v>0</v>
      </c>
      <c r="M26" s="110">
        <v>0</v>
      </c>
      <c r="N26" s="110">
        <v>11.404999999999999</v>
      </c>
      <c r="O26" s="110">
        <v>0</v>
      </c>
      <c r="P26" s="110">
        <v>0</v>
      </c>
      <c r="Q26" s="110">
        <v>0</v>
      </c>
      <c r="R26" s="110">
        <v>20.312999999999999</v>
      </c>
      <c r="S26" s="110">
        <v>20.940999999999999</v>
      </c>
      <c r="T26" s="110">
        <v>21.468</v>
      </c>
      <c r="U26" s="110">
        <v>21.969000000000001</v>
      </c>
      <c r="V26" s="110">
        <v>22.395</v>
      </c>
      <c r="W26" s="110">
        <v>67.808000000000007</v>
      </c>
      <c r="X26" s="110">
        <v>23.259</v>
      </c>
      <c r="Y26" s="110">
        <v>23.785</v>
      </c>
      <c r="Z26" s="110">
        <v>19.577999999999999</v>
      </c>
      <c r="AA26" s="110">
        <v>20.113</v>
      </c>
      <c r="AB26" s="110">
        <v>20.651</v>
      </c>
      <c r="AC26" s="110">
        <v>21.245999999999999</v>
      </c>
      <c r="AD26" s="110">
        <v>16.442</v>
      </c>
      <c r="AE26" s="110">
        <v>16.936</v>
      </c>
      <c r="AF26" s="110">
        <v>17.48</v>
      </c>
      <c r="AG26" s="110">
        <v>18.123999999999999</v>
      </c>
      <c r="AH26" s="110">
        <v>6.4000000000000001E-2</v>
      </c>
      <c r="AI26" s="110">
        <v>7.3999999999999996E-2</v>
      </c>
      <c r="AJ26" s="110">
        <v>0</v>
      </c>
      <c r="AK26" s="110">
        <v>32.523000000000003</v>
      </c>
      <c r="AL26" s="110">
        <v>31.62</v>
      </c>
      <c r="AM26" s="110">
        <v>32.6</v>
      </c>
      <c r="AN26" s="110">
        <v>33.502000000000002</v>
      </c>
      <c r="AO26" s="110">
        <v>34.311999999999998</v>
      </c>
      <c r="AP26" s="110">
        <v>34.515000000000001</v>
      </c>
      <c r="AQ26" s="110">
        <v>31.9</v>
      </c>
      <c r="AR26" s="110">
        <v>32.6</v>
      </c>
      <c r="AS26" s="110">
        <v>0.2</v>
      </c>
      <c r="AT26" s="110">
        <v>0.2</v>
      </c>
      <c r="AU26" s="110">
        <v>0.217</v>
      </c>
      <c r="AV26" s="110">
        <v>0</v>
      </c>
      <c r="AW26" s="110">
        <v>0</v>
      </c>
      <c r="AX26" s="110">
        <v>0</v>
      </c>
      <c r="AY26" s="110">
        <v>0</v>
      </c>
      <c r="AZ26" s="110">
        <v>0</v>
      </c>
      <c r="BA26" s="110">
        <v>0</v>
      </c>
      <c r="BB26" s="110">
        <v>0</v>
      </c>
      <c r="BC26" s="110">
        <v>0</v>
      </c>
      <c r="BD26" s="110">
        <v>0</v>
      </c>
      <c r="BE26" s="110">
        <v>0</v>
      </c>
      <c r="BF26" s="110">
        <v>0</v>
      </c>
      <c r="BG26" s="110">
        <v>0</v>
      </c>
      <c r="BH26" s="110">
        <v>0</v>
      </c>
      <c r="BI26" s="110">
        <v>0</v>
      </c>
      <c r="BJ26" s="110">
        <v>37</v>
      </c>
      <c r="BK26" s="110">
        <v>13.7</v>
      </c>
      <c r="BL26" s="58">
        <v>14.2</v>
      </c>
      <c r="BM26" s="58">
        <v>16.100000000000001</v>
      </c>
      <c r="BN26" s="58">
        <v>15.275</v>
      </c>
      <c r="BO26" s="58">
        <v>14.941000000000001</v>
      </c>
      <c r="BP26" s="58">
        <v>14.044</v>
      </c>
      <c r="BQ26" s="58">
        <v>14.39</v>
      </c>
      <c r="BR26" s="58">
        <v>14.753</v>
      </c>
      <c r="BS26" s="58">
        <v>15.032</v>
      </c>
      <c r="BT26" s="58">
        <v>1.224</v>
      </c>
      <c r="BU26" s="58">
        <v>3.3860000000000001</v>
      </c>
      <c r="BV26" s="55"/>
      <c r="BW26" s="110">
        <v>8.8149999999999995</v>
      </c>
      <c r="BX26" s="110">
        <v>0</v>
      </c>
      <c r="BY26" s="110">
        <v>0</v>
      </c>
      <c r="BZ26" s="110">
        <v>0</v>
      </c>
      <c r="CA26" s="110">
        <v>20.940999999999999</v>
      </c>
      <c r="CB26" s="110">
        <v>67.808000000000007</v>
      </c>
      <c r="CC26" s="110">
        <v>20.113</v>
      </c>
      <c r="CD26" s="110">
        <v>16.936</v>
      </c>
      <c r="CE26" s="110">
        <v>7.3999999999999996E-2</v>
      </c>
      <c r="CF26" s="110">
        <v>32.6</v>
      </c>
      <c r="CG26" s="110">
        <f t="shared" ref="CG26:CG37" si="24">AQ26</f>
        <v>31.9</v>
      </c>
      <c r="CH26" s="110">
        <f t="shared" ref="CH26:CH37" si="25">AU26</f>
        <v>0.217</v>
      </c>
      <c r="CI26" s="110">
        <f t="shared" si="20"/>
        <v>0</v>
      </c>
      <c r="CJ26" s="110">
        <f t="shared" si="21"/>
        <v>0</v>
      </c>
      <c r="CK26" s="110">
        <f t="shared" si="22"/>
        <v>0</v>
      </c>
      <c r="CL26" s="58">
        <v>13.7</v>
      </c>
      <c r="CM26" s="58">
        <f t="shared" si="8"/>
        <v>14.941000000000001</v>
      </c>
      <c r="CN26" s="58">
        <f t="shared" si="23"/>
        <v>15.032</v>
      </c>
      <c r="CO26" s="206"/>
      <c r="CP26" s="6"/>
      <c r="CT26" s="48"/>
    </row>
    <row r="27" spans="1:98" x14ac:dyDescent="0.35">
      <c r="A27" s="18"/>
      <c r="B27" s="40" t="str">
        <f>IF(Control!$D$5=1,"Recoverable Taxes","Tributos a Compensar")</f>
        <v>Tributos a Compensar</v>
      </c>
      <c r="C27" s="110">
        <v>0</v>
      </c>
      <c r="D27" s="110">
        <v>8.7070000000000007</v>
      </c>
      <c r="E27" s="58" t="s">
        <v>2</v>
      </c>
      <c r="F27" s="58" t="s">
        <v>2</v>
      </c>
      <c r="G27" s="110">
        <v>3.2480000000000002</v>
      </c>
      <c r="H27" s="110">
        <v>3.4009999999999998</v>
      </c>
      <c r="I27" s="110">
        <v>3.5510000000000002</v>
      </c>
      <c r="J27" s="110">
        <v>3.4409999999999998</v>
      </c>
      <c r="K27" s="110">
        <v>10.664</v>
      </c>
      <c r="L27" s="110">
        <v>11.154999999999999</v>
      </c>
      <c r="M27" s="110">
        <v>11.397</v>
      </c>
      <c r="N27" s="110">
        <v>0</v>
      </c>
      <c r="O27" s="110">
        <v>11.298</v>
      </c>
      <c r="P27" s="110">
        <v>11.224</v>
      </c>
      <c r="Q27" s="110">
        <v>11.326000000000001</v>
      </c>
      <c r="R27" s="110">
        <v>11.388</v>
      </c>
      <c r="S27" s="110">
        <v>16.103999999999999</v>
      </c>
      <c r="T27" s="111">
        <v>18.13</v>
      </c>
      <c r="U27" s="110">
        <v>10.061</v>
      </c>
      <c r="V27" s="110">
        <v>11.351000000000001</v>
      </c>
      <c r="W27" s="110">
        <v>11.492000000000001</v>
      </c>
      <c r="X27" s="110">
        <v>11.61</v>
      </c>
      <c r="Y27" s="110">
        <v>4.3760000000000003</v>
      </c>
      <c r="Z27" s="110">
        <v>11.853</v>
      </c>
      <c r="AA27" s="110">
        <v>4.0510000000000002</v>
      </c>
      <c r="AB27" s="110">
        <v>5.7060000000000004</v>
      </c>
      <c r="AC27" s="110">
        <v>4.5860000000000003</v>
      </c>
      <c r="AD27" s="110">
        <v>2.048</v>
      </c>
      <c r="AE27" s="110">
        <v>2.798</v>
      </c>
      <c r="AF27" s="110">
        <v>2.149</v>
      </c>
      <c r="AG27" s="110">
        <v>2.9510000000000001</v>
      </c>
      <c r="AH27" s="110">
        <v>2.7829999999999999</v>
      </c>
      <c r="AI27" s="110">
        <v>3.5179999999999998</v>
      </c>
      <c r="AJ27" s="110">
        <v>2.6</v>
      </c>
      <c r="AK27" s="110">
        <v>2.4249999999999998</v>
      </c>
      <c r="AL27" s="110">
        <v>1.923</v>
      </c>
      <c r="AM27" s="110">
        <v>1.9</v>
      </c>
      <c r="AN27" s="110">
        <v>1.724</v>
      </c>
      <c r="AO27" s="110">
        <v>1.6539999999999999</v>
      </c>
      <c r="AP27" s="110">
        <v>1.403</v>
      </c>
      <c r="AQ27" s="110">
        <v>1.4</v>
      </c>
      <c r="AR27" s="110">
        <v>1.8</v>
      </c>
      <c r="AS27" s="110">
        <v>9.1</v>
      </c>
      <c r="AT27" s="110">
        <v>11</v>
      </c>
      <c r="AU27" s="110">
        <v>245.62100000000001</v>
      </c>
      <c r="AV27" s="110">
        <v>250</v>
      </c>
      <c r="AW27" s="110">
        <v>245.03899999999999</v>
      </c>
      <c r="AX27" s="110">
        <v>242.601</v>
      </c>
      <c r="AY27" s="110">
        <v>241.553</v>
      </c>
      <c r="AZ27" s="110">
        <v>225.73</v>
      </c>
      <c r="BA27" s="110">
        <v>226.61500000000001</v>
      </c>
      <c r="BB27" s="110">
        <v>215.90700000000001</v>
      </c>
      <c r="BC27" s="110">
        <v>205.167</v>
      </c>
      <c r="BD27" s="110">
        <v>197.23400000000001</v>
      </c>
      <c r="BE27" s="110">
        <v>196.71899999999999</v>
      </c>
      <c r="BF27" s="110">
        <v>206.43899999999999</v>
      </c>
      <c r="BG27" s="110">
        <v>189.761</v>
      </c>
      <c r="BH27" s="110">
        <v>186.00800000000001</v>
      </c>
      <c r="BI27" s="110">
        <v>188.71753868000008</v>
      </c>
      <c r="BJ27" s="110">
        <v>166.21</v>
      </c>
      <c r="BK27" s="110">
        <v>184.34899999999999</v>
      </c>
      <c r="BL27" s="58">
        <v>123.494</v>
      </c>
      <c r="BM27" s="58">
        <v>124.1</v>
      </c>
      <c r="BN27" s="58">
        <v>125.54</v>
      </c>
      <c r="BO27" s="58">
        <v>104.206</v>
      </c>
      <c r="BP27" s="58">
        <v>108.41</v>
      </c>
      <c r="BQ27" s="58">
        <v>79.84</v>
      </c>
      <c r="BR27" s="58">
        <v>82.02</v>
      </c>
      <c r="BS27" s="58">
        <v>105.401</v>
      </c>
      <c r="BT27" s="58">
        <v>106.952</v>
      </c>
      <c r="BU27" s="58">
        <v>108.608</v>
      </c>
      <c r="BV27" s="55"/>
      <c r="BW27" s="110">
        <v>0</v>
      </c>
      <c r="BX27" s="110">
        <v>3.2480000000000002</v>
      </c>
      <c r="BY27" s="110">
        <v>10.664</v>
      </c>
      <c r="BZ27" s="110">
        <v>11.298</v>
      </c>
      <c r="CA27" s="110">
        <v>16.103999999999999</v>
      </c>
      <c r="CB27" s="110">
        <v>11.492000000000001</v>
      </c>
      <c r="CC27" s="110">
        <v>4.0510000000000002</v>
      </c>
      <c r="CD27" s="110">
        <v>2.798</v>
      </c>
      <c r="CE27" s="110">
        <v>3.5179999999999998</v>
      </c>
      <c r="CF27" s="110">
        <v>1.9</v>
      </c>
      <c r="CG27" s="110">
        <f t="shared" si="24"/>
        <v>1.4</v>
      </c>
      <c r="CH27" s="110">
        <f t="shared" si="25"/>
        <v>245.62100000000001</v>
      </c>
      <c r="CI27" s="110">
        <f t="shared" si="20"/>
        <v>241.553</v>
      </c>
      <c r="CJ27" s="110">
        <f t="shared" si="21"/>
        <v>205.167</v>
      </c>
      <c r="CK27" s="110">
        <f t="shared" si="22"/>
        <v>189.761</v>
      </c>
      <c r="CL27" s="58">
        <v>184.34899999999999</v>
      </c>
      <c r="CM27" s="58">
        <f t="shared" si="8"/>
        <v>104.206</v>
      </c>
      <c r="CN27" s="58">
        <f t="shared" si="23"/>
        <v>105.401</v>
      </c>
      <c r="CO27" s="206"/>
      <c r="CP27" s="6"/>
      <c r="CT27" s="48"/>
    </row>
    <row r="28" spans="1:98" x14ac:dyDescent="0.35">
      <c r="A28" s="18"/>
      <c r="B28" s="40" t="str">
        <f>IF(Control!$D$5=1,"Inventory","Estoques")</f>
        <v>Estoques</v>
      </c>
      <c r="C28" s="58">
        <v>0</v>
      </c>
      <c r="D28" s="58">
        <v>0</v>
      </c>
      <c r="E28" s="58" t="s">
        <v>2</v>
      </c>
      <c r="F28" s="58" t="s">
        <v>2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0</v>
      </c>
      <c r="T28" s="58">
        <v>0</v>
      </c>
      <c r="U28" s="58">
        <v>0</v>
      </c>
      <c r="V28" s="58">
        <v>0</v>
      </c>
      <c r="W28" s="58">
        <v>0</v>
      </c>
      <c r="X28" s="58">
        <v>0</v>
      </c>
      <c r="Y28" s="58">
        <v>0</v>
      </c>
      <c r="Z28" s="58">
        <v>0</v>
      </c>
      <c r="AA28" s="58">
        <v>0</v>
      </c>
      <c r="AB28" s="58">
        <v>0</v>
      </c>
      <c r="AC28" s="58">
        <v>0</v>
      </c>
      <c r="AD28" s="58">
        <v>0</v>
      </c>
      <c r="AE28" s="58">
        <v>0</v>
      </c>
      <c r="AF28" s="58">
        <v>0</v>
      </c>
      <c r="AG28" s="58">
        <v>0</v>
      </c>
      <c r="AH28" s="58">
        <v>0</v>
      </c>
      <c r="AI28" s="58">
        <v>16.991</v>
      </c>
      <c r="AJ28" s="58">
        <v>7.8029999999999999</v>
      </c>
      <c r="AK28" s="58">
        <v>5.181</v>
      </c>
      <c r="AL28" s="58">
        <v>8.9130000000000003</v>
      </c>
      <c r="AM28" s="58">
        <v>9.8000000000000007</v>
      </c>
      <c r="AN28" s="58">
        <v>8.1419999999999995</v>
      </c>
      <c r="AO28" s="58">
        <v>12.426</v>
      </c>
      <c r="AP28" s="58">
        <v>15.343999999999999</v>
      </c>
      <c r="AQ28" s="58">
        <v>19.3</v>
      </c>
      <c r="AR28" s="58">
        <v>14.1</v>
      </c>
      <c r="AS28" s="58">
        <v>18</v>
      </c>
      <c r="AT28" s="58">
        <v>22.6</v>
      </c>
      <c r="AU28" s="58">
        <f>24.261-AU29</f>
        <v>4.8819999999999979</v>
      </c>
      <c r="AV28" s="58">
        <v>4.9569999999999999</v>
      </c>
      <c r="AW28" s="58">
        <f>23.539-AW29</f>
        <v>6.2700000000000031</v>
      </c>
      <c r="AX28" s="58">
        <f>29.985-AX29</f>
        <v>6.4209999999999994</v>
      </c>
      <c r="AY28" s="58">
        <v>27.635999999999996</v>
      </c>
      <c r="AZ28" s="58">
        <v>8.0889999999999986</v>
      </c>
      <c r="BA28" s="58">
        <v>9.1989999999999981</v>
      </c>
      <c r="BB28" s="58">
        <v>7.9830000000000041</v>
      </c>
      <c r="BC28" s="58">
        <v>8.0619999999999976</v>
      </c>
      <c r="BD28" s="58">
        <v>8.7029999999999994</v>
      </c>
      <c r="BE28" s="58">
        <v>8.0489999999999995</v>
      </c>
      <c r="BF28" s="58">
        <v>7.546999999999997</v>
      </c>
      <c r="BG28" s="58">
        <v>8.6370000000000005</v>
      </c>
      <c r="BH28" s="58">
        <v>7.5100000000000051</v>
      </c>
      <c r="BI28" s="58">
        <v>9.7789999999999999</v>
      </c>
      <c r="BJ28" s="58">
        <v>10.241999999999997</v>
      </c>
      <c r="BK28" s="58">
        <v>10.091999999999995</v>
      </c>
      <c r="BL28" s="58">
        <v>9.3409999999999993</v>
      </c>
      <c r="BM28" s="58">
        <v>25.9</v>
      </c>
      <c r="BN28" s="58">
        <v>24.927999999999997</v>
      </c>
      <c r="BO28" s="58">
        <v>33.906000000000006</v>
      </c>
      <c r="BP28" s="58">
        <v>36.734000000000002</v>
      </c>
      <c r="BQ28" s="58">
        <v>21.264000000000003</v>
      </c>
      <c r="BR28" s="58">
        <v>10.943999999999996</v>
      </c>
      <c r="BS28" s="58">
        <v>10.087000000000003</v>
      </c>
      <c r="BT28" s="58">
        <v>14.397</v>
      </c>
      <c r="BU28" s="58">
        <v>9.5180000000000007</v>
      </c>
      <c r="BV28" s="55"/>
      <c r="BW28" s="58">
        <v>0</v>
      </c>
      <c r="BX28" s="58">
        <v>0</v>
      </c>
      <c r="BY28" s="58">
        <v>0</v>
      </c>
      <c r="BZ28" s="58">
        <v>0</v>
      </c>
      <c r="CA28" s="58">
        <v>0</v>
      </c>
      <c r="CB28" s="58">
        <v>0</v>
      </c>
      <c r="CC28" s="58">
        <v>0</v>
      </c>
      <c r="CD28" s="58">
        <v>0</v>
      </c>
      <c r="CE28" s="58">
        <v>16.991</v>
      </c>
      <c r="CF28" s="58">
        <v>9.8000000000000007</v>
      </c>
      <c r="CG28" s="58">
        <f t="shared" si="24"/>
        <v>19.3</v>
      </c>
      <c r="CH28" s="58">
        <f t="shared" si="25"/>
        <v>4.8819999999999979</v>
      </c>
      <c r="CI28" s="58">
        <f t="shared" si="20"/>
        <v>27.635999999999996</v>
      </c>
      <c r="CJ28" s="58">
        <f t="shared" si="21"/>
        <v>8.0619999999999976</v>
      </c>
      <c r="CK28" s="58">
        <f t="shared" si="22"/>
        <v>8.6370000000000005</v>
      </c>
      <c r="CL28" s="58">
        <v>10.091999999999995</v>
      </c>
      <c r="CM28" s="58">
        <f t="shared" si="8"/>
        <v>33.906000000000006</v>
      </c>
      <c r="CN28" s="58">
        <f t="shared" si="23"/>
        <v>10.087000000000003</v>
      </c>
      <c r="CO28" s="206"/>
      <c r="CP28" s="6"/>
      <c r="CT28" s="48"/>
    </row>
    <row r="29" spans="1:98" x14ac:dyDescent="0.35">
      <c r="A29" s="18"/>
      <c r="B29" s="40" t="str">
        <f>IF(Control!$D$5=1,"Payments in Advance","Adiantamentos a Produtores")</f>
        <v>Adiantamentos a Produtores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2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>
        <v>19.379000000000001</v>
      </c>
      <c r="AV29" s="58">
        <v>15.728999999999999</v>
      </c>
      <c r="AW29" s="58">
        <v>17.268999999999998</v>
      </c>
      <c r="AX29" s="58">
        <v>23.564</v>
      </c>
      <c r="AY29" s="58">
        <v>27.161000000000001</v>
      </c>
      <c r="AZ29" s="58">
        <v>27.161000000000001</v>
      </c>
      <c r="BA29" s="58">
        <v>44.128999999999998</v>
      </c>
      <c r="BB29" s="58">
        <v>36.786999999999999</v>
      </c>
      <c r="BC29" s="58">
        <v>45.045999999999999</v>
      </c>
      <c r="BD29" s="58">
        <v>37.273000000000003</v>
      </c>
      <c r="BE29" s="58">
        <v>33.270000000000003</v>
      </c>
      <c r="BF29" s="58">
        <v>40.292000000000002</v>
      </c>
      <c r="BG29" s="58">
        <v>35.816000000000003</v>
      </c>
      <c r="BH29" s="58">
        <v>38.704999999999998</v>
      </c>
      <c r="BI29" s="58">
        <v>27.73</v>
      </c>
      <c r="BJ29" s="58">
        <v>26.963000000000001</v>
      </c>
      <c r="BK29" s="58">
        <v>30.327000000000002</v>
      </c>
      <c r="BL29" s="110">
        <v>23.613</v>
      </c>
      <c r="BM29" s="110">
        <v>15.1</v>
      </c>
      <c r="BN29" s="58">
        <v>15.231999999999999</v>
      </c>
      <c r="BO29" s="58">
        <v>20.312000000000001</v>
      </c>
      <c r="BP29" s="58">
        <v>16.841999999999999</v>
      </c>
      <c r="BQ29" s="58">
        <v>36.826000000000001</v>
      </c>
      <c r="BR29" s="58">
        <v>63.484000000000002</v>
      </c>
      <c r="BS29" s="58">
        <v>55.414000000000001</v>
      </c>
      <c r="BT29" s="58">
        <v>55.569000000000003</v>
      </c>
      <c r="BU29" s="58">
        <v>53.289000000000001</v>
      </c>
      <c r="BV29" s="55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>
        <f t="shared" si="24"/>
        <v>0</v>
      </c>
      <c r="CH29" s="58">
        <f t="shared" si="25"/>
        <v>19.379000000000001</v>
      </c>
      <c r="CI29" s="58">
        <f t="shared" si="20"/>
        <v>27.161000000000001</v>
      </c>
      <c r="CJ29" s="58">
        <f t="shared" si="21"/>
        <v>45.045999999999999</v>
      </c>
      <c r="CK29" s="58">
        <f t="shared" si="22"/>
        <v>35.816000000000003</v>
      </c>
      <c r="CL29" s="58">
        <v>30.327000000000002</v>
      </c>
      <c r="CM29" s="58">
        <f t="shared" si="8"/>
        <v>20.312000000000001</v>
      </c>
      <c r="CN29" s="58">
        <f t="shared" si="23"/>
        <v>55.414000000000001</v>
      </c>
      <c r="CO29" s="206"/>
      <c r="CP29" s="6"/>
      <c r="CT29" s="48"/>
    </row>
    <row r="30" spans="1:98" x14ac:dyDescent="0.35">
      <c r="A30" s="6"/>
      <c r="B30" s="40" t="str">
        <f>IF(Control!$D$5=1,"Payments in Advance","Adiantamentos a Fornecedores")</f>
        <v>Adiantamentos a Fornecedores</v>
      </c>
      <c r="C30" s="58">
        <v>2.319</v>
      </c>
      <c r="D30" s="58">
        <v>2.2450000000000001</v>
      </c>
      <c r="E30" s="58" t="s">
        <v>2</v>
      </c>
      <c r="F30" s="58" t="s">
        <v>2</v>
      </c>
      <c r="G30" s="58">
        <v>0</v>
      </c>
      <c r="H30" s="58">
        <v>0</v>
      </c>
      <c r="I30" s="58">
        <v>0</v>
      </c>
      <c r="J30" s="58">
        <v>0</v>
      </c>
      <c r="K30" s="58">
        <v>3.3570000000000002</v>
      </c>
      <c r="L30" s="58">
        <v>2.3260000000000001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0</v>
      </c>
      <c r="S30" s="58">
        <v>0</v>
      </c>
      <c r="T30" s="58">
        <v>0</v>
      </c>
      <c r="U30" s="58">
        <v>0</v>
      </c>
      <c r="V30" s="58">
        <v>0</v>
      </c>
      <c r="W30" s="58">
        <v>0</v>
      </c>
      <c r="X30" s="58">
        <v>0</v>
      </c>
      <c r="Y30" s="58">
        <v>0</v>
      </c>
      <c r="Z30" s="58">
        <v>0</v>
      </c>
      <c r="AA30" s="58">
        <v>0</v>
      </c>
      <c r="AB30" s="58">
        <v>0</v>
      </c>
      <c r="AC30" s="58">
        <v>0</v>
      </c>
      <c r="AD30" s="58">
        <v>0</v>
      </c>
      <c r="AE30" s="58">
        <v>0</v>
      </c>
      <c r="AF30" s="58"/>
      <c r="AG30" s="58">
        <v>0</v>
      </c>
      <c r="AH30" s="58">
        <v>0</v>
      </c>
      <c r="AI30" s="58">
        <v>0</v>
      </c>
      <c r="AJ30" s="58">
        <v>0</v>
      </c>
      <c r="AK30" s="58">
        <v>0</v>
      </c>
      <c r="AL30" s="58">
        <v>0</v>
      </c>
      <c r="AM30" s="58">
        <v>0</v>
      </c>
      <c r="AN30" s="58">
        <v>0</v>
      </c>
      <c r="AO30" s="58">
        <v>0</v>
      </c>
      <c r="AP30" s="58">
        <v>0</v>
      </c>
      <c r="AQ30" s="58">
        <v>0</v>
      </c>
      <c r="AR30" s="58">
        <v>0</v>
      </c>
      <c r="AS30" s="58">
        <v>0.6</v>
      </c>
      <c r="AT30" s="58">
        <v>0.2</v>
      </c>
      <c r="AU30" s="58">
        <v>0.2</v>
      </c>
      <c r="AV30" s="58">
        <v>0.216</v>
      </c>
      <c r="AW30" s="58">
        <v>0.44700000000000001</v>
      </c>
      <c r="AX30" s="58">
        <v>1.077</v>
      </c>
      <c r="AY30" s="58">
        <v>1.8759999999999999</v>
      </c>
      <c r="AZ30" s="58">
        <v>27.59</v>
      </c>
      <c r="BA30" s="58">
        <v>2.2050000000000001</v>
      </c>
      <c r="BB30" s="58">
        <v>2.0219999999999985</v>
      </c>
      <c r="BC30" s="58">
        <v>1.889</v>
      </c>
      <c r="BD30" s="58">
        <v>0.66100000000000003</v>
      </c>
      <c r="BE30" s="58">
        <v>0.33500000000000002</v>
      </c>
      <c r="BF30" s="58">
        <v>0</v>
      </c>
      <c r="BG30" s="58">
        <v>0</v>
      </c>
      <c r="BH30" s="58">
        <v>0</v>
      </c>
      <c r="BI30" s="58">
        <v>0</v>
      </c>
      <c r="BJ30" s="58">
        <v>0</v>
      </c>
      <c r="BK30" s="58">
        <v>0</v>
      </c>
      <c r="BL30" s="110">
        <v>0</v>
      </c>
      <c r="BM30" s="110">
        <v>0</v>
      </c>
      <c r="BN30" s="58">
        <v>0</v>
      </c>
      <c r="BO30" s="58">
        <v>0</v>
      </c>
      <c r="BP30" s="58">
        <v>0</v>
      </c>
      <c r="BQ30" s="58">
        <v>0</v>
      </c>
      <c r="BR30" s="58">
        <v>0</v>
      </c>
      <c r="BS30" s="58">
        <v>0</v>
      </c>
      <c r="BT30" s="58">
        <v>0</v>
      </c>
      <c r="BU30" s="58">
        <v>0</v>
      </c>
      <c r="BV30" s="55"/>
      <c r="BW30" s="58">
        <v>2.319</v>
      </c>
      <c r="BX30" s="58">
        <v>0</v>
      </c>
      <c r="BY30" s="58">
        <v>3.3570000000000002</v>
      </c>
      <c r="BZ30" s="58">
        <v>0</v>
      </c>
      <c r="CA30" s="58">
        <v>0</v>
      </c>
      <c r="CB30" s="58">
        <v>0</v>
      </c>
      <c r="CC30" s="58">
        <v>0</v>
      </c>
      <c r="CD30" s="58">
        <v>0</v>
      </c>
      <c r="CE30" s="58">
        <v>0</v>
      </c>
      <c r="CF30" s="58">
        <v>0</v>
      </c>
      <c r="CG30" s="58">
        <f t="shared" si="24"/>
        <v>0</v>
      </c>
      <c r="CH30" s="58">
        <f t="shared" si="25"/>
        <v>0.2</v>
      </c>
      <c r="CI30" s="58">
        <f t="shared" si="20"/>
        <v>1.8759999999999999</v>
      </c>
      <c r="CJ30" s="58">
        <f t="shared" si="21"/>
        <v>1.889</v>
      </c>
      <c r="CK30" s="58">
        <f t="shared" si="22"/>
        <v>0</v>
      </c>
      <c r="CL30" s="58">
        <v>0</v>
      </c>
      <c r="CM30" s="58">
        <f t="shared" si="8"/>
        <v>0</v>
      </c>
      <c r="CN30" s="58">
        <f t="shared" si="23"/>
        <v>0</v>
      </c>
      <c r="CO30" s="206"/>
      <c r="CP30" s="6"/>
      <c r="CT30" s="48"/>
    </row>
    <row r="31" spans="1:98" x14ac:dyDescent="0.35">
      <c r="A31" s="18"/>
      <c r="B31" s="40" t="str">
        <f>IF(Control!$D$5=1,"Accounts Receivable","Contas a Receber")</f>
        <v>Contas a Receber</v>
      </c>
      <c r="C31" s="110">
        <v>0</v>
      </c>
      <c r="D31" s="110">
        <v>0</v>
      </c>
      <c r="E31" s="58" t="s">
        <v>2</v>
      </c>
      <c r="F31" s="58" t="s">
        <v>2</v>
      </c>
      <c r="G31" s="110">
        <v>1.07</v>
      </c>
      <c r="H31" s="110">
        <v>0.88800000000000001</v>
      </c>
      <c r="I31" s="110">
        <v>0.47899999999999998</v>
      </c>
      <c r="J31" s="110">
        <v>0.35799999999999998</v>
      </c>
      <c r="K31" s="110">
        <v>0.32400000000000001</v>
      </c>
      <c r="L31" s="110">
        <v>1.08</v>
      </c>
      <c r="M31" s="110">
        <v>1.0269999999999999</v>
      </c>
      <c r="N31" s="110">
        <v>0</v>
      </c>
      <c r="O31" s="110">
        <v>0</v>
      </c>
      <c r="P31" s="110">
        <v>0</v>
      </c>
      <c r="Q31" s="110">
        <v>0</v>
      </c>
      <c r="R31" s="110">
        <v>14.916</v>
      </c>
      <c r="S31" s="110">
        <v>0</v>
      </c>
      <c r="T31" s="110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0">
        <v>4.024</v>
      </c>
      <c r="AD31" s="110">
        <v>4.5999999999999996</v>
      </c>
      <c r="AE31" s="110">
        <v>0</v>
      </c>
      <c r="AF31" s="110"/>
      <c r="AG31" s="110">
        <v>0</v>
      </c>
      <c r="AH31" s="110">
        <v>0</v>
      </c>
      <c r="AI31" s="110">
        <v>0</v>
      </c>
      <c r="AJ31" s="110">
        <v>0</v>
      </c>
      <c r="AK31" s="110">
        <v>0</v>
      </c>
      <c r="AL31" s="110">
        <v>0</v>
      </c>
      <c r="AM31" s="110">
        <v>0</v>
      </c>
      <c r="AN31" s="110"/>
      <c r="AO31" s="110">
        <v>0</v>
      </c>
      <c r="AP31" s="110">
        <v>0</v>
      </c>
      <c r="AQ31" s="110">
        <v>0</v>
      </c>
      <c r="AR31" s="110">
        <v>0</v>
      </c>
      <c r="AS31" s="110">
        <v>0</v>
      </c>
      <c r="AT31" s="110">
        <v>0</v>
      </c>
      <c r="AU31" s="110">
        <v>0</v>
      </c>
      <c r="AV31" s="110">
        <v>0</v>
      </c>
      <c r="AW31" s="110">
        <v>0</v>
      </c>
      <c r="AX31" s="110">
        <v>0</v>
      </c>
      <c r="AY31" s="110">
        <v>0</v>
      </c>
      <c r="AZ31" s="110">
        <v>0</v>
      </c>
      <c r="BA31" s="110">
        <v>0</v>
      </c>
      <c r="BB31" s="110">
        <v>0</v>
      </c>
      <c r="BC31" s="110">
        <v>0</v>
      </c>
      <c r="BD31" s="110">
        <v>0</v>
      </c>
      <c r="BE31" s="110">
        <v>0</v>
      </c>
      <c r="BF31" s="110">
        <v>0</v>
      </c>
      <c r="BG31" s="110">
        <v>0</v>
      </c>
      <c r="BH31" s="110">
        <v>0</v>
      </c>
      <c r="BI31" s="110">
        <v>0</v>
      </c>
      <c r="BJ31" s="110">
        <v>0</v>
      </c>
      <c r="BK31" s="110">
        <v>0</v>
      </c>
      <c r="BL31" s="110">
        <v>0</v>
      </c>
      <c r="BM31" s="58">
        <v>0</v>
      </c>
      <c r="BN31" s="58">
        <v>0</v>
      </c>
      <c r="BO31" s="58">
        <v>0</v>
      </c>
      <c r="BP31" s="58">
        <v>0</v>
      </c>
      <c r="BQ31" s="58">
        <v>0</v>
      </c>
      <c r="BR31" s="58">
        <v>0</v>
      </c>
      <c r="BS31" s="58">
        <v>0</v>
      </c>
      <c r="BT31" s="58">
        <v>0</v>
      </c>
      <c r="BU31" s="58">
        <v>0</v>
      </c>
      <c r="BV31" s="55"/>
      <c r="BW31" s="110">
        <v>0</v>
      </c>
      <c r="BX31" s="110">
        <v>1.07</v>
      </c>
      <c r="BY31" s="110">
        <v>0.32400000000000001</v>
      </c>
      <c r="BZ31" s="110">
        <v>0</v>
      </c>
      <c r="CA31" s="110">
        <v>0</v>
      </c>
      <c r="CB31" s="110">
        <v>0</v>
      </c>
      <c r="CC31" s="110">
        <v>0</v>
      </c>
      <c r="CD31" s="110">
        <v>0</v>
      </c>
      <c r="CE31" s="110">
        <v>0</v>
      </c>
      <c r="CF31" s="110">
        <v>0</v>
      </c>
      <c r="CG31" s="110">
        <f t="shared" si="24"/>
        <v>0</v>
      </c>
      <c r="CH31" s="110">
        <f t="shared" si="25"/>
        <v>0</v>
      </c>
      <c r="CI31" s="110">
        <f t="shared" si="20"/>
        <v>0</v>
      </c>
      <c r="CJ31" s="110">
        <f t="shared" si="21"/>
        <v>0</v>
      </c>
      <c r="CK31" s="110">
        <f t="shared" si="22"/>
        <v>0</v>
      </c>
      <c r="CL31" s="58">
        <v>0</v>
      </c>
      <c r="CM31" s="58">
        <f t="shared" si="8"/>
        <v>0</v>
      </c>
      <c r="CN31" s="58">
        <f t="shared" si="23"/>
        <v>0</v>
      </c>
      <c r="CO31" s="206"/>
      <c r="CP31" s="6"/>
      <c r="CT31" s="48"/>
    </row>
    <row r="32" spans="1:98" x14ac:dyDescent="0.35">
      <c r="A32" s="18"/>
      <c r="B32" s="40" t="str">
        <f>IF(Control!$D$5=1,"Financial Instruments - Derivatives","Instrumentos Financeiros - Derivativos")</f>
        <v>Instrumentos Financeiros - Derivativos</v>
      </c>
      <c r="C32" s="110">
        <v>0</v>
      </c>
      <c r="D32" s="110">
        <v>0</v>
      </c>
      <c r="E32" s="58" t="s">
        <v>2</v>
      </c>
      <c r="F32" s="58" t="s">
        <v>2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10.734999999999999</v>
      </c>
      <c r="T32" s="110">
        <v>29.646000000000001</v>
      </c>
      <c r="U32" s="110">
        <v>32.340000000000003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  <c r="AB32" s="110">
        <v>0</v>
      </c>
      <c r="AC32" s="110">
        <v>0</v>
      </c>
      <c r="AD32" s="110">
        <v>0</v>
      </c>
      <c r="AE32" s="110">
        <v>0</v>
      </c>
      <c r="AF32" s="110">
        <v>0</v>
      </c>
      <c r="AG32" s="110">
        <v>0</v>
      </c>
      <c r="AH32" s="110">
        <v>0</v>
      </c>
      <c r="AI32" s="110">
        <v>0</v>
      </c>
      <c r="AJ32" s="110">
        <v>0</v>
      </c>
      <c r="AK32" s="110">
        <v>0</v>
      </c>
      <c r="AL32" s="110">
        <v>0</v>
      </c>
      <c r="AM32" s="110">
        <v>0</v>
      </c>
      <c r="AN32" s="110">
        <v>0</v>
      </c>
      <c r="AO32" s="110">
        <v>0</v>
      </c>
      <c r="AP32" s="110">
        <v>0</v>
      </c>
      <c r="AQ32" s="110">
        <v>0</v>
      </c>
      <c r="AR32" s="110">
        <v>0</v>
      </c>
      <c r="AS32" s="110">
        <v>0</v>
      </c>
      <c r="AT32" s="110">
        <v>0</v>
      </c>
      <c r="AU32" s="110">
        <v>0</v>
      </c>
      <c r="AV32" s="110">
        <v>0</v>
      </c>
      <c r="AW32" s="110">
        <v>0</v>
      </c>
      <c r="AX32" s="110">
        <v>0</v>
      </c>
      <c r="AY32" s="110">
        <v>0</v>
      </c>
      <c r="AZ32" s="110">
        <v>0</v>
      </c>
      <c r="BA32" s="110">
        <v>0</v>
      </c>
      <c r="BB32" s="110">
        <v>0</v>
      </c>
      <c r="BC32" s="110">
        <v>0</v>
      </c>
      <c r="BD32" s="110">
        <v>0</v>
      </c>
      <c r="BE32" s="110">
        <v>0</v>
      </c>
      <c r="BF32" s="110">
        <v>0</v>
      </c>
      <c r="BG32" s="110">
        <v>0</v>
      </c>
      <c r="BH32" s="110">
        <v>0</v>
      </c>
      <c r="BI32" s="110">
        <v>0</v>
      </c>
      <c r="BJ32" s="110">
        <v>0</v>
      </c>
      <c r="BK32" s="110">
        <v>0</v>
      </c>
      <c r="BL32" s="110">
        <v>0</v>
      </c>
      <c r="BM32" s="58">
        <v>0</v>
      </c>
      <c r="BN32" s="58">
        <v>0</v>
      </c>
      <c r="BO32" s="58">
        <v>0</v>
      </c>
      <c r="BP32" s="58">
        <v>0</v>
      </c>
      <c r="BQ32" s="58">
        <v>0</v>
      </c>
      <c r="BR32" s="58">
        <v>0</v>
      </c>
      <c r="BS32" s="58">
        <v>0</v>
      </c>
      <c r="BT32" s="58">
        <v>0</v>
      </c>
      <c r="BU32" s="58">
        <v>0</v>
      </c>
      <c r="BV32" s="55"/>
      <c r="BW32" s="110">
        <v>0</v>
      </c>
      <c r="BX32" s="110">
        <v>0</v>
      </c>
      <c r="BY32" s="110">
        <v>0</v>
      </c>
      <c r="BZ32" s="110">
        <v>0</v>
      </c>
      <c r="CA32" s="110">
        <v>10.734999999999999</v>
      </c>
      <c r="CB32" s="110">
        <v>0</v>
      </c>
      <c r="CC32" s="110">
        <v>0</v>
      </c>
      <c r="CD32" s="110">
        <v>0</v>
      </c>
      <c r="CE32" s="110">
        <v>0</v>
      </c>
      <c r="CF32" s="110">
        <v>0</v>
      </c>
      <c r="CG32" s="110">
        <f t="shared" si="24"/>
        <v>0</v>
      </c>
      <c r="CH32" s="110">
        <f t="shared" si="25"/>
        <v>0</v>
      </c>
      <c r="CI32" s="110">
        <f t="shared" si="20"/>
        <v>0</v>
      </c>
      <c r="CJ32" s="110">
        <f t="shared" si="21"/>
        <v>0</v>
      </c>
      <c r="CK32" s="110">
        <f t="shared" si="22"/>
        <v>0</v>
      </c>
      <c r="CL32" s="58">
        <v>0</v>
      </c>
      <c r="CM32" s="58">
        <f t="shared" si="8"/>
        <v>0</v>
      </c>
      <c r="CN32" s="58">
        <f t="shared" si="23"/>
        <v>0</v>
      </c>
      <c r="CO32" s="206"/>
      <c r="CP32" s="6"/>
      <c r="CT32" s="48"/>
    </row>
    <row r="33" spans="1:98" x14ac:dyDescent="0.35">
      <c r="A33" s="6"/>
      <c r="B33" s="40" t="str">
        <f>IF(Control!$D$5=1,"Deferred Income Taxes","Imposto de Renda e Contribuição Social Diferido")</f>
        <v>Imposto de Renda e Contribuição Social Diferido</v>
      </c>
      <c r="C33" s="110">
        <v>0.436</v>
      </c>
      <c r="D33" s="110">
        <v>2.512</v>
      </c>
      <c r="E33" s="58" t="s">
        <v>2</v>
      </c>
      <c r="F33" s="58" t="s">
        <v>2</v>
      </c>
      <c r="G33" s="110">
        <v>0.45600000000000002</v>
      </c>
      <c r="H33" s="110">
        <v>0.60399999999999998</v>
      </c>
      <c r="I33" s="110">
        <v>2.1760000000000002</v>
      </c>
      <c r="J33" s="110">
        <v>3.6560000000000001</v>
      </c>
      <c r="K33" s="110">
        <v>0</v>
      </c>
      <c r="L33" s="110">
        <v>6.3369999999999997</v>
      </c>
      <c r="M33" s="110">
        <v>7.3959999999999999</v>
      </c>
      <c r="N33" s="110">
        <v>4.6280000000000001</v>
      </c>
      <c r="O33" s="110">
        <v>9.4030000000000005</v>
      </c>
      <c r="P33" s="110">
        <v>16.989999999999998</v>
      </c>
      <c r="Q33" s="110">
        <v>17.864999999999998</v>
      </c>
      <c r="R33" s="110">
        <v>6.9219999999999997</v>
      </c>
      <c r="S33" s="110">
        <v>6.9480000000000004</v>
      </c>
      <c r="T33" s="110">
        <v>6.77</v>
      </c>
      <c r="U33" s="110">
        <v>6.3120000000000003</v>
      </c>
      <c r="V33" s="110">
        <v>17.094000000000001</v>
      </c>
      <c r="W33" s="110">
        <v>17.547999999999998</v>
      </c>
      <c r="X33" s="110">
        <v>7.766</v>
      </c>
      <c r="Y33" s="110">
        <v>0</v>
      </c>
      <c r="Z33" s="110">
        <v>0</v>
      </c>
      <c r="AA33" s="110">
        <v>0</v>
      </c>
      <c r="AB33" s="110">
        <v>0</v>
      </c>
      <c r="AC33" s="110">
        <v>0</v>
      </c>
      <c r="AD33" s="110">
        <v>0</v>
      </c>
      <c r="AE33" s="110">
        <v>0</v>
      </c>
      <c r="AF33" s="110">
        <v>0</v>
      </c>
      <c r="AG33" s="110">
        <v>0</v>
      </c>
      <c r="AH33" s="110">
        <v>0</v>
      </c>
      <c r="AI33" s="110">
        <v>0</v>
      </c>
      <c r="AJ33" s="110">
        <v>0</v>
      </c>
      <c r="AK33" s="110">
        <v>0</v>
      </c>
      <c r="AL33" s="110">
        <v>0</v>
      </c>
      <c r="AM33" s="110">
        <v>0</v>
      </c>
      <c r="AN33" s="110">
        <v>0</v>
      </c>
      <c r="AO33" s="110">
        <v>0</v>
      </c>
      <c r="AP33" s="110">
        <v>0</v>
      </c>
      <c r="AQ33" s="110">
        <v>0</v>
      </c>
      <c r="AR33" s="110">
        <v>0</v>
      </c>
      <c r="AS33" s="110">
        <v>0</v>
      </c>
      <c r="AT33" s="110">
        <v>0</v>
      </c>
      <c r="AU33" s="110">
        <v>0</v>
      </c>
      <c r="AV33" s="110">
        <v>0</v>
      </c>
      <c r="AW33" s="110">
        <v>0</v>
      </c>
      <c r="AX33" s="110">
        <v>0</v>
      </c>
      <c r="AY33" s="110">
        <v>0</v>
      </c>
      <c r="AZ33" s="110">
        <v>0</v>
      </c>
      <c r="BA33" s="110">
        <v>0</v>
      </c>
      <c r="BB33" s="110">
        <v>0</v>
      </c>
      <c r="BC33" s="110">
        <v>0</v>
      </c>
      <c r="BD33" s="110">
        <v>0</v>
      </c>
      <c r="BE33" s="110">
        <v>0</v>
      </c>
      <c r="BF33" s="110">
        <v>0</v>
      </c>
      <c r="BG33" s="110">
        <v>0</v>
      </c>
      <c r="BH33" s="110">
        <v>17.7</v>
      </c>
      <c r="BI33" s="110">
        <v>18.667000000000002</v>
      </c>
      <c r="BJ33" s="110">
        <v>32.805</v>
      </c>
      <c r="BK33" s="110">
        <v>15.234999999999999</v>
      </c>
      <c r="BL33" s="58">
        <v>21.416</v>
      </c>
      <c r="BM33" s="58">
        <v>26.3</v>
      </c>
      <c r="BN33" s="58">
        <v>42.424999999999997</v>
      </c>
      <c r="BO33" s="58">
        <v>89.766000000000005</v>
      </c>
      <c r="BP33" s="58">
        <v>96.221999999999994</v>
      </c>
      <c r="BQ33" s="58">
        <v>104.752</v>
      </c>
      <c r="BR33" s="58">
        <v>134.83000000000001</v>
      </c>
      <c r="BS33" s="58">
        <v>141.822</v>
      </c>
      <c r="BT33" s="58">
        <v>166.25200000000001</v>
      </c>
      <c r="BU33" s="58">
        <v>205.47399999999999</v>
      </c>
      <c r="BV33" s="55"/>
      <c r="BW33" s="110">
        <v>0.436</v>
      </c>
      <c r="BX33" s="110">
        <v>0.45600000000000002</v>
      </c>
      <c r="BY33" s="110">
        <v>0</v>
      </c>
      <c r="BZ33" s="110">
        <v>9.4030000000000005</v>
      </c>
      <c r="CA33" s="110">
        <v>6.9480000000000004</v>
      </c>
      <c r="CB33" s="110">
        <v>17.547999999999998</v>
      </c>
      <c r="CC33" s="110">
        <v>0</v>
      </c>
      <c r="CD33" s="110">
        <v>0</v>
      </c>
      <c r="CE33" s="110">
        <v>0</v>
      </c>
      <c r="CF33" s="110">
        <v>0</v>
      </c>
      <c r="CG33" s="110">
        <f t="shared" si="24"/>
        <v>0</v>
      </c>
      <c r="CH33" s="110">
        <f t="shared" si="25"/>
        <v>0</v>
      </c>
      <c r="CI33" s="110">
        <f t="shared" si="20"/>
        <v>0</v>
      </c>
      <c r="CJ33" s="110">
        <f t="shared" si="21"/>
        <v>0</v>
      </c>
      <c r="CK33" s="110">
        <f t="shared" si="22"/>
        <v>0</v>
      </c>
      <c r="CL33" s="58">
        <v>15.234999999999999</v>
      </c>
      <c r="CM33" s="58">
        <f t="shared" si="8"/>
        <v>89.766000000000005</v>
      </c>
      <c r="CN33" s="58">
        <f t="shared" si="23"/>
        <v>141.822</v>
      </c>
      <c r="CO33" s="206"/>
      <c r="CP33" s="6"/>
      <c r="CT33" s="48"/>
    </row>
    <row r="34" spans="1:98" x14ac:dyDescent="0.35">
      <c r="A34" s="18"/>
      <c r="B34" s="40" t="str">
        <f>IF(Control!$D$5=1,"Related Party","Partes Relacionadas")</f>
        <v>Partes Relacionadas</v>
      </c>
      <c r="C34" s="110">
        <v>2.7130000000000001</v>
      </c>
      <c r="D34" s="110">
        <v>2.6259999999999999</v>
      </c>
      <c r="E34" s="58" t="s">
        <v>2</v>
      </c>
      <c r="F34" s="58" t="s">
        <v>2</v>
      </c>
      <c r="G34" s="110">
        <v>3.13</v>
      </c>
      <c r="H34" s="110">
        <v>2.6190000000000002</v>
      </c>
      <c r="I34" s="110">
        <v>2.2170000000000001</v>
      </c>
      <c r="J34" s="110">
        <v>2.173</v>
      </c>
      <c r="K34" s="110">
        <v>2.2730000000000001</v>
      </c>
      <c r="L34" s="110">
        <v>1.84</v>
      </c>
      <c r="M34" s="110">
        <v>0</v>
      </c>
      <c r="N34" s="110">
        <v>0</v>
      </c>
      <c r="O34" s="110">
        <v>1.8640000000000001</v>
      </c>
      <c r="P34" s="110">
        <v>1.7769999999999999</v>
      </c>
      <c r="Q34" s="110">
        <v>2.875</v>
      </c>
      <c r="R34" s="110">
        <v>3.1949999999999998</v>
      </c>
      <c r="S34" s="110">
        <v>0.503</v>
      </c>
      <c r="T34" s="110">
        <v>0</v>
      </c>
      <c r="U34" s="110">
        <v>0</v>
      </c>
      <c r="V34" s="110">
        <v>0</v>
      </c>
      <c r="W34" s="110">
        <v>0</v>
      </c>
      <c r="X34" s="110">
        <v>0</v>
      </c>
      <c r="Y34" s="110">
        <v>0</v>
      </c>
      <c r="Z34" s="110">
        <v>0</v>
      </c>
      <c r="AA34" s="110">
        <v>4.1920000000000002</v>
      </c>
      <c r="AB34" s="110">
        <v>4.0229999999999997</v>
      </c>
      <c r="AC34" s="110">
        <v>0</v>
      </c>
      <c r="AD34" s="110">
        <v>5.2770000000000001</v>
      </c>
      <c r="AE34" s="110">
        <v>5.1710000000000003</v>
      </c>
      <c r="AF34" s="110">
        <v>5.7110000000000003</v>
      </c>
      <c r="AG34" s="110">
        <v>6.5519999999999996</v>
      </c>
      <c r="AH34" s="110">
        <v>6.9180000000000001</v>
      </c>
      <c r="AI34" s="110">
        <v>7.15</v>
      </c>
      <c r="AJ34" s="110">
        <v>6.4589999999999996</v>
      </c>
      <c r="AK34" s="110">
        <v>5.8220000000000001</v>
      </c>
      <c r="AL34" s="110">
        <v>6.1029999999999998</v>
      </c>
      <c r="AM34" s="110">
        <v>0</v>
      </c>
      <c r="AN34" s="110">
        <v>0</v>
      </c>
      <c r="AO34" s="110">
        <v>0</v>
      </c>
      <c r="AP34" s="110">
        <v>0</v>
      </c>
      <c r="AQ34" s="110">
        <v>0</v>
      </c>
      <c r="AR34" s="110">
        <v>0</v>
      </c>
      <c r="AS34" s="110">
        <v>0</v>
      </c>
      <c r="AT34" s="110">
        <v>0</v>
      </c>
      <c r="AU34" s="110">
        <v>0</v>
      </c>
      <c r="AV34" s="110">
        <v>0</v>
      </c>
      <c r="AW34" s="110">
        <v>0</v>
      </c>
      <c r="AX34" s="110">
        <v>0</v>
      </c>
      <c r="AY34" s="110">
        <v>0</v>
      </c>
      <c r="AZ34" s="110">
        <v>0</v>
      </c>
      <c r="BA34" s="110">
        <v>0</v>
      </c>
      <c r="BB34" s="110">
        <v>0</v>
      </c>
      <c r="BC34" s="110">
        <v>0</v>
      </c>
      <c r="BD34" s="110">
        <v>42.982999999999997</v>
      </c>
      <c r="BE34" s="110">
        <v>42.252000000000002</v>
      </c>
      <c r="BF34" s="110">
        <v>46.167000000000002</v>
      </c>
      <c r="BG34" s="110">
        <v>70.965000000000003</v>
      </c>
      <c r="BH34" s="110">
        <v>65.296999999999997</v>
      </c>
      <c r="BI34" s="110">
        <v>71.510999999999996</v>
      </c>
      <c r="BJ34" s="110">
        <v>73.100999999999999</v>
      </c>
      <c r="BK34" s="110">
        <v>71.909000000000006</v>
      </c>
      <c r="BL34" s="58">
        <v>33.073</v>
      </c>
      <c r="BM34" s="58">
        <v>47.8</v>
      </c>
      <c r="BN34" s="58">
        <v>62.936</v>
      </c>
      <c r="BO34" s="58">
        <v>32.341999999999999</v>
      </c>
      <c r="BP34" s="58">
        <v>34.023000000000003</v>
      </c>
      <c r="BQ34" s="58">
        <v>5.0789999999999997</v>
      </c>
      <c r="BR34" s="58">
        <v>5.4349999999999996</v>
      </c>
      <c r="BS34" s="58">
        <v>198.26300000000001</v>
      </c>
      <c r="BT34" s="58">
        <v>193.53700000000001</v>
      </c>
      <c r="BU34" s="58">
        <v>183.94399999999999</v>
      </c>
      <c r="BV34" s="55"/>
      <c r="BW34" s="110">
        <v>2.7130000000000001</v>
      </c>
      <c r="BX34" s="110">
        <v>3.13</v>
      </c>
      <c r="BY34" s="110">
        <v>2.2730000000000001</v>
      </c>
      <c r="BZ34" s="110">
        <v>1.8640000000000001</v>
      </c>
      <c r="CA34" s="110">
        <v>0.503</v>
      </c>
      <c r="CB34" s="110">
        <v>0</v>
      </c>
      <c r="CC34" s="110">
        <v>4.1920000000000002</v>
      </c>
      <c r="CD34" s="110">
        <v>5.1710000000000003</v>
      </c>
      <c r="CE34" s="110">
        <v>7.15</v>
      </c>
      <c r="CF34" s="110">
        <v>0</v>
      </c>
      <c r="CG34" s="110">
        <f t="shared" si="24"/>
        <v>0</v>
      </c>
      <c r="CH34" s="110">
        <f t="shared" si="25"/>
        <v>0</v>
      </c>
      <c r="CI34" s="110">
        <f t="shared" si="20"/>
        <v>0</v>
      </c>
      <c r="CJ34" s="110">
        <f t="shared" si="21"/>
        <v>0</v>
      </c>
      <c r="CK34" s="110">
        <f t="shared" si="22"/>
        <v>70.965000000000003</v>
      </c>
      <c r="CL34" s="58">
        <v>71.909000000000006</v>
      </c>
      <c r="CM34" s="58">
        <f t="shared" si="8"/>
        <v>32.341999999999999</v>
      </c>
      <c r="CN34" s="58">
        <f t="shared" si="23"/>
        <v>198.26300000000001</v>
      </c>
      <c r="CO34" s="206"/>
      <c r="CP34" s="6"/>
      <c r="CT34" s="48"/>
    </row>
    <row r="35" spans="1:98" x14ac:dyDescent="0.35">
      <c r="A35" s="6"/>
      <c r="B35" s="40" t="str">
        <f>IF(Control!$D$5=1,"Deposits in Court","Depósitos Judiciais")</f>
        <v>Depósitos Judiciais</v>
      </c>
      <c r="C35" s="110">
        <v>1.2509999999999999</v>
      </c>
      <c r="D35" s="110">
        <v>1.294</v>
      </c>
      <c r="E35" s="58" t="s">
        <v>2</v>
      </c>
      <c r="F35" s="58" t="s">
        <v>2</v>
      </c>
      <c r="G35" s="110">
        <v>1.3939999999999999</v>
      </c>
      <c r="H35" s="110">
        <v>1.3819999999999999</v>
      </c>
      <c r="I35" s="110">
        <v>1.367</v>
      </c>
      <c r="J35" s="110">
        <v>2.2229999999999999</v>
      </c>
      <c r="K35" s="110">
        <v>1.7869999999999999</v>
      </c>
      <c r="L35" s="110">
        <v>0</v>
      </c>
      <c r="M35" s="110">
        <v>2.5750000000000002</v>
      </c>
      <c r="N35" s="110">
        <v>3.637</v>
      </c>
      <c r="O35" s="110">
        <v>7.532</v>
      </c>
      <c r="P35" s="110">
        <v>14.704000000000001</v>
      </c>
      <c r="Q35" s="110">
        <v>14.388</v>
      </c>
      <c r="R35" s="110">
        <v>7.4560000000000004</v>
      </c>
      <c r="S35" s="110">
        <v>7.601</v>
      </c>
      <c r="T35" s="110">
        <v>7.6360000000000001</v>
      </c>
      <c r="U35" s="110">
        <v>8.0269999999999992</v>
      </c>
      <c r="V35" s="110">
        <v>8.0440000000000005</v>
      </c>
      <c r="W35" s="110">
        <v>8.6059999999999999</v>
      </c>
      <c r="X35" s="110">
        <v>3.9340000000000002</v>
      </c>
      <c r="Y35" s="110">
        <v>4.1059999999999999</v>
      </c>
      <c r="Z35" s="110">
        <v>4.843</v>
      </c>
      <c r="AA35" s="110">
        <v>5.0869999999999997</v>
      </c>
      <c r="AB35" s="110">
        <v>5.109</v>
      </c>
      <c r="AC35" s="110">
        <v>5.1710000000000003</v>
      </c>
      <c r="AD35" s="110">
        <v>0</v>
      </c>
      <c r="AE35" s="110">
        <v>5.0279999999999996</v>
      </c>
      <c r="AF35" s="110">
        <v>5.3330000000000002</v>
      </c>
      <c r="AG35" s="110">
        <v>4.702</v>
      </c>
      <c r="AH35" s="110">
        <v>4.766</v>
      </c>
      <c r="AI35" s="110">
        <v>4.9489999999999998</v>
      </c>
      <c r="AJ35" s="110">
        <v>5.1630000000000003</v>
      </c>
      <c r="AK35" s="110">
        <v>7.8979999999999997</v>
      </c>
      <c r="AL35" s="110">
        <v>8.6050000000000004</v>
      </c>
      <c r="AM35" s="110">
        <v>9.1999999999999993</v>
      </c>
      <c r="AN35" s="110">
        <v>8.1750000000000007</v>
      </c>
      <c r="AO35" s="110">
        <v>8.7029999999999994</v>
      </c>
      <c r="AP35" s="110">
        <v>8.9280000000000008</v>
      </c>
      <c r="AQ35" s="110">
        <v>8.9</v>
      </c>
      <c r="AR35" s="110">
        <v>8.5</v>
      </c>
      <c r="AS35" s="110">
        <v>9</v>
      </c>
      <c r="AT35" s="110">
        <v>8.8000000000000007</v>
      </c>
      <c r="AU35" s="110">
        <v>9.8610000000000007</v>
      </c>
      <c r="AV35" s="110">
        <v>10.8</v>
      </c>
      <c r="AW35" s="110">
        <v>10.694000000000001</v>
      </c>
      <c r="AX35" s="110">
        <v>7.6440000000000001</v>
      </c>
      <c r="AY35" s="110">
        <v>8.298</v>
      </c>
      <c r="AZ35" s="110">
        <v>8.4</v>
      </c>
      <c r="BA35" s="110">
        <v>7.7489999999999997</v>
      </c>
      <c r="BB35" s="110">
        <v>7.8</v>
      </c>
      <c r="BC35" s="110">
        <v>8.01</v>
      </c>
      <c r="BD35" s="110">
        <v>8.1120000000000001</v>
      </c>
      <c r="BE35" s="110">
        <v>9.0289999999999999</v>
      </c>
      <c r="BF35" s="110">
        <v>10.375</v>
      </c>
      <c r="BG35" s="110">
        <v>9.7569999999999997</v>
      </c>
      <c r="BH35" s="110">
        <v>10.211</v>
      </c>
      <c r="BI35" s="110">
        <v>11.108000000000001</v>
      </c>
      <c r="BJ35" s="110">
        <v>12.052</v>
      </c>
      <c r="BK35" s="110">
        <v>33.799999999999997</v>
      </c>
      <c r="BL35" s="58">
        <v>33.116</v>
      </c>
      <c r="BM35" s="58">
        <v>36.5</v>
      </c>
      <c r="BN35" s="58">
        <v>37.963999999999999</v>
      </c>
      <c r="BO35" s="58">
        <v>39.543999999999997</v>
      </c>
      <c r="BP35" s="58">
        <v>39.686999999999998</v>
      </c>
      <c r="BQ35" s="58">
        <v>36.351999999999997</v>
      </c>
      <c r="BR35" s="58">
        <v>36.215000000000003</v>
      </c>
      <c r="BS35" s="58">
        <v>43.139000000000003</v>
      </c>
      <c r="BT35" s="58">
        <v>42.895000000000003</v>
      </c>
      <c r="BU35" s="58">
        <v>45.473999999999997</v>
      </c>
      <c r="BV35" s="55"/>
      <c r="BW35" s="110">
        <v>1.2509999999999999</v>
      </c>
      <c r="BX35" s="110">
        <v>1.3939999999999999</v>
      </c>
      <c r="BY35" s="110">
        <v>1.7869999999999999</v>
      </c>
      <c r="BZ35" s="110">
        <v>7.532</v>
      </c>
      <c r="CA35" s="110">
        <v>7.601</v>
      </c>
      <c r="CB35" s="110">
        <v>8.6059999999999999</v>
      </c>
      <c r="CC35" s="110">
        <v>5.0869999999999997</v>
      </c>
      <c r="CD35" s="110">
        <v>5.0279999999999996</v>
      </c>
      <c r="CE35" s="110">
        <v>4.9489999999999998</v>
      </c>
      <c r="CF35" s="110">
        <v>9.1999999999999993</v>
      </c>
      <c r="CG35" s="110">
        <f t="shared" si="24"/>
        <v>8.9</v>
      </c>
      <c r="CH35" s="110">
        <f t="shared" si="25"/>
        <v>9.8610000000000007</v>
      </c>
      <c r="CI35" s="110">
        <f t="shared" si="20"/>
        <v>8.298</v>
      </c>
      <c r="CJ35" s="110">
        <f t="shared" si="21"/>
        <v>8.01</v>
      </c>
      <c r="CK35" s="110">
        <f t="shared" si="22"/>
        <v>9.7569999999999997</v>
      </c>
      <c r="CL35" s="58">
        <v>33.799999999999997</v>
      </c>
      <c r="CM35" s="58">
        <f t="shared" si="8"/>
        <v>39.543999999999997</v>
      </c>
      <c r="CN35" s="58">
        <f t="shared" si="23"/>
        <v>43.139000000000003</v>
      </c>
      <c r="CO35" s="206"/>
      <c r="CP35" s="6"/>
      <c r="CT35" s="48"/>
    </row>
    <row r="36" spans="1:98" x14ac:dyDescent="0.35">
      <c r="A36" s="6"/>
      <c r="B36" s="40" t="str">
        <f>IF(Control!$D$5=1,"Indemnization Assets","Ativo de Indenização")</f>
        <v>Ativo de Indenização</v>
      </c>
      <c r="C36" s="110">
        <v>0</v>
      </c>
      <c r="D36" s="110">
        <v>0</v>
      </c>
      <c r="E36" s="110">
        <v>0</v>
      </c>
      <c r="F36" s="110">
        <v>0</v>
      </c>
      <c r="G36" s="110">
        <v>0</v>
      </c>
      <c r="H36" s="110">
        <v>0</v>
      </c>
      <c r="I36" s="110">
        <v>0</v>
      </c>
      <c r="J36" s="110">
        <v>0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10">
        <v>0</v>
      </c>
      <c r="V36" s="110">
        <v>0</v>
      </c>
      <c r="W36" s="110">
        <v>0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0</v>
      </c>
      <c r="AD36" s="110">
        <v>0</v>
      </c>
      <c r="AE36" s="110">
        <v>0</v>
      </c>
      <c r="AF36" s="110">
        <v>0</v>
      </c>
      <c r="AG36" s="110">
        <v>0</v>
      </c>
      <c r="AH36" s="110">
        <v>0</v>
      </c>
      <c r="AI36" s="110">
        <v>0</v>
      </c>
      <c r="AJ36" s="110">
        <v>0</v>
      </c>
      <c r="AK36" s="110">
        <v>0</v>
      </c>
      <c r="AL36" s="110">
        <v>0</v>
      </c>
      <c r="AM36" s="110">
        <v>0</v>
      </c>
      <c r="AN36" s="110">
        <v>0</v>
      </c>
      <c r="AO36" s="110">
        <v>0</v>
      </c>
      <c r="AP36" s="110">
        <v>0</v>
      </c>
      <c r="AQ36" s="110">
        <v>0</v>
      </c>
      <c r="AR36" s="110">
        <v>0</v>
      </c>
      <c r="AS36" s="110">
        <v>0</v>
      </c>
      <c r="AT36" s="110">
        <v>0</v>
      </c>
      <c r="AU36" s="110">
        <v>0</v>
      </c>
      <c r="AV36" s="110">
        <v>0</v>
      </c>
      <c r="AW36" s="110">
        <v>0</v>
      </c>
      <c r="AX36" s="110">
        <v>0</v>
      </c>
      <c r="AY36" s="110">
        <v>0</v>
      </c>
      <c r="AZ36" s="110">
        <v>0</v>
      </c>
      <c r="BA36" s="110">
        <v>0</v>
      </c>
      <c r="BB36" s="110">
        <v>0</v>
      </c>
      <c r="BC36" s="110">
        <v>0</v>
      </c>
      <c r="BD36" s="110">
        <v>0</v>
      </c>
      <c r="BE36" s="110">
        <v>0</v>
      </c>
      <c r="BF36" s="110">
        <v>0</v>
      </c>
      <c r="BG36" s="110">
        <v>0</v>
      </c>
      <c r="BH36" s="110">
        <v>0</v>
      </c>
      <c r="BI36" s="110">
        <v>0</v>
      </c>
      <c r="BJ36" s="110">
        <v>0</v>
      </c>
      <c r="BK36" s="110">
        <v>301.89999999999998</v>
      </c>
      <c r="BL36" s="58">
        <v>301.93599999999998</v>
      </c>
      <c r="BM36" s="58">
        <v>301.89999999999998</v>
      </c>
      <c r="BN36" s="58">
        <v>305.976</v>
      </c>
      <c r="BO36" s="58">
        <v>305.976</v>
      </c>
      <c r="BP36" s="58">
        <v>308.28800000000001</v>
      </c>
      <c r="BQ36" s="58">
        <v>310.702</v>
      </c>
      <c r="BR36" s="58">
        <v>304.03199999999998</v>
      </c>
      <c r="BS36" s="58">
        <v>271.46100000000001</v>
      </c>
      <c r="BT36" s="58">
        <v>301.733</v>
      </c>
      <c r="BU36" s="58">
        <v>302.517</v>
      </c>
      <c r="BV36" s="55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58">
        <v>301.89999999999998</v>
      </c>
      <c r="CM36" s="58">
        <f t="shared" si="8"/>
        <v>305.976</v>
      </c>
      <c r="CN36" s="58">
        <f t="shared" si="23"/>
        <v>271.46100000000001</v>
      </c>
      <c r="CO36" s="206"/>
      <c r="CP36" s="6"/>
      <c r="CT36" s="48"/>
    </row>
    <row r="37" spans="1:98" x14ac:dyDescent="0.35">
      <c r="B37" s="40" t="str">
        <f>IF(Control!$D$5=1,"Other Long-Term Assets","Outros Ativos Longo Prazo")</f>
        <v>Outros Ativos Longo Prazo</v>
      </c>
      <c r="C37" s="110">
        <v>9.8000000000000004E-2</v>
      </c>
      <c r="D37" s="110">
        <v>0</v>
      </c>
      <c r="E37" s="58" t="s">
        <v>2</v>
      </c>
      <c r="F37" s="58" t="s">
        <v>2</v>
      </c>
      <c r="G37" s="110">
        <v>0</v>
      </c>
      <c r="H37" s="110">
        <v>0</v>
      </c>
      <c r="I37" s="110">
        <v>0</v>
      </c>
      <c r="J37" s="110">
        <v>0</v>
      </c>
      <c r="K37" s="110">
        <v>0.30499999999999999</v>
      </c>
      <c r="L37" s="110">
        <v>0.30599999999999999</v>
      </c>
      <c r="M37" s="110">
        <v>0.47399999999999998</v>
      </c>
      <c r="N37" s="110">
        <v>1.4690000000000001</v>
      </c>
      <c r="O37" s="110">
        <v>1.536</v>
      </c>
      <c r="P37" s="110">
        <v>3.3969999999999998</v>
      </c>
      <c r="Q37" s="111">
        <f>2.553+1.405</f>
        <v>3.9580000000000002</v>
      </c>
      <c r="R37" s="110">
        <v>1.784</v>
      </c>
      <c r="S37" s="110">
        <v>3.4750000000000001</v>
      </c>
      <c r="T37" s="110">
        <v>1.754</v>
      </c>
      <c r="U37" s="110">
        <v>1.387</v>
      </c>
      <c r="V37" s="110">
        <v>6.5019999999999998</v>
      </c>
      <c r="W37" s="110">
        <v>1.234</v>
      </c>
      <c r="X37" s="110">
        <v>1.284</v>
      </c>
      <c r="Y37" s="110">
        <v>4.8239999999999998</v>
      </c>
      <c r="Z37" s="110">
        <v>0.88300000000000001</v>
      </c>
      <c r="AA37" s="110">
        <v>0.871</v>
      </c>
      <c r="AB37" s="110">
        <v>0.995</v>
      </c>
      <c r="AC37" s="110">
        <v>22.655999999999999</v>
      </c>
      <c r="AD37" s="110">
        <v>23.254999999999999</v>
      </c>
      <c r="AE37" s="110">
        <v>16.888000000000002</v>
      </c>
      <c r="AF37" s="110">
        <v>18.085999999999999</v>
      </c>
      <c r="AG37" s="110">
        <v>18.876999999999999</v>
      </c>
      <c r="AH37" s="110">
        <v>18.675000000000001</v>
      </c>
      <c r="AI37" s="110">
        <v>6.0119999999999996</v>
      </c>
      <c r="AJ37" s="110">
        <v>14.444000000000001</v>
      </c>
      <c r="AK37" s="110">
        <v>18.385999999999999</v>
      </c>
      <c r="AL37" s="110">
        <v>10.079000000000001</v>
      </c>
      <c r="AM37" s="110">
        <v>9.5</v>
      </c>
      <c r="AN37" s="110">
        <v>7.7130000000000001</v>
      </c>
      <c r="AO37" s="110">
        <v>4.9429999999999996</v>
      </c>
      <c r="AP37" s="110">
        <v>5.2</v>
      </c>
      <c r="AQ37" s="110">
        <v>12.5</v>
      </c>
      <c r="AR37" s="110">
        <v>17.8</v>
      </c>
      <c r="AS37" s="110">
        <v>16.3</v>
      </c>
      <c r="AT37" s="110">
        <v>13.5</v>
      </c>
      <c r="AU37" s="110">
        <v>15.968999999999999</v>
      </c>
      <c r="AV37" s="110">
        <f>15.3+93.3</f>
        <v>108.6</v>
      </c>
      <c r="AW37" s="110">
        <v>12.956</v>
      </c>
      <c r="AX37" s="110">
        <v>13.162000000000001</v>
      </c>
      <c r="AY37" s="110">
        <v>2.1160000000000001</v>
      </c>
      <c r="AZ37" s="110">
        <v>0.55400000000000005</v>
      </c>
      <c r="BA37" s="110">
        <v>0.53400000000000003</v>
      </c>
      <c r="BB37" s="110">
        <v>0.60299999999999998</v>
      </c>
      <c r="BC37" s="110">
        <v>0.38600000000000001</v>
      </c>
      <c r="BD37" s="110">
        <v>0.38200000000000001</v>
      </c>
      <c r="BE37" s="110">
        <v>0.38200000000000001</v>
      </c>
      <c r="BF37" s="110">
        <v>0.70699999999999996</v>
      </c>
      <c r="BG37" s="110">
        <v>10.768000000000001</v>
      </c>
      <c r="BH37" s="110">
        <v>10.012</v>
      </c>
      <c r="BI37" s="110">
        <v>10.06</v>
      </c>
      <c r="BJ37" s="110">
        <v>9.4</v>
      </c>
      <c r="BK37" s="110">
        <v>12.496</v>
      </c>
      <c r="BL37" s="58">
        <v>12.135</v>
      </c>
      <c r="BM37" s="58">
        <v>11.2</v>
      </c>
      <c r="BN37" s="58">
        <v>14.792</v>
      </c>
      <c r="BO37" s="58">
        <v>14.273999999999999</v>
      </c>
      <c r="BP37" s="58">
        <v>12.762</v>
      </c>
      <c r="BQ37" s="58">
        <v>16.103000000000002</v>
      </c>
      <c r="BR37" s="58">
        <v>8.3930000000000007</v>
      </c>
      <c r="BS37" s="58">
        <v>12.755000000000001</v>
      </c>
      <c r="BT37" s="58">
        <v>12.635</v>
      </c>
      <c r="BU37" s="58">
        <v>10.521000000000001</v>
      </c>
      <c r="BV37" s="55"/>
      <c r="BW37" s="110">
        <v>9.8000000000000004E-2</v>
      </c>
      <c r="BX37" s="110">
        <v>0</v>
      </c>
      <c r="BY37" s="110">
        <v>0.30499999999999999</v>
      </c>
      <c r="BZ37" s="110">
        <v>1.536</v>
      </c>
      <c r="CA37" s="110">
        <v>3.4750000000000001</v>
      </c>
      <c r="CB37" s="110">
        <v>1.234</v>
      </c>
      <c r="CC37" s="110">
        <v>0.871</v>
      </c>
      <c r="CD37" s="110">
        <v>16.888000000000002</v>
      </c>
      <c r="CE37" s="110">
        <v>6.0119999999999996</v>
      </c>
      <c r="CF37" s="110">
        <v>9.5</v>
      </c>
      <c r="CG37" s="110">
        <f t="shared" si="24"/>
        <v>12.5</v>
      </c>
      <c r="CH37" s="110">
        <f t="shared" si="25"/>
        <v>15.968999999999999</v>
      </c>
      <c r="CI37" s="110">
        <f t="shared" si="20"/>
        <v>2.1160000000000001</v>
      </c>
      <c r="CJ37" s="110">
        <f t="shared" si="21"/>
        <v>0.38600000000000001</v>
      </c>
      <c r="CK37" s="110">
        <f t="shared" si="22"/>
        <v>10.768000000000001</v>
      </c>
      <c r="CL37" s="58">
        <v>12.496</v>
      </c>
      <c r="CM37" s="58">
        <f t="shared" si="8"/>
        <v>14.273999999999999</v>
      </c>
      <c r="CN37" s="58">
        <f t="shared" si="23"/>
        <v>12.755000000000001</v>
      </c>
      <c r="CO37" s="206"/>
      <c r="CP37" s="6"/>
      <c r="CT37" s="48"/>
    </row>
    <row r="38" spans="1:98" ht="6.75" customHeight="1" outlineLevel="1" x14ac:dyDescent="0.35">
      <c r="B38" s="10"/>
      <c r="C38" s="110"/>
      <c r="D38" s="110"/>
      <c r="E38" s="58"/>
      <c r="F38" s="58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5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0"/>
      <c r="CJ38" s="110"/>
      <c r="CK38" s="110"/>
      <c r="CL38" s="110"/>
      <c r="CM38" s="110">
        <f t="shared" si="8"/>
        <v>0</v>
      </c>
      <c r="CN38" s="110">
        <f t="shared" si="23"/>
        <v>0</v>
      </c>
      <c r="CO38" s="206"/>
      <c r="CP38" s="6"/>
    </row>
    <row r="39" spans="1:98" s="6" customFormat="1" outlineLevel="1" x14ac:dyDescent="0.35">
      <c r="B39" s="32" t="str">
        <f>IF(Control!$D$5=1,"Total Permanent Assets","Ativo Permanente")</f>
        <v>Ativo Permanente</v>
      </c>
      <c r="C39" s="106">
        <f>SUM(C41:C43)</f>
        <v>131.10999999999999</v>
      </c>
      <c r="D39" s="106">
        <f>SUM(D41:D43)</f>
        <v>127.91199999999999</v>
      </c>
      <c r="E39" s="109" t="s">
        <v>2</v>
      </c>
      <c r="F39" s="109" t="s">
        <v>2</v>
      </c>
      <c r="G39" s="106">
        <f t="shared" ref="G39:AN39" si="26">SUM(G41:G43)</f>
        <v>201.84300000000002</v>
      </c>
      <c r="H39" s="106">
        <f t="shared" si="26"/>
        <v>186.68199999999999</v>
      </c>
      <c r="I39" s="106">
        <f t="shared" si="26"/>
        <v>188.88199999999998</v>
      </c>
      <c r="J39" s="106">
        <f t="shared" si="26"/>
        <v>193.42099999999999</v>
      </c>
      <c r="K39" s="106">
        <f t="shared" si="26"/>
        <v>249</v>
      </c>
      <c r="L39" s="106">
        <f t="shared" si="26"/>
        <v>262.01900000000001</v>
      </c>
      <c r="M39" s="106">
        <f t="shared" si="26"/>
        <v>273.91399999999999</v>
      </c>
      <c r="N39" s="106">
        <f t="shared" si="26"/>
        <v>289.45100000000002</v>
      </c>
      <c r="O39" s="106">
        <f t="shared" si="26"/>
        <v>430.916</v>
      </c>
      <c r="P39" s="106">
        <f t="shared" si="26"/>
        <v>594.37600000000009</v>
      </c>
      <c r="Q39" s="106">
        <f t="shared" si="26"/>
        <v>592.51800000000003</v>
      </c>
      <c r="R39" s="106">
        <f t="shared" si="26"/>
        <v>754.03099999999995</v>
      </c>
      <c r="S39" s="106">
        <f t="shared" si="26"/>
        <v>764.95399999999995</v>
      </c>
      <c r="T39" s="106">
        <f t="shared" si="26"/>
        <v>800.8119999999999</v>
      </c>
      <c r="U39" s="106">
        <f t="shared" si="26"/>
        <v>818.77</v>
      </c>
      <c r="V39" s="106">
        <f t="shared" si="26"/>
        <v>1237.9189999999999</v>
      </c>
      <c r="W39" s="106">
        <f t="shared" si="26"/>
        <v>1213.3440000000001</v>
      </c>
      <c r="X39" s="106">
        <f t="shared" si="26"/>
        <v>1279.98</v>
      </c>
      <c r="Y39" s="106">
        <f t="shared" si="26"/>
        <v>1319.1350000000002</v>
      </c>
      <c r="Z39" s="106">
        <f t="shared" si="26"/>
        <v>1329.058</v>
      </c>
      <c r="AA39" s="106">
        <f t="shared" si="26"/>
        <v>1359.355</v>
      </c>
      <c r="AB39" s="106">
        <f t="shared" si="26"/>
        <v>1351.778</v>
      </c>
      <c r="AC39" s="106">
        <f t="shared" si="26"/>
        <v>1309.588</v>
      </c>
      <c r="AD39" s="106">
        <f t="shared" si="26"/>
        <v>1397.6410000000001</v>
      </c>
      <c r="AE39" s="106">
        <f t="shared" si="26"/>
        <v>1441.2349999999999</v>
      </c>
      <c r="AF39" s="106">
        <f t="shared" si="26"/>
        <v>1468.222</v>
      </c>
      <c r="AG39" s="106">
        <f t="shared" si="26"/>
        <v>1521.5430000000001</v>
      </c>
      <c r="AH39" s="106">
        <f t="shared" si="26"/>
        <v>1519.587</v>
      </c>
      <c r="AI39" s="106">
        <f t="shared" si="26"/>
        <v>1512.306</v>
      </c>
      <c r="AJ39" s="106">
        <f t="shared" si="26"/>
        <v>1461.9459999999999</v>
      </c>
      <c r="AK39" s="106">
        <f t="shared" si="26"/>
        <v>1387.8850000000002</v>
      </c>
      <c r="AL39" s="106">
        <f t="shared" si="26"/>
        <v>1401.7930000000001</v>
      </c>
      <c r="AM39" s="106">
        <f t="shared" si="26"/>
        <v>1387.8</v>
      </c>
      <c r="AN39" s="106">
        <f t="shared" si="26"/>
        <v>1396.377</v>
      </c>
      <c r="AO39" s="106">
        <f t="shared" ref="AO39:AT39" si="27">SUM(AO41:AO43)</f>
        <v>1389.6959999999999</v>
      </c>
      <c r="AP39" s="106">
        <f t="shared" si="27"/>
        <v>1397.8130000000001</v>
      </c>
      <c r="AQ39" s="106">
        <f t="shared" si="27"/>
        <v>1416</v>
      </c>
      <c r="AR39" s="106">
        <f t="shared" si="27"/>
        <v>1483.9</v>
      </c>
      <c r="AS39" s="106">
        <f t="shared" si="27"/>
        <v>1544.1</v>
      </c>
      <c r="AT39" s="106">
        <f t="shared" si="27"/>
        <v>1491.5</v>
      </c>
      <c r="AU39" s="106">
        <f>SUM(AU41:AU43)</f>
        <v>1657.0140000000001</v>
      </c>
      <c r="AV39" s="106">
        <f>SUM(AV41:AV43)</f>
        <v>1656.8</v>
      </c>
      <c r="AW39" s="106">
        <f t="shared" ref="AW39:BF39" si="28">SUM(AW41:AW44)</f>
        <v>1785.953</v>
      </c>
      <c r="AX39" s="106">
        <f t="shared" si="28"/>
        <v>1786.2850000000001</v>
      </c>
      <c r="AY39" s="106">
        <f t="shared" si="28"/>
        <v>1800.568</v>
      </c>
      <c r="AZ39" s="106">
        <f t="shared" si="28"/>
        <v>1904.4159999999999</v>
      </c>
      <c r="BA39" s="106">
        <f t="shared" si="28"/>
        <v>1908.8790000000001</v>
      </c>
      <c r="BB39" s="106">
        <f t="shared" si="28"/>
        <v>2023.4</v>
      </c>
      <c r="BC39" s="106">
        <f t="shared" si="28"/>
        <v>2094.2370000000001</v>
      </c>
      <c r="BD39" s="106">
        <f t="shared" si="28"/>
        <v>2044.0650000000003</v>
      </c>
      <c r="BE39" s="106">
        <f t="shared" si="28"/>
        <v>2009.3959999999997</v>
      </c>
      <c r="BF39" s="106">
        <f t="shared" si="28"/>
        <v>2660.1059999999998</v>
      </c>
      <c r="BG39" s="106">
        <f>SUM(BG41:BG44)</f>
        <v>2776.1559999999999</v>
      </c>
      <c r="BH39" s="106">
        <f>SUM(BH41:BH44)</f>
        <v>2836.4830000000002</v>
      </c>
      <c r="BI39" s="106">
        <f>SUM(BI41:BI44)</f>
        <v>2955.3900000000003</v>
      </c>
      <c r="BJ39" s="106">
        <f>SUM(BJ41:BJ44)</f>
        <v>3353.45</v>
      </c>
      <c r="BK39" s="106">
        <f>SUM(BK41:BK44)</f>
        <v>3452.9960000000001</v>
      </c>
      <c r="BL39" s="109">
        <f t="shared" ref="BL39:BU39" si="29">SUM(BL40:BL44)</f>
        <v>3517.7799999999997</v>
      </c>
      <c r="BM39" s="109">
        <f t="shared" si="29"/>
        <v>3535.3999999999996</v>
      </c>
      <c r="BN39" s="109">
        <f t="shared" si="29"/>
        <v>3530.0320000000002</v>
      </c>
      <c r="BO39" s="109">
        <f t="shared" si="29"/>
        <v>3615.377</v>
      </c>
      <c r="BP39" s="109">
        <f t="shared" si="29"/>
        <v>3684.0980000000004</v>
      </c>
      <c r="BQ39" s="109">
        <f t="shared" si="29"/>
        <v>3812.2330000000002</v>
      </c>
      <c r="BR39" s="109">
        <f t="shared" si="29"/>
        <v>4119.79</v>
      </c>
      <c r="BS39" s="109">
        <f t="shared" si="29"/>
        <v>4042.8310000000001</v>
      </c>
      <c r="BT39" s="109">
        <f t="shared" si="29"/>
        <v>4059.3889999999997</v>
      </c>
      <c r="BU39" s="109">
        <f t="shared" si="29"/>
        <v>4052.9520000000002</v>
      </c>
      <c r="BV39" s="55"/>
      <c r="BW39" s="106">
        <f>SUM(BW41:BW43)</f>
        <v>131.10999999999999</v>
      </c>
      <c r="BX39" s="106">
        <f t="shared" ref="BX39:CD39" si="30">SUM(BX41:BX43)</f>
        <v>201.84300000000002</v>
      </c>
      <c r="BY39" s="106">
        <f t="shared" si="30"/>
        <v>249</v>
      </c>
      <c r="BZ39" s="106">
        <f t="shared" si="30"/>
        <v>430.916</v>
      </c>
      <c r="CA39" s="106">
        <f t="shared" si="30"/>
        <v>764.95399999999995</v>
      </c>
      <c r="CB39" s="106">
        <f t="shared" si="30"/>
        <v>1213.3440000000001</v>
      </c>
      <c r="CC39" s="106">
        <f t="shared" si="30"/>
        <v>1359.355</v>
      </c>
      <c r="CD39" s="106">
        <f t="shared" si="30"/>
        <v>1441.2349999999999</v>
      </c>
      <c r="CE39" s="106">
        <f>SUM(CE41:CE43)</f>
        <v>1512.306</v>
      </c>
      <c r="CF39" s="106">
        <f>SUM(CF41:CF43)</f>
        <v>1387.8</v>
      </c>
      <c r="CG39" s="106">
        <f>SUM(CG41:CG43)</f>
        <v>1416</v>
      </c>
      <c r="CH39" s="106">
        <f>AU39</f>
        <v>1657.0140000000001</v>
      </c>
      <c r="CI39" s="106">
        <f>AY39</f>
        <v>1800.568</v>
      </c>
      <c r="CJ39" s="106">
        <f>BC39</f>
        <v>2094.2370000000001</v>
      </c>
      <c r="CK39" s="106">
        <f>BG39</f>
        <v>2776.1559999999999</v>
      </c>
      <c r="CL39" s="106">
        <f t="shared" si="11"/>
        <v>3452.9960000000001</v>
      </c>
      <c r="CM39" s="106">
        <f t="shared" si="8"/>
        <v>3615.377</v>
      </c>
      <c r="CN39" s="106">
        <f t="shared" si="23"/>
        <v>4042.8310000000001</v>
      </c>
      <c r="CO39" s="206"/>
    </row>
    <row r="40" spans="1:98" x14ac:dyDescent="0.35">
      <c r="B40" s="40" t="str">
        <f>IF(Control!$D$5=1,"Investment property","Propriedades para investimento")</f>
        <v>Propriedades para investimento</v>
      </c>
      <c r="C40" s="110">
        <v>0</v>
      </c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10">
        <v>0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B40" s="110">
        <v>0</v>
      </c>
      <c r="AC40" s="110">
        <v>0</v>
      </c>
      <c r="AD40" s="110">
        <v>0</v>
      </c>
      <c r="AE40" s="110">
        <v>0</v>
      </c>
      <c r="AF40" s="110">
        <v>0</v>
      </c>
      <c r="AG40" s="110">
        <v>0</v>
      </c>
      <c r="AH40" s="110">
        <v>0</v>
      </c>
      <c r="AI40" s="110">
        <v>0</v>
      </c>
      <c r="AJ40" s="110">
        <v>0</v>
      </c>
      <c r="AK40" s="110">
        <v>0</v>
      </c>
      <c r="AL40" s="110">
        <v>0</v>
      </c>
      <c r="AM40" s="110">
        <v>0</v>
      </c>
      <c r="AN40" s="110">
        <v>0</v>
      </c>
      <c r="AO40" s="110">
        <v>0</v>
      </c>
      <c r="AP40" s="110">
        <v>0</v>
      </c>
      <c r="AQ40" s="110">
        <v>0</v>
      </c>
      <c r="AR40" s="110">
        <v>0</v>
      </c>
      <c r="AS40" s="110">
        <v>0</v>
      </c>
      <c r="AT40" s="110">
        <v>0</v>
      </c>
      <c r="AU40" s="110">
        <v>0</v>
      </c>
      <c r="AV40" s="110">
        <v>0</v>
      </c>
      <c r="AW40" s="110">
        <v>0</v>
      </c>
      <c r="AX40" s="110">
        <v>0</v>
      </c>
      <c r="AY40" s="110">
        <v>0</v>
      </c>
      <c r="AZ40" s="110">
        <v>0</v>
      </c>
      <c r="BA40" s="110">
        <v>0</v>
      </c>
      <c r="BB40" s="110">
        <v>0</v>
      </c>
      <c r="BC40" s="110">
        <v>0</v>
      </c>
      <c r="BD40" s="110">
        <v>0</v>
      </c>
      <c r="BE40" s="110">
        <v>0</v>
      </c>
      <c r="BF40" s="110">
        <v>0</v>
      </c>
      <c r="BG40" s="110">
        <v>0</v>
      </c>
      <c r="BH40" s="110">
        <v>0</v>
      </c>
      <c r="BI40" s="110">
        <v>0</v>
      </c>
      <c r="BJ40" s="110">
        <v>0</v>
      </c>
      <c r="BK40" s="110">
        <v>0</v>
      </c>
      <c r="BL40" s="58">
        <v>31.6</v>
      </c>
      <c r="BM40" s="58">
        <v>31.6</v>
      </c>
      <c r="BN40" s="58">
        <v>29.483000000000001</v>
      </c>
      <c r="BO40" s="58">
        <v>27.873000000000001</v>
      </c>
      <c r="BP40" s="58">
        <v>52.231999999999999</v>
      </c>
      <c r="BQ40" s="58">
        <v>27.873000000000001</v>
      </c>
      <c r="BR40" s="58">
        <v>27.873000000000001</v>
      </c>
      <c r="BS40" s="58">
        <v>91.728999999999999</v>
      </c>
      <c r="BT40" s="58">
        <v>89.447999999999993</v>
      </c>
      <c r="BU40" s="58">
        <v>90.555999999999997</v>
      </c>
      <c r="BV40" s="55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58"/>
      <c r="CM40" s="58">
        <f t="shared" si="8"/>
        <v>27.873000000000001</v>
      </c>
      <c r="CN40" s="58">
        <f t="shared" si="23"/>
        <v>91.728999999999999</v>
      </c>
      <c r="CO40" s="206"/>
      <c r="CP40" s="6"/>
      <c r="CT40" s="48"/>
    </row>
    <row r="41" spans="1:98" x14ac:dyDescent="0.35">
      <c r="B41" s="40" t="str">
        <f>IF(Control!$D$5=1,"Investments","Investimentos")</f>
        <v>Investimentos</v>
      </c>
      <c r="C41" s="110">
        <v>35.683</v>
      </c>
      <c r="D41" s="110">
        <v>33.728000000000002</v>
      </c>
      <c r="E41" s="58" t="s">
        <v>2</v>
      </c>
      <c r="F41" s="58" t="s">
        <v>2</v>
      </c>
      <c r="G41" s="110">
        <v>38.508000000000003</v>
      </c>
      <c r="H41" s="110">
        <v>35.597000000000001</v>
      </c>
      <c r="I41" s="110">
        <v>35.170999999999999</v>
      </c>
      <c r="J41" s="110">
        <v>34.487000000000002</v>
      </c>
      <c r="K41" s="110">
        <v>62.167000000000002</v>
      </c>
      <c r="L41" s="110">
        <v>61.575000000000003</v>
      </c>
      <c r="M41" s="110">
        <v>67.128</v>
      </c>
      <c r="N41" s="110">
        <v>67.614999999999995</v>
      </c>
      <c r="O41" s="110">
        <v>14.670999999999999</v>
      </c>
      <c r="P41" s="110">
        <v>13.571</v>
      </c>
      <c r="Q41" s="110">
        <v>12.471</v>
      </c>
      <c r="R41" s="110">
        <v>13.909000000000001</v>
      </c>
      <c r="S41" s="110">
        <v>9.7949999999999999</v>
      </c>
      <c r="T41" s="110">
        <v>11.847</v>
      </c>
      <c r="U41" s="110">
        <v>12.204000000000001</v>
      </c>
      <c r="V41" s="110">
        <v>13.711</v>
      </c>
      <c r="W41" s="110">
        <v>14.411</v>
      </c>
      <c r="X41" s="110">
        <v>15.17</v>
      </c>
      <c r="Y41" s="110">
        <v>17.695</v>
      </c>
      <c r="Z41" s="110">
        <v>16.917999999999999</v>
      </c>
      <c r="AA41" s="110">
        <v>16.09</v>
      </c>
      <c r="AB41" s="110">
        <v>15.371</v>
      </c>
      <c r="AC41" s="110">
        <v>15.654999999999999</v>
      </c>
      <c r="AD41" s="110">
        <v>18.137</v>
      </c>
      <c r="AE41" s="110">
        <v>20.271000000000001</v>
      </c>
      <c r="AF41" s="110">
        <v>21.036000000000001</v>
      </c>
      <c r="AG41" s="110">
        <v>24.03</v>
      </c>
      <c r="AH41" s="110">
        <v>23.41</v>
      </c>
      <c r="AI41" s="110">
        <v>20.936</v>
      </c>
      <c r="AJ41" s="110">
        <v>19.736999999999998</v>
      </c>
      <c r="AK41" s="110">
        <v>18.306000000000001</v>
      </c>
      <c r="AL41" s="110">
        <v>18.382999999999999</v>
      </c>
      <c r="AM41" s="110">
        <v>27.3</v>
      </c>
      <c r="AN41" s="110">
        <v>27.643999999999998</v>
      </c>
      <c r="AO41" s="110">
        <v>27.228000000000002</v>
      </c>
      <c r="AP41" s="110">
        <v>27.332999999999998</v>
      </c>
      <c r="AQ41" s="110">
        <v>26.7</v>
      </c>
      <c r="AR41" s="110">
        <v>29.8</v>
      </c>
      <c r="AS41" s="110">
        <v>33.700000000000003</v>
      </c>
      <c r="AT41" s="110">
        <v>31.2</v>
      </c>
      <c r="AU41" s="110">
        <v>29.879000000000001</v>
      </c>
      <c r="AV41" s="110">
        <v>31</v>
      </c>
      <c r="AW41" s="110">
        <v>30.567</v>
      </c>
      <c r="AX41" s="110">
        <v>30.238</v>
      </c>
      <c r="AY41" s="110">
        <v>32.981000000000002</v>
      </c>
      <c r="AZ41" s="110">
        <v>39.631999999999998</v>
      </c>
      <c r="BA41" s="110">
        <v>38.847999999999999</v>
      </c>
      <c r="BB41" s="110">
        <v>36.481000000000002</v>
      </c>
      <c r="BC41" s="110">
        <v>38.048999999999999</v>
      </c>
      <c r="BD41" s="110">
        <v>36.115000000000002</v>
      </c>
      <c r="BE41" s="110">
        <v>35.822000000000003</v>
      </c>
      <c r="BF41" s="110">
        <v>38.984000000000002</v>
      </c>
      <c r="BG41" s="110">
        <v>34.746000000000002</v>
      </c>
      <c r="BH41" s="110">
        <v>31.4</v>
      </c>
      <c r="BI41" s="110">
        <v>35.854999999999997</v>
      </c>
      <c r="BJ41" s="110">
        <v>35.677999999999997</v>
      </c>
      <c r="BK41" s="110">
        <v>34.703000000000003</v>
      </c>
      <c r="BL41" s="58">
        <v>47.680999999999997</v>
      </c>
      <c r="BM41" s="58">
        <v>48.4</v>
      </c>
      <c r="BN41" s="58">
        <v>47.746000000000002</v>
      </c>
      <c r="BO41" s="58">
        <v>49.292000000000002</v>
      </c>
      <c r="BP41" s="58">
        <v>27.873000000000001</v>
      </c>
      <c r="BQ41" s="58">
        <v>88.683000000000007</v>
      </c>
      <c r="BR41" s="58">
        <v>290.608</v>
      </c>
      <c r="BS41" s="58">
        <v>2512.8110000000001</v>
      </c>
      <c r="BT41" s="58">
        <v>2549.5479999999998</v>
      </c>
      <c r="BU41" s="58">
        <v>2570.7260000000001</v>
      </c>
      <c r="BV41" s="55"/>
      <c r="BW41" s="110">
        <v>35.683</v>
      </c>
      <c r="BX41" s="110">
        <v>38.508000000000003</v>
      </c>
      <c r="BY41" s="110">
        <v>62.167000000000002</v>
      </c>
      <c r="BZ41" s="110">
        <v>14.670999999999999</v>
      </c>
      <c r="CA41" s="110">
        <v>9.7949999999999999</v>
      </c>
      <c r="CB41" s="110">
        <v>14.411</v>
      </c>
      <c r="CC41" s="110">
        <v>16.09</v>
      </c>
      <c r="CD41" s="110">
        <v>20.271000000000001</v>
      </c>
      <c r="CE41" s="110">
        <v>20.936</v>
      </c>
      <c r="CF41" s="110">
        <v>27.3</v>
      </c>
      <c r="CG41" s="110">
        <f>AQ41</f>
        <v>26.7</v>
      </c>
      <c r="CH41" s="110">
        <f>AU41</f>
        <v>29.879000000000001</v>
      </c>
      <c r="CI41" s="110">
        <f>AY41</f>
        <v>32.981000000000002</v>
      </c>
      <c r="CJ41" s="110">
        <f>BC41</f>
        <v>38.048999999999999</v>
      </c>
      <c r="CK41" s="110">
        <f>BG41</f>
        <v>34.746000000000002</v>
      </c>
      <c r="CL41" s="58">
        <f t="shared" si="11"/>
        <v>34.703000000000003</v>
      </c>
      <c r="CM41" s="58">
        <f t="shared" si="8"/>
        <v>49.292000000000002</v>
      </c>
      <c r="CN41" s="58">
        <f t="shared" si="23"/>
        <v>2512.8110000000001</v>
      </c>
      <c r="CO41" s="206"/>
      <c r="CP41" s="6"/>
      <c r="CT41" s="48"/>
    </row>
    <row r="42" spans="1:98" x14ac:dyDescent="0.35">
      <c r="B42" s="40" t="str">
        <f>IF(Control!$D$5=1,"Plant, Property &amp; Equipment","Imobilizado Líquido")</f>
        <v>Imobilizado Líquido</v>
      </c>
      <c r="C42" s="110">
        <v>94.697000000000003</v>
      </c>
      <c r="D42" s="110">
        <v>93.447999999999993</v>
      </c>
      <c r="E42" s="58" t="s">
        <v>2</v>
      </c>
      <c r="F42" s="58" t="s">
        <v>2</v>
      </c>
      <c r="G42" s="110">
        <v>162.429</v>
      </c>
      <c r="H42" s="110">
        <v>150.19499999999999</v>
      </c>
      <c r="I42" s="110">
        <v>152.779</v>
      </c>
      <c r="J42" s="110">
        <v>157.982</v>
      </c>
      <c r="K42" s="110">
        <v>183.23</v>
      </c>
      <c r="L42" s="110">
        <v>196.905</v>
      </c>
      <c r="M42" s="110">
        <v>203.089</v>
      </c>
      <c r="N42" s="110">
        <v>218.036</v>
      </c>
      <c r="O42" s="110">
        <v>355.392</v>
      </c>
      <c r="P42" s="110">
        <v>484.85500000000002</v>
      </c>
      <c r="Q42" s="110">
        <v>463.608</v>
      </c>
      <c r="R42" s="110">
        <v>531.84100000000001</v>
      </c>
      <c r="S42" s="110">
        <v>568.28499999999997</v>
      </c>
      <c r="T42" s="110">
        <v>555.16899999999998</v>
      </c>
      <c r="U42" s="110">
        <v>599.447</v>
      </c>
      <c r="V42" s="110">
        <v>656.56700000000001</v>
      </c>
      <c r="W42" s="110">
        <v>690.30799999999999</v>
      </c>
      <c r="X42" s="110">
        <v>754.58799999999997</v>
      </c>
      <c r="Y42" s="110">
        <v>767.22400000000005</v>
      </c>
      <c r="Z42" s="110">
        <v>770.87800000000004</v>
      </c>
      <c r="AA42" s="110">
        <v>821.322</v>
      </c>
      <c r="AB42" s="110">
        <v>811.11099999999999</v>
      </c>
      <c r="AC42" s="110">
        <v>773.41300000000001</v>
      </c>
      <c r="AD42" s="110">
        <v>802.53499999999997</v>
      </c>
      <c r="AE42" s="110">
        <v>830.84699999999998</v>
      </c>
      <c r="AF42" s="110">
        <v>864.26400000000001</v>
      </c>
      <c r="AG42" s="110">
        <v>901.51499999999999</v>
      </c>
      <c r="AH42" s="110">
        <v>902.649</v>
      </c>
      <c r="AI42" s="110">
        <v>897.61900000000003</v>
      </c>
      <c r="AJ42" s="110">
        <v>860.00300000000004</v>
      </c>
      <c r="AK42" s="110">
        <v>803.96900000000005</v>
      </c>
      <c r="AL42" s="110">
        <v>812.55899999999997</v>
      </c>
      <c r="AM42" s="110">
        <v>797.7</v>
      </c>
      <c r="AN42" s="110">
        <v>802.74300000000005</v>
      </c>
      <c r="AO42" s="110">
        <v>799.31799999999998</v>
      </c>
      <c r="AP42" s="110">
        <v>802.44</v>
      </c>
      <c r="AQ42" s="110">
        <v>823</v>
      </c>
      <c r="AR42" s="110">
        <v>865.7</v>
      </c>
      <c r="AS42" s="110">
        <v>913.6</v>
      </c>
      <c r="AT42" s="110">
        <v>873.6</v>
      </c>
      <c r="AU42" s="110">
        <v>971.82899999999995</v>
      </c>
      <c r="AV42" s="110">
        <v>976.5</v>
      </c>
      <c r="AW42" s="110">
        <v>1004.867</v>
      </c>
      <c r="AX42" s="110">
        <v>1001.434</v>
      </c>
      <c r="AY42" s="110">
        <v>1011.694</v>
      </c>
      <c r="AZ42" s="110">
        <v>1066.367</v>
      </c>
      <c r="BA42" s="110">
        <v>1067.3630000000001</v>
      </c>
      <c r="BB42" s="110">
        <v>1109.558</v>
      </c>
      <c r="BC42" s="110">
        <v>1170.5450000000001</v>
      </c>
      <c r="BD42" s="110">
        <v>1137.1300000000001</v>
      </c>
      <c r="BE42" s="110">
        <v>1108.9269999999999</v>
      </c>
      <c r="BF42" s="110">
        <v>1565.818</v>
      </c>
      <c r="BG42" s="110">
        <v>1595.529</v>
      </c>
      <c r="BH42" s="110">
        <v>1577.0920000000001</v>
      </c>
      <c r="BI42" s="110">
        <v>1671.5930000000001</v>
      </c>
      <c r="BJ42" s="110">
        <v>1974.1120000000001</v>
      </c>
      <c r="BK42" s="110">
        <v>2087.614</v>
      </c>
      <c r="BL42" s="58">
        <v>2115.9520000000002</v>
      </c>
      <c r="BM42" s="58">
        <v>2104.9</v>
      </c>
      <c r="BN42" s="58">
        <v>2114.4340000000002</v>
      </c>
      <c r="BO42" s="58">
        <v>2180.837</v>
      </c>
      <c r="BP42" s="58">
        <v>2230.558</v>
      </c>
      <c r="BQ42" s="86">
        <v>2304.8220000000001</v>
      </c>
      <c r="BR42" s="86">
        <v>2387.3960000000002</v>
      </c>
      <c r="BS42" s="86">
        <v>1155.9760000000001</v>
      </c>
      <c r="BT42" s="86">
        <v>1147.748</v>
      </c>
      <c r="BU42" s="86">
        <v>1132.808</v>
      </c>
      <c r="BV42" s="55"/>
      <c r="BW42" s="110">
        <v>94.697000000000003</v>
      </c>
      <c r="BX42" s="110">
        <v>162.429</v>
      </c>
      <c r="BY42" s="110">
        <v>183.23</v>
      </c>
      <c r="BZ42" s="110">
        <v>355.392</v>
      </c>
      <c r="CA42" s="110">
        <v>568.28499999999997</v>
      </c>
      <c r="CB42" s="110">
        <v>690.30799999999999</v>
      </c>
      <c r="CC42" s="110">
        <v>821.322</v>
      </c>
      <c r="CD42" s="110">
        <v>830.84699999999998</v>
      </c>
      <c r="CE42" s="110">
        <v>897.61900000000003</v>
      </c>
      <c r="CF42" s="110">
        <v>797.7</v>
      </c>
      <c r="CG42" s="110">
        <f>AQ42</f>
        <v>823</v>
      </c>
      <c r="CH42" s="110">
        <f>AU42</f>
        <v>971.82899999999995</v>
      </c>
      <c r="CI42" s="110">
        <f>AY42</f>
        <v>1011.694</v>
      </c>
      <c r="CJ42" s="110">
        <f>BC42</f>
        <v>1170.5450000000001</v>
      </c>
      <c r="CK42" s="110">
        <f>BG42</f>
        <v>1595.529</v>
      </c>
      <c r="CL42" s="58">
        <f t="shared" si="11"/>
        <v>2087.614</v>
      </c>
      <c r="CM42" s="58">
        <f t="shared" si="8"/>
        <v>2180.837</v>
      </c>
      <c r="CN42" s="58">
        <f t="shared" si="23"/>
        <v>1155.9760000000001</v>
      </c>
      <c r="CO42" s="206"/>
      <c r="CP42" s="6"/>
      <c r="CT42" s="48"/>
    </row>
    <row r="43" spans="1:98" x14ac:dyDescent="0.35">
      <c r="B43" s="40" t="str">
        <f>IF(Control!$D$5=1,"Intangible Assets","Ativo Intangível")</f>
        <v>Ativo Intangível</v>
      </c>
      <c r="C43" s="110">
        <v>0.73</v>
      </c>
      <c r="D43" s="110">
        <v>0.73599999999999999</v>
      </c>
      <c r="E43" s="58" t="s">
        <v>2</v>
      </c>
      <c r="F43" s="58" t="s">
        <v>2</v>
      </c>
      <c r="G43" s="110">
        <v>0.90600000000000003</v>
      </c>
      <c r="H43" s="110">
        <v>0.89</v>
      </c>
      <c r="I43" s="110">
        <v>0.93200000000000005</v>
      </c>
      <c r="J43" s="110">
        <v>0.95199999999999996</v>
      </c>
      <c r="K43" s="110">
        <v>3.6030000000000002</v>
      </c>
      <c r="L43" s="110">
        <v>3.5390000000000001</v>
      </c>
      <c r="M43" s="110">
        <v>3.6970000000000001</v>
      </c>
      <c r="N43" s="110">
        <v>3.8</v>
      </c>
      <c r="O43" s="110">
        <v>60.853000000000002</v>
      </c>
      <c r="P43" s="110">
        <v>95.95</v>
      </c>
      <c r="Q43" s="110">
        <v>116.43899999999999</v>
      </c>
      <c r="R43" s="110">
        <v>208.28100000000001</v>
      </c>
      <c r="S43" s="110">
        <v>186.874</v>
      </c>
      <c r="T43" s="110">
        <v>233.79599999999999</v>
      </c>
      <c r="U43" s="110">
        <v>207.119</v>
      </c>
      <c r="V43" s="110">
        <v>567.64099999999996</v>
      </c>
      <c r="W43" s="110">
        <v>508.625</v>
      </c>
      <c r="X43" s="110">
        <v>510.22199999999998</v>
      </c>
      <c r="Y43" s="110">
        <v>534.21600000000001</v>
      </c>
      <c r="Z43" s="110">
        <v>541.26199999999994</v>
      </c>
      <c r="AA43" s="110">
        <v>521.94299999999998</v>
      </c>
      <c r="AB43" s="110">
        <v>525.29600000000005</v>
      </c>
      <c r="AC43" s="110">
        <v>520.52</v>
      </c>
      <c r="AD43" s="110">
        <v>576.96900000000005</v>
      </c>
      <c r="AE43" s="110">
        <v>590.11699999999996</v>
      </c>
      <c r="AF43" s="110">
        <v>582.92200000000003</v>
      </c>
      <c r="AG43" s="110">
        <v>595.99800000000005</v>
      </c>
      <c r="AH43" s="110">
        <v>593.52800000000002</v>
      </c>
      <c r="AI43" s="110">
        <v>593.75099999999998</v>
      </c>
      <c r="AJ43" s="110">
        <v>582.20600000000002</v>
      </c>
      <c r="AK43" s="110">
        <v>565.61</v>
      </c>
      <c r="AL43" s="110">
        <v>570.851</v>
      </c>
      <c r="AM43" s="110">
        <v>562.79999999999995</v>
      </c>
      <c r="AN43" s="110">
        <v>565.99</v>
      </c>
      <c r="AO43" s="110">
        <v>563.15</v>
      </c>
      <c r="AP43" s="110">
        <v>568.04</v>
      </c>
      <c r="AQ43" s="110">
        <v>566.29999999999995</v>
      </c>
      <c r="AR43" s="110">
        <v>588.4</v>
      </c>
      <c r="AS43" s="110">
        <v>596.79999999999995</v>
      </c>
      <c r="AT43" s="110">
        <v>586.70000000000005</v>
      </c>
      <c r="AU43" s="110">
        <v>655.30600000000004</v>
      </c>
      <c r="AV43" s="110">
        <v>649.29999999999995</v>
      </c>
      <c r="AW43" s="110">
        <v>660.03499999999997</v>
      </c>
      <c r="AX43" s="110">
        <v>661.13300000000004</v>
      </c>
      <c r="AY43" s="110">
        <v>665.66600000000005</v>
      </c>
      <c r="AZ43" s="110">
        <v>708.31700000000001</v>
      </c>
      <c r="BA43" s="110">
        <v>708.71600000000001</v>
      </c>
      <c r="BB43" s="110">
        <v>703.46100000000001</v>
      </c>
      <c r="BC43" s="110">
        <v>717.74300000000005</v>
      </c>
      <c r="BD43" s="110">
        <v>702.02599999999995</v>
      </c>
      <c r="BE43" s="110">
        <v>688.971</v>
      </c>
      <c r="BF43" s="110">
        <v>900.91800000000001</v>
      </c>
      <c r="BG43" s="110">
        <v>984.928</v>
      </c>
      <c r="BH43" s="110">
        <v>1037.5170000000001</v>
      </c>
      <c r="BI43" s="110">
        <v>1051.8389999999999</v>
      </c>
      <c r="BJ43" s="110">
        <v>1144.4870000000001</v>
      </c>
      <c r="BK43" s="110">
        <v>1144.9000000000001</v>
      </c>
      <c r="BL43" s="58">
        <v>1141.347</v>
      </c>
      <c r="BM43" s="58">
        <v>1119.8</v>
      </c>
      <c r="BN43" s="58">
        <v>1112.8910000000001</v>
      </c>
      <c r="BO43" s="58">
        <v>1104.587</v>
      </c>
      <c r="BP43" s="58">
        <v>1119.7850000000001</v>
      </c>
      <c r="BQ43" s="58">
        <v>1145.454</v>
      </c>
      <c r="BR43" s="58">
        <v>1165.598</v>
      </c>
      <c r="BS43" s="58">
        <v>254.44200000000001</v>
      </c>
      <c r="BT43" s="58">
        <v>244.77199999999999</v>
      </c>
      <c r="BU43" s="58">
        <v>230.989</v>
      </c>
      <c r="BV43" s="55"/>
      <c r="BW43" s="110">
        <v>0.73</v>
      </c>
      <c r="BX43" s="110">
        <v>0.90600000000000003</v>
      </c>
      <c r="BY43" s="110">
        <v>3.6030000000000002</v>
      </c>
      <c r="BZ43" s="110">
        <v>60.853000000000002</v>
      </c>
      <c r="CA43" s="110">
        <v>186.874</v>
      </c>
      <c r="CB43" s="110">
        <v>508.625</v>
      </c>
      <c r="CC43" s="110">
        <v>521.94299999999998</v>
      </c>
      <c r="CD43" s="110">
        <v>590.11699999999996</v>
      </c>
      <c r="CE43" s="110">
        <v>593.75099999999998</v>
      </c>
      <c r="CF43" s="110">
        <v>562.79999999999995</v>
      </c>
      <c r="CG43" s="110">
        <f>AQ43</f>
        <v>566.29999999999995</v>
      </c>
      <c r="CH43" s="110">
        <f>AU43</f>
        <v>655.30600000000004</v>
      </c>
      <c r="CI43" s="110">
        <f>AY43</f>
        <v>665.66600000000005</v>
      </c>
      <c r="CJ43" s="110">
        <f>BC43</f>
        <v>717.74300000000005</v>
      </c>
      <c r="CK43" s="110">
        <f>BG43</f>
        <v>984.928</v>
      </c>
      <c r="CL43" s="58">
        <f t="shared" si="11"/>
        <v>1144.9000000000001</v>
      </c>
      <c r="CM43" s="58">
        <f t="shared" si="8"/>
        <v>1104.587</v>
      </c>
      <c r="CN43" s="58">
        <f t="shared" si="23"/>
        <v>254.44200000000001</v>
      </c>
      <c r="CO43" s="206"/>
      <c r="CP43" s="6"/>
      <c r="CT43" s="48"/>
    </row>
    <row r="44" spans="1:98" x14ac:dyDescent="0.35">
      <c r="B44" s="40" t="str">
        <f>IF(Control!$D$5=1,"Right of Use Assets","Ativos de Direito de Uso")</f>
        <v>Ativos de Direito de Uso</v>
      </c>
      <c r="C44" s="110"/>
      <c r="D44" s="110"/>
      <c r="E44" s="58"/>
      <c r="F44" s="58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>
        <v>90.483999999999995</v>
      </c>
      <c r="AX44" s="110">
        <v>93.48</v>
      </c>
      <c r="AY44" s="110">
        <v>90.227000000000004</v>
      </c>
      <c r="AZ44" s="110">
        <v>90.1</v>
      </c>
      <c r="BA44" s="110">
        <v>93.951999999999998</v>
      </c>
      <c r="BB44" s="110">
        <v>173.9</v>
      </c>
      <c r="BC44" s="110">
        <v>167.9</v>
      </c>
      <c r="BD44" s="110">
        <v>168.79400000000001</v>
      </c>
      <c r="BE44" s="110">
        <v>175.67599999999999</v>
      </c>
      <c r="BF44" s="110">
        <v>154.386</v>
      </c>
      <c r="BG44" s="110">
        <v>160.953</v>
      </c>
      <c r="BH44" s="110">
        <v>190.47399999999999</v>
      </c>
      <c r="BI44" s="110">
        <v>196.10300000000001</v>
      </c>
      <c r="BJ44" s="110">
        <v>199.173</v>
      </c>
      <c r="BK44" s="110">
        <v>185.779</v>
      </c>
      <c r="BL44" s="58">
        <v>181.2</v>
      </c>
      <c r="BM44" s="58">
        <v>230.7</v>
      </c>
      <c r="BN44" s="58">
        <v>225.47800000000001</v>
      </c>
      <c r="BO44" s="58">
        <v>252.78800000000001</v>
      </c>
      <c r="BP44" s="58">
        <v>253.65</v>
      </c>
      <c r="BQ44" s="58">
        <v>245.40100000000001</v>
      </c>
      <c r="BR44" s="58">
        <v>248.315</v>
      </c>
      <c r="BS44" s="58">
        <v>27.873000000000001</v>
      </c>
      <c r="BT44" s="58">
        <v>27.873000000000001</v>
      </c>
      <c r="BU44" s="58">
        <v>27.873000000000001</v>
      </c>
      <c r="BV44" s="55"/>
      <c r="BW44" s="110"/>
      <c r="BX44" s="110"/>
      <c r="BY44" s="110"/>
      <c r="BZ44" s="110"/>
      <c r="CA44" s="110"/>
      <c r="CB44" s="110"/>
      <c r="CC44" s="110"/>
      <c r="CD44" s="110"/>
      <c r="CE44" s="110"/>
      <c r="CF44" s="110"/>
      <c r="CG44" s="110"/>
      <c r="CH44" s="110"/>
      <c r="CI44" s="110"/>
      <c r="CJ44" s="110">
        <f>BC44</f>
        <v>167.9</v>
      </c>
      <c r="CK44" s="110">
        <f>BG44</f>
        <v>160.953</v>
      </c>
      <c r="CL44" s="58">
        <f t="shared" si="11"/>
        <v>185.779</v>
      </c>
      <c r="CM44" s="58">
        <f t="shared" si="8"/>
        <v>252.78800000000001</v>
      </c>
      <c r="CN44" s="58">
        <f t="shared" si="23"/>
        <v>27.873000000000001</v>
      </c>
      <c r="CO44" s="206"/>
      <c r="CP44" s="6"/>
      <c r="CT44" s="48"/>
    </row>
    <row r="45" spans="1:98" ht="6.65" customHeight="1" x14ac:dyDescent="0.35">
      <c r="B45" s="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55"/>
      <c r="BW45" s="110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0"/>
      <c r="CM45" s="110">
        <f t="shared" si="8"/>
        <v>0</v>
      </c>
      <c r="CN45" s="110">
        <f t="shared" si="23"/>
        <v>0</v>
      </c>
      <c r="CO45" s="206"/>
      <c r="CP45" s="6"/>
    </row>
    <row r="46" spans="1:98" s="6" customFormat="1" x14ac:dyDescent="0.35">
      <c r="A46" s="5"/>
      <c r="B46" s="42" t="str">
        <f>IF(Control!$D$5=1,"Total Assets","Ativo Total")</f>
        <v>Ativo Total</v>
      </c>
      <c r="C46" s="112">
        <f>C9+C25+C39</f>
        <v>449.452</v>
      </c>
      <c r="D46" s="112">
        <f>D9+D25+D39</f>
        <v>800.92400000000009</v>
      </c>
      <c r="E46" s="112" t="s">
        <v>2</v>
      </c>
      <c r="F46" s="112" t="s">
        <v>2</v>
      </c>
      <c r="G46" s="112">
        <f t="shared" ref="G46:AL46" si="31">G9+G25+G39</f>
        <v>747.58999999999992</v>
      </c>
      <c r="H46" s="112">
        <f t="shared" si="31"/>
        <v>912.13600000000008</v>
      </c>
      <c r="I46" s="112">
        <f t="shared" si="31"/>
        <v>763.4799999999999</v>
      </c>
      <c r="J46" s="112">
        <f t="shared" si="31"/>
        <v>709.14499999999998</v>
      </c>
      <c r="K46" s="112">
        <f t="shared" si="31"/>
        <v>958.34499999999991</v>
      </c>
      <c r="L46" s="112">
        <f t="shared" si="31"/>
        <v>1195.3290000000002</v>
      </c>
      <c r="M46" s="112">
        <f t="shared" si="31"/>
        <v>1121.2710000000002</v>
      </c>
      <c r="N46" s="112">
        <f t="shared" si="31"/>
        <v>1075.6610000000001</v>
      </c>
      <c r="O46" s="112">
        <f t="shared" si="31"/>
        <v>1115.1869999999999</v>
      </c>
      <c r="P46" s="112">
        <f t="shared" si="31"/>
        <v>1628.087</v>
      </c>
      <c r="Q46" s="112">
        <f t="shared" si="31"/>
        <v>1599.1669999999999</v>
      </c>
      <c r="R46" s="112">
        <f t="shared" si="31"/>
        <v>1877.6669999999999</v>
      </c>
      <c r="S46" s="112">
        <f t="shared" si="31"/>
        <v>2029.0559999999998</v>
      </c>
      <c r="T46" s="112">
        <f t="shared" si="31"/>
        <v>2440.7129999999997</v>
      </c>
      <c r="U46" s="112">
        <f t="shared" si="31"/>
        <v>2323.6819999999998</v>
      </c>
      <c r="V46" s="112">
        <f t="shared" si="31"/>
        <v>2773.0919999999996</v>
      </c>
      <c r="W46" s="112">
        <f t="shared" si="31"/>
        <v>2737.3820000000001</v>
      </c>
      <c r="X46" s="112">
        <f t="shared" si="31"/>
        <v>3170.8429999999998</v>
      </c>
      <c r="Y46" s="112">
        <f t="shared" si="31"/>
        <v>3227.6279999999997</v>
      </c>
      <c r="Z46" s="112">
        <f t="shared" si="31"/>
        <v>3083.268</v>
      </c>
      <c r="AA46" s="112">
        <f t="shared" si="31"/>
        <v>3001.7820000000002</v>
      </c>
      <c r="AB46" s="112">
        <f t="shared" si="31"/>
        <v>3401.2640000000001</v>
      </c>
      <c r="AC46" s="112">
        <f t="shared" si="31"/>
        <v>3339.8450000000003</v>
      </c>
      <c r="AD46" s="112">
        <f t="shared" si="31"/>
        <v>3450.5640000000003</v>
      </c>
      <c r="AE46" s="112">
        <f t="shared" si="31"/>
        <v>3265.7579999999998</v>
      </c>
      <c r="AF46" s="112">
        <f t="shared" si="31"/>
        <v>3819.33</v>
      </c>
      <c r="AG46" s="112">
        <f t="shared" si="31"/>
        <v>3878.0860000000007</v>
      </c>
      <c r="AH46" s="112">
        <f t="shared" si="31"/>
        <v>3794.951</v>
      </c>
      <c r="AI46" s="112">
        <f t="shared" si="31"/>
        <v>3741.8039999999996</v>
      </c>
      <c r="AJ46" s="112">
        <f t="shared" si="31"/>
        <v>3998.915</v>
      </c>
      <c r="AK46" s="112">
        <f t="shared" si="31"/>
        <v>3859.5910000000003</v>
      </c>
      <c r="AL46" s="112">
        <f t="shared" si="31"/>
        <v>3756.491</v>
      </c>
      <c r="AM46" s="112">
        <f t="shared" ref="AM46:BN46" si="32">AM9+AM25+AM39</f>
        <v>3830.5999999999995</v>
      </c>
      <c r="AN46" s="112">
        <f t="shared" si="32"/>
        <v>3944.9249999999997</v>
      </c>
      <c r="AO46" s="112">
        <f t="shared" si="32"/>
        <v>3783.0449999999996</v>
      </c>
      <c r="AP46" s="112">
        <f t="shared" si="32"/>
        <v>3669.4530000000004</v>
      </c>
      <c r="AQ46" s="112">
        <f t="shared" si="32"/>
        <v>3781.2</v>
      </c>
      <c r="AR46" s="112">
        <f t="shared" si="32"/>
        <v>4427.2000000000007</v>
      </c>
      <c r="AS46" s="112">
        <f t="shared" si="32"/>
        <v>4394.7000000000007</v>
      </c>
      <c r="AT46" s="112">
        <f t="shared" si="32"/>
        <v>4317.2</v>
      </c>
      <c r="AU46" s="112">
        <f t="shared" si="32"/>
        <v>4436.7160000000003</v>
      </c>
      <c r="AV46" s="112">
        <f t="shared" si="32"/>
        <v>5651.5410000000002</v>
      </c>
      <c r="AW46" s="112">
        <f t="shared" si="32"/>
        <v>5390.0150000000003</v>
      </c>
      <c r="AX46" s="112">
        <f t="shared" si="32"/>
        <v>5174.7889999999998</v>
      </c>
      <c r="AY46" s="112">
        <f t="shared" si="32"/>
        <v>4809.3989999999994</v>
      </c>
      <c r="AZ46" s="112">
        <f t="shared" si="32"/>
        <v>7320.1390000000001</v>
      </c>
      <c r="BA46" s="112">
        <f t="shared" si="32"/>
        <v>6566.4219999999996</v>
      </c>
      <c r="BB46" s="112">
        <f t="shared" si="32"/>
        <v>6604.18</v>
      </c>
      <c r="BC46" s="112">
        <f t="shared" si="32"/>
        <v>6166.7780000000002</v>
      </c>
      <c r="BD46" s="112">
        <f t="shared" si="32"/>
        <v>7426.4670000000006</v>
      </c>
      <c r="BE46" s="112">
        <f t="shared" si="32"/>
        <v>6690.9279999999999</v>
      </c>
      <c r="BF46" s="112">
        <f t="shared" si="32"/>
        <v>8117.9779999999992</v>
      </c>
      <c r="BG46" s="112">
        <f t="shared" si="32"/>
        <v>7930.9589999999998</v>
      </c>
      <c r="BH46" s="112">
        <f t="shared" si="32"/>
        <v>8624.9179999999997</v>
      </c>
      <c r="BI46" s="112">
        <f t="shared" si="32"/>
        <v>8511.1811725299995</v>
      </c>
      <c r="BJ46" s="112">
        <f t="shared" si="32"/>
        <v>8560.3182089604052</v>
      </c>
      <c r="BK46" s="112">
        <f t="shared" si="32"/>
        <v>9213.8630000000012</v>
      </c>
      <c r="BL46" s="112">
        <f t="shared" si="32"/>
        <v>9938.4412463073313</v>
      </c>
      <c r="BM46" s="112">
        <f t="shared" si="32"/>
        <v>10533.242818870383</v>
      </c>
      <c r="BN46" s="112">
        <f t="shared" si="32"/>
        <v>10333.582</v>
      </c>
      <c r="BO46" s="112">
        <f t="shared" ref="BO46:BU46" si="33">BO9+BO25+BO39</f>
        <v>10621.357999999998</v>
      </c>
      <c r="BP46" s="112">
        <f t="shared" si="33"/>
        <v>11655.554</v>
      </c>
      <c r="BQ46" s="112">
        <f t="shared" si="33"/>
        <v>12083.225999999999</v>
      </c>
      <c r="BR46" s="112">
        <f t="shared" si="33"/>
        <v>11894.520999999999</v>
      </c>
      <c r="BS46" s="112">
        <f t="shared" si="33"/>
        <v>11106.595000000001</v>
      </c>
      <c r="BT46" s="112">
        <f t="shared" si="33"/>
        <v>12142.366999999998</v>
      </c>
      <c r="BU46" s="112">
        <f t="shared" si="33"/>
        <v>11340.162</v>
      </c>
      <c r="BV46" s="55"/>
      <c r="BW46" s="112">
        <f t="shared" ref="BW46:CI46" si="34">BW9+BW25+BW39</f>
        <v>449.452</v>
      </c>
      <c r="BX46" s="112">
        <f t="shared" si="34"/>
        <v>747.58999999999992</v>
      </c>
      <c r="BY46" s="112">
        <f t="shared" si="34"/>
        <v>958.34499999999991</v>
      </c>
      <c r="BZ46" s="112">
        <f t="shared" si="34"/>
        <v>1115.1869999999999</v>
      </c>
      <c r="CA46" s="112">
        <f t="shared" si="34"/>
        <v>2029.0559999999998</v>
      </c>
      <c r="CB46" s="112">
        <f t="shared" si="34"/>
        <v>2737.3820000000001</v>
      </c>
      <c r="CC46" s="112">
        <f t="shared" si="34"/>
        <v>3001.7820000000002</v>
      </c>
      <c r="CD46" s="112">
        <f t="shared" si="34"/>
        <v>3265.7579999999998</v>
      </c>
      <c r="CE46" s="112">
        <f t="shared" si="34"/>
        <v>3741.8039999999996</v>
      </c>
      <c r="CF46" s="112">
        <f t="shared" si="34"/>
        <v>3830.5999999999995</v>
      </c>
      <c r="CG46" s="112">
        <f t="shared" si="34"/>
        <v>3781.2</v>
      </c>
      <c r="CH46" s="112">
        <f t="shared" si="34"/>
        <v>4436.7160000000003</v>
      </c>
      <c r="CI46" s="112">
        <f t="shared" si="34"/>
        <v>4809.3989999999994</v>
      </c>
      <c r="CJ46" s="112">
        <f>BC46</f>
        <v>6166.7780000000002</v>
      </c>
      <c r="CK46" s="112">
        <f>BG46</f>
        <v>7930.9589999999998</v>
      </c>
      <c r="CL46" s="112">
        <f>BK46</f>
        <v>9213.8630000000012</v>
      </c>
      <c r="CM46" s="112">
        <f t="shared" si="8"/>
        <v>10621.357999999998</v>
      </c>
      <c r="CN46" s="112">
        <f t="shared" si="23"/>
        <v>11106.595000000001</v>
      </c>
      <c r="CO46" s="206"/>
      <c r="CT46" s="38"/>
    </row>
    <row r="47" spans="1:98" ht="6.75" customHeight="1" x14ac:dyDescent="0.35">
      <c r="A47" s="6"/>
      <c r="B47" s="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55"/>
      <c r="BW47" s="110"/>
      <c r="BX47" s="110"/>
      <c r="BY47" s="110"/>
      <c r="BZ47" s="110"/>
      <c r="CA47" s="110"/>
      <c r="CB47" s="110"/>
      <c r="CC47" s="110"/>
      <c r="CD47" s="110"/>
      <c r="CE47" s="110"/>
      <c r="CF47" s="110"/>
      <c r="CG47" s="110"/>
      <c r="CH47" s="110"/>
      <c r="CI47" s="110"/>
      <c r="CJ47" s="110"/>
      <c r="CK47" s="110"/>
      <c r="CL47" s="110"/>
      <c r="CM47" s="110"/>
      <c r="CN47" s="110"/>
      <c r="CO47" s="206"/>
      <c r="CP47" s="6"/>
    </row>
    <row r="48" spans="1:98" s="6" customFormat="1" x14ac:dyDescent="0.35">
      <c r="A48" s="5"/>
      <c r="B48" s="41" t="str">
        <f>IF(Control!$D$5=1,"Total Current Liabilities","Passivo Circulante")</f>
        <v>Passivo Circulante</v>
      </c>
      <c r="C48" s="106">
        <f>SUM(C49:C66)</f>
        <v>153.928</v>
      </c>
      <c r="D48" s="106">
        <f>SUM(D49:D66)</f>
        <v>483.62400000000002</v>
      </c>
      <c r="E48" s="109" t="s">
        <v>2</v>
      </c>
      <c r="F48" s="109" t="s">
        <v>2</v>
      </c>
      <c r="G48" s="106">
        <f t="shared" ref="G48:AV48" si="35">SUM(G49:G66)</f>
        <v>400.90300000000002</v>
      </c>
      <c r="H48" s="106">
        <f t="shared" si="35"/>
        <v>679.80500000000006</v>
      </c>
      <c r="I48" s="106">
        <f t="shared" si="35"/>
        <v>404.01400000000007</v>
      </c>
      <c r="J48" s="106">
        <f t="shared" si="35"/>
        <v>380.57999999999993</v>
      </c>
      <c r="K48" s="106">
        <f t="shared" si="35"/>
        <v>364.16799999999995</v>
      </c>
      <c r="L48" s="106">
        <f t="shared" si="35"/>
        <v>585.32400000000007</v>
      </c>
      <c r="M48" s="106">
        <f t="shared" si="35"/>
        <v>468.51099999999991</v>
      </c>
      <c r="N48" s="106">
        <f t="shared" si="35"/>
        <v>435.61399999999992</v>
      </c>
      <c r="O48" s="106">
        <f t="shared" si="35"/>
        <v>412.46</v>
      </c>
      <c r="P48" s="106">
        <f t="shared" si="35"/>
        <v>804.08399999999995</v>
      </c>
      <c r="Q48" s="106">
        <f t="shared" si="35"/>
        <v>673.3889999999999</v>
      </c>
      <c r="R48" s="106">
        <f t="shared" si="35"/>
        <v>641.34799999999996</v>
      </c>
      <c r="S48" s="106">
        <f t="shared" si="35"/>
        <v>521.50299999999993</v>
      </c>
      <c r="T48" s="106">
        <f t="shared" si="35"/>
        <v>841.43399999999997</v>
      </c>
      <c r="U48" s="106">
        <f t="shared" si="35"/>
        <v>812.81299999999987</v>
      </c>
      <c r="V48" s="106">
        <f t="shared" si="35"/>
        <v>879.81099999999992</v>
      </c>
      <c r="W48" s="106">
        <f t="shared" si="35"/>
        <v>851.69</v>
      </c>
      <c r="X48" s="106">
        <f t="shared" si="35"/>
        <v>1196.7569999999998</v>
      </c>
      <c r="Y48" s="106">
        <f t="shared" si="35"/>
        <v>1163.7960000000003</v>
      </c>
      <c r="Z48" s="106">
        <f t="shared" si="35"/>
        <v>1004.082</v>
      </c>
      <c r="AA48" s="106">
        <f t="shared" si="35"/>
        <v>914.42499999999995</v>
      </c>
      <c r="AB48" s="106">
        <f t="shared" si="35"/>
        <v>1310.624</v>
      </c>
      <c r="AC48" s="106">
        <f t="shared" si="35"/>
        <v>1108.854</v>
      </c>
      <c r="AD48" s="106">
        <f t="shared" si="35"/>
        <v>1120.3699999999999</v>
      </c>
      <c r="AE48" s="106">
        <f t="shared" si="35"/>
        <v>975.08899999999994</v>
      </c>
      <c r="AF48" s="106">
        <f t="shared" si="35"/>
        <v>1438.7470000000003</v>
      </c>
      <c r="AG48" s="106">
        <f t="shared" si="35"/>
        <v>1365.1879999999996</v>
      </c>
      <c r="AH48" s="106">
        <f t="shared" si="35"/>
        <v>1255.829</v>
      </c>
      <c r="AI48" s="106">
        <f t="shared" si="35"/>
        <v>1243.6480000000004</v>
      </c>
      <c r="AJ48" s="106">
        <f t="shared" si="35"/>
        <v>1744.1670000000001</v>
      </c>
      <c r="AK48" s="106">
        <f t="shared" si="35"/>
        <v>1714.8899999999999</v>
      </c>
      <c r="AL48" s="106">
        <f t="shared" si="35"/>
        <v>1646.6149999999998</v>
      </c>
      <c r="AM48" s="106">
        <f t="shared" si="35"/>
        <v>1410.4</v>
      </c>
      <c r="AN48" s="106">
        <f t="shared" si="35"/>
        <v>1623.6580000000001</v>
      </c>
      <c r="AO48" s="106">
        <f t="shared" si="35"/>
        <v>1038.037</v>
      </c>
      <c r="AP48" s="106">
        <f t="shared" si="35"/>
        <v>669.40099999999995</v>
      </c>
      <c r="AQ48" s="106">
        <f t="shared" si="35"/>
        <v>659.8</v>
      </c>
      <c r="AR48" s="106">
        <f t="shared" si="35"/>
        <v>1198.2</v>
      </c>
      <c r="AS48" s="106">
        <f t="shared" si="35"/>
        <v>1043</v>
      </c>
      <c r="AT48" s="106">
        <f t="shared" si="35"/>
        <v>920.2</v>
      </c>
      <c r="AU48" s="106">
        <f t="shared" si="35"/>
        <v>1107.5820000000001</v>
      </c>
      <c r="AV48" s="106">
        <f t="shared" si="35"/>
        <v>1652.6999999999998</v>
      </c>
      <c r="AW48" s="106">
        <f t="shared" ref="AW48:BB48" si="36">SUM(AW49:AW66)</f>
        <v>1642.8330000000001</v>
      </c>
      <c r="AX48" s="106">
        <f t="shared" si="36"/>
        <v>1533.511</v>
      </c>
      <c r="AY48" s="106">
        <f t="shared" si="36"/>
        <v>1244.8410000000001</v>
      </c>
      <c r="AZ48" s="106">
        <f t="shared" si="36"/>
        <v>3155.4139999999998</v>
      </c>
      <c r="BA48" s="106">
        <f t="shared" si="36"/>
        <v>2490.2029999999995</v>
      </c>
      <c r="BB48" s="106">
        <f t="shared" si="36"/>
        <v>1740.7099999999998</v>
      </c>
      <c r="BC48" s="106">
        <f t="shared" ref="BC48:BJ48" si="37">SUM(BC49:BC66)</f>
        <v>1600.8239999999998</v>
      </c>
      <c r="BD48" s="106">
        <f t="shared" si="37"/>
        <v>2317.8860000000004</v>
      </c>
      <c r="BE48" s="106">
        <f t="shared" si="37"/>
        <v>1601.5150000000001</v>
      </c>
      <c r="BF48" s="106">
        <f t="shared" si="37"/>
        <v>2187.0829999999996</v>
      </c>
      <c r="BG48" s="106">
        <f t="shared" si="37"/>
        <v>1964.6660000000004</v>
      </c>
      <c r="BH48" s="106">
        <f t="shared" si="37"/>
        <v>2708.3389999999995</v>
      </c>
      <c r="BI48" s="106">
        <f t="shared" si="37"/>
        <v>2493.683</v>
      </c>
      <c r="BJ48" s="106">
        <f t="shared" si="37"/>
        <v>2478.9389999999994</v>
      </c>
      <c r="BK48" s="106">
        <f>SUM(BK49:BK66)</f>
        <v>2558.7950000000005</v>
      </c>
      <c r="BL48" s="109">
        <f t="shared" ref="BL48:BU48" si="38">SUM(BL49:BL66)</f>
        <v>3615.170752463684</v>
      </c>
      <c r="BM48" s="109">
        <f t="shared" si="38"/>
        <v>3469.7180000000008</v>
      </c>
      <c r="BN48" s="109">
        <f t="shared" si="38"/>
        <v>3541.7069999999999</v>
      </c>
      <c r="BO48" s="109">
        <f t="shared" si="38"/>
        <v>2945.364</v>
      </c>
      <c r="BP48" s="109">
        <f t="shared" si="38"/>
        <v>4002.1354017410317</v>
      </c>
      <c r="BQ48" s="109">
        <f t="shared" si="38"/>
        <v>3630.2849999999989</v>
      </c>
      <c r="BR48" s="109">
        <f t="shared" si="38"/>
        <v>3490.9919999999997</v>
      </c>
      <c r="BS48" s="109">
        <f t="shared" si="38"/>
        <v>3781.9889999999991</v>
      </c>
      <c r="BT48" s="109">
        <f t="shared" si="38"/>
        <v>5064.5380000000005</v>
      </c>
      <c r="BU48" s="109">
        <f t="shared" si="38"/>
        <v>4218.5450000000001</v>
      </c>
      <c r="BV48" s="55"/>
      <c r="BW48" s="106">
        <f t="shared" ref="BW48:CH48" si="39">SUM(BW49:BW66)</f>
        <v>153.928</v>
      </c>
      <c r="BX48" s="106">
        <f t="shared" si="39"/>
        <v>400.90300000000002</v>
      </c>
      <c r="BY48" s="106">
        <f t="shared" si="39"/>
        <v>364.16799999999995</v>
      </c>
      <c r="BZ48" s="106">
        <f t="shared" si="39"/>
        <v>412.46</v>
      </c>
      <c r="CA48" s="106">
        <f t="shared" si="39"/>
        <v>521.50299999999993</v>
      </c>
      <c r="CB48" s="106">
        <f t="shared" si="39"/>
        <v>851.69</v>
      </c>
      <c r="CC48" s="106">
        <f t="shared" si="39"/>
        <v>914.42499999999995</v>
      </c>
      <c r="CD48" s="106">
        <f t="shared" si="39"/>
        <v>975.08899999999994</v>
      </c>
      <c r="CE48" s="106">
        <f t="shared" si="39"/>
        <v>1243.6480000000004</v>
      </c>
      <c r="CF48" s="106">
        <f t="shared" si="39"/>
        <v>1410.4</v>
      </c>
      <c r="CG48" s="106">
        <f t="shared" si="39"/>
        <v>659.8</v>
      </c>
      <c r="CH48" s="106">
        <f t="shared" si="39"/>
        <v>1107.5820000000001</v>
      </c>
      <c r="CI48" s="106">
        <f t="shared" ref="CI48:CI66" si="40">AY48</f>
        <v>1244.8410000000001</v>
      </c>
      <c r="CJ48" s="106">
        <f t="shared" ref="CJ48:CJ66" si="41">BC48</f>
        <v>1600.8239999999998</v>
      </c>
      <c r="CK48" s="106">
        <f t="shared" ref="CK48:CK66" si="42">BG48</f>
        <v>1964.6660000000004</v>
      </c>
      <c r="CL48" s="106">
        <f t="shared" ref="CL48:CL64" si="43">BK48</f>
        <v>2558.7950000000005</v>
      </c>
      <c r="CM48" s="106">
        <f t="shared" si="8"/>
        <v>2945.364</v>
      </c>
      <c r="CN48" s="106">
        <f t="shared" ref="CN48:CN78" si="44">BS48</f>
        <v>3781.9889999999991</v>
      </c>
      <c r="CO48" s="206"/>
    </row>
    <row r="49" spans="1:98" x14ac:dyDescent="0.35">
      <c r="A49" s="6"/>
      <c r="B49" s="40" t="str">
        <f>IF(Control!$D$5=1,"Accounts Payable","Fornecedores")</f>
        <v>Fornecedores</v>
      </c>
      <c r="C49" s="110">
        <v>80.103999999999999</v>
      </c>
      <c r="D49" s="110">
        <v>295.56700000000001</v>
      </c>
      <c r="E49" s="58" t="s">
        <v>2</v>
      </c>
      <c r="F49" s="58" t="s">
        <v>2</v>
      </c>
      <c r="G49" s="110">
        <v>159.22999999999999</v>
      </c>
      <c r="H49" s="110">
        <v>344.67399999999998</v>
      </c>
      <c r="I49" s="110">
        <v>206.358</v>
      </c>
      <c r="J49" s="110">
        <v>165.346</v>
      </c>
      <c r="K49" s="110">
        <v>160.05199999999999</v>
      </c>
      <c r="L49" s="110">
        <v>346.10500000000002</v>
      </c>
      <c r="M49" s="110">
        <v>193.04400000000001</v>
      </c>
      <c r="N49" s="110">
        <v>168.02699999999999</v>
      </c>
      <c r="O49" s="110">
        <v>143.977</v>
      </c>
      <c r="P49" s="110">
        <v>351.685</v>
      </c>
      <c r="Q49" s="110">
        <v>177.31899999999999</v>
      </c>
      <c r="R49" s="110">
        <v>171.40799999999999</v>
      </c>
      <c r="S49" s="110">
        <v>238.50899999999999</v>
      </c>
      <c r="T49" s="110">
        <v>476.91300000000001</v>
      </c>
      <c r="U49" s="110">
        <v>247.35400000000001</v>
      </c>
      <c r="V49" s="110">
        <v>280.27800000000002</v>
      </c>
      <c r="W49" s="110">
        <v>314.04199999999997</v>
      </c>
      <c r="X49" s="110">
        <v>609.32299999999998</v>
      </c>
      <c r="Y49" s="110">
        <v>417.94</v>
      </c>
      <c r="Z49" s="110">
        <v>398.86099999999999</v>
      </c>
      <c r="AA49" s="110">
        <v>349.43599999999998</v>
      </c>
      <c r="AB49" s="110">
        <v>653.67200000000003</v>
      </c>
      <c r="AC49" s="110">
        <v>396.94200000000001</v>
      </c>
      <c r="AD49" s="110">
        <v>395.25299999999999</v>
      </c>
      <c r="AE49" s="110">
        <v>418.60700000000003</v>
      </c>
      <c r="AF49" s="110">
        <v>761.35599999999999</v>
      </c>
      <c r="AG49" s="110">
        <v>521.452</v>
      </c>
      <c r="AH49" s="110">
        <v>494.31700000000001</v>
      </c>
      <c r="AI49" s="110">
        <v>460.56099999999998</v>
      </c>
      <c r="AJ49" s="110">
        <v>857.08799999999997</v>
      </c>
      <c r="AK49" s="110">
        <v>490.322</v>
      </c>
      <c r="AL49" s="110">
        <v>495.22</v>
      </c>
      <c r="AM49" s="110">
        <v>467.9</v>
      </c>
      <c r="AN49" s="110">
        <v>804.38699999999994</v>
      </c>
      <c r="AO49" s="110">
        <v>380.54700000000003</v>
      </c>
      <c r="AP49" s="110">
        <v>327.02699999999999</v>
      </c>
      <c r="AQ49" s="110">
        <v>365.1</v>
      </c>
      <c r="AR49" s="110">
        <v>771.3</v>
      </c>
      <c r="AS49" s="110">
        <v>457.3</v>
      </c>
      <c r="AT49" s="110">
        <v>405.8</v>
      </c>
      <c r="AU49" s="110">
        <v>419.14699999999999</v>
      </c>
      <c r="AV49" s="110">
        <v>911.2</v>
      </c>
      <c r="AW49" s="110">
        <v>500.99799999999999</v>
      </c>
      <c r="AX49" s="110">
        <v>509.40600000000001</v>
      </c>
      <c r="AY49" s="110">
        <v>517.27</v>
      </c>
      <c r="AZ49" s="110">
        <v>1176.2059999999999</v>
      </c>
      <c r="BA49" s="110">
        <v>783.28499999999997</v>
      </c>
      <c r="BB49" s="110">
        <v>747.94399999999996</v>
      </c>
      <c r="BC49" s="110">
        <v>673.59900000000005</v>
      </c>
      <c r="BD49" s="110">
        <v>1511.374</v>
      </c>
      <c r="BE49" s="110">
        <v>834.42899999999997</v>
      </c>
      <c r="BF49" s="110">
        <v>980.60599999999999</v>
      </c>
      <c r="BG49" s="110">
        <v>1101.0360000000001</v>
      </c>
      <c r="BH49" s="110">
        <v>1582.1079999999999</v>
      </c>
      <c r="BI49" s="110">
        <v>1058.7909999999999</v>
      </c>
      <c r="BJ49" s="110">
        <v>1042.1220000000001</v>
      </c>
      <c r="BK49" s="110">
        <v>1023.498</v>
      </c>
      <c r="BL49" s="58">
        <v>1735.7660000000001</v>
      </c>
      <c r="BM49" s="58">
        <v>1267.414</v>
      </c>
      <c r="BN49" s="58">
        <v>1124.454</v>
      </c>
      <c r="BO49" s="58">
        <v>945.65800000000002</v>
      </c>
      <c r="BP49" s="58">
        <v>1946.433</v>
      </c>
      <c r="BQ49" s="66">
        <v>1151.7629999999999</v>
      </c>
      <c r="BR49" s="66">
        <v>1202.6890000000001</v>
      </c>
      <c r="BS49" s="66">
        <v>1284.829</v>
      </c>
      <c r="BT49" s="66">
        <v>2291.107</v>
      </c>
      <c r="BU49" s="66">
        <v>1369.998</v>
      </c>
      <c r="BV49" s="55"/>
      <c r="BW49" s="110">
        <v>80.103999999999999</v>
      </c>
      <c r="BX49" s="110">
        <v>159.22999999999999</v>
      </c>
      <c r="BY49" s="110">
        <v>160.05199999999999</v>
      </c>
      <c r="BZ49" s="110">
        <v>143.977</v>
      </c>
      <c r="CA49" s="110">
        <v>238.50899999999999</v>
      </c>
      <c r="CB49" s="110">
        <v>314.04199999999997</v>
      </c>
      <c r="CC49" s="110">
        <v>349.43599999999998</v>
      </c>
      <c r="CD49" s="110">
        <v>418.60700000000003</v>
      </c>
      <c r="CE49" s="110">
        <v>460.56099999999998</v>
      </c>
      <c r="CF49" s="110">
        <v>467.9</v>
      </c>
      <c r="CG49" s="110">
        <f t="shared" ref="CG49:CG66" si="45">AQ49</f>
        <v>365.1</v>
      </c>
      <c r="CH49" s="110">
        <f t="shared" ref="CH49:CH66" si="46">AU49</f>
        <v>419.14699999999999</v>
      </c>
      <c r="CI49" s="110">
        <f t="shared" si="40"/>
        <v>517.27</v>
      </c>
      <c r="CJ49" s="110">
        <f t="shared" si="41"/>
        <v>673.59900000000005</v>
      </c>
      <c r="CK49" s="110">
        <f t="shared" si="42"/>
        <v>1101.0360000000001</v>
      </c>
      <c r="CL49" s="58">
        <f t="shared" si="43"/>
        <v>1023.498</v>
      </c>
      <c r="CM49" s="58">
        <f t="shared" si="8"/>
        <v>945.65800000000002</v>
      </c>
      <c r="CN49" s="58">
        <f t="shared" si="44"/>
        <v>1284.829</v>
      </c>
      <c r="CO49" s="206"/>
      <c r="CP49" s="6"/>
      <c r="CT49" s="48"/>
    </row>
    <row r="50" spans="1:98" x14ac:dyDescent="0.35">
      <c r="A50" s="6"/>
      <c r="B50" s="40" t="str">
        <f>IF(Control!$D$5=1,"Short-Term Debt","Empréstimos e Financiamentos")</f>
        <v>Empréstimos e Financiamentos</v>
      </c>
      <c r="C50" s="110">
        <v>47.55</v>
      </c>
      <c r="D50" s="110">
        <v>136.26499999999999</v>
      </c>
      <c r="E50" s="58" t="s">
        <v>2</v>
      </c>
      <c r="F50" s="58" t="s">
        <v>2</v>
      </c>
      <c r="G50" s="110">
        <v>183.88800000000001</v>
      </c>
      <c r="H50" s="110">
        <v>259.60000000000002</v>
      </c>
      <c r="I50" s="110">
        <v>155.04499999999999</v>
      </c>
      <c r="J50" s="110">
        <v>178.02099999999999</v>
      </c>
      <c r="K50" s="110">
        <v>148.33500000000001</v>
      </c>
      <c r="L50" s="110">
        <v>151.36699999999999</v>
      </c>
      <c r="M50" s="110">
        <v>206.58199999999999</v>
      </c>
      <c r="N50" s="110">
        <v>193.94499999999999</v>
      </c>
      <c r="O50" s="110">
        <v>167.66200000000001</v>
      </c>
      <c r="P50" s="110">
        <v>293.68599999999998</v>
      </c>
      <c r="Q50" s="110">
        <v>317.322</v>
      </c>
      <c r="R50" s="110">
        <v>291.07900000000001</v>
      </c>
      <c r="S50" s="110">
        <v>182.9</v>
      </c>
      <c r="T50" s="110">
        <v>228.06399999999999</v>
      </c>
      <c r="U50" s="111">
        <v>439.214</v>
      </c>
      <c r="V50" s="110">
        <v>379.51400000000001</v>
      </c>
      <c r="W50" s="110">
        <v>311.39</v>
      </c>
      <c r="X50" s="110">
        <v>363.25400000000002</v>
      </c>
      <c r="Y50" s="110">
        <v>424.62400000000002</v>
      </c>
      <c r="Z50" s="110">
        <v>279.601</v>
      </c>
      <c r="AA50" s="110">
        <v>199.40199999999999</v>
      </c>
      <c r="AB50" s="110">
        <v>249.92500000000001</v>
      </c>
      <c r="AC50" s="110">
        <v>355.66300000000001</v>
      </c>
      <c r="AD50" s="110">
        <v>309.911</v>
      </c>
      <c r="AE50" s="110">
        <v>167.39400000000001</v>
      </c>
      <c r="AF50" s="110">
        <v>218.142</v>
      </c>
      <c r="AG50" s="110">
        <v>399.25099999999998</v>
      </c>
      <c r="AH50" s="110">
        <v>370.87799999999999</v>
      </c>
      <c r="AI50" s="110">
        <v>367.78100000000001</v>
      </c>
      <c r="AJ50" s="110">
        <v>418.221</v>
      </c>
      <c r="AK50" s="110">
        <v>838.98299999999995</v>
      </c>
      <c r="AL50" s="110">
        <v>745.73800000000006</v>
      </c>
      <c r="AM50" s="110">
        <v>634.1</v>
      </c>
      <c r="AN50" s="110">
        <v>432.61099999999999</v>
      </c>
      <c r="AO50" s="110">
        <v>274.505</v>
      </c>
      <c r="AP50" s="110">
        <v>168.88</v>
      </c>
      <c r="AQ50" s="110">
        <v>150.9</v>
      </c>
      <c r="AR50" s="110">
        <v>218.7</v>
      </c>
      <c r="AS50" s="110">
        <v>353</v>
      </c>
      <c r="AT50" s="110">
        <v>264.8</v>
      </c>
      <c r="AU50" s="110">
        <v>291.61799999999999</v>
      </c>
      <c r="AV50" s="110">
        <v>311</v>
      </c>
      <c r="AW50" s="110">
        <v>441.87523193999999</v>
      </c>
      <c r="AX50" s="110">
        <v>363.16699999999997</v>
      </c>
      <c r="AY50" s="110">
        <v>123.63500000000001</v>
      </c>
      <c r="AZ50" s="110">
        <v>1310.002</v>
      </c>
      <c r="BA50" s="110">
        <v>1103.298</v>
      </c>
      <c r="BB50" s="110">
        <v>395.12400000000002</v>
      </c>
      <c r="BC50" s="110">
        <v>339.911</v>
      </c>
      <c r="BD50" s="110">
        <v>201.589</v>
      </c>
      <c r="BE50" s="110">
        <v>326.416</v>
      </c>
      <c r="BF50" s="110">
        <v>730.49199999999996</v>
      </c>
      <c r="BG50" s="110">
        <v>531.46</v>
      </c>
      <c r="BH50" s="110">
        <v>487.31599999999997</v>
      </c>
      <c r="BI50" s="110">
        <v>761.98</v>
      </c>
      <c r="BJ50" s="110">
        <v>773.03200000000004</v>
      </c>
      <c r="BK50" s="110">
        <v>769.79399999999998</v>
      </c>
      <c r="BL50" s="58">
        <v>857.58556799999985</v>
      </c>
      <c r="BM50" s="58">
        <v>1043.8</v>
      </c>
      <c r="BN50" s="58">
        <v>1213.202</v>
      </c>
      <c r="BO50" s="58">
        <v>788.96299999999997</v>
      </c>
      <c r="BP50" s="58">
        <v>1020.894</v>
      </c>
      <c r="BQ50" s="66">
        <f>1437.869+12.071</f>
        <v>1449.9399999999998</v>
      </c>
      <c r="BR50" s="66">
        <v>1258.2</v>
      </c>
      <c r="BS50" s="66">
        <v>884.39599999999996</v>
      </c>
      <c r="BT50" s="66">
        <v>1509.0730000000001</v>
      </c>
      <c r="BU50" s="66">
        <v>1529.1479999999999</v>
      </c>
      <c r="BV50" s="55"/>
      <c r="BW50" s="110">
        <v>47.55</v>
      </c>
      <c r="BX50" s="110">
        <v>183.88800000000001</v>
      </c>
      <c r="BY50" s="110">
        <v>148.33500000000001</v>
      </c>
      <c r="BZ50" s="110">
        <v>167.66200000000001</v>
      </c>
      <c r="CA50" s="110">
        <v>182.9</v>
      </c>
      <c r="CB50" s="110">
        <v>311.39</v>
      </c>
      <c r="CC50" s="110">
        <v>199.40199999999999</v>
      </c>
      <c r="CD50" s="110">
        <v>167.39400000000001</v>
      </c>
      <c r="CE50" s="110">
        <v>367.78100000000001</v>
      </c>
      <c r="CF50" s="110">
        <v>634.1</v>
      </c>
      <c r="CG50" s="110">
        <f t="shared" si="45"/>
        <v>150.9</v>
      </c>
      <c r="CH50" s="110">
        <f t="shared" si="46"/>
        <v>291.61799999999999</v>
      </c>
      <c r="CI50" s="110">
        <f t="shared" si="40"/>
        <v>123.63500000000001</v>
      </c>
      <c r="CJ50" s="110">
        <f t="shared" si="41"/>
        <v>339.911</v>
      </c>
      <c r="CK50" s="110">
        <f t="shared" si="42"/>
        <v>531.46</v>
      </c>
      <c r="CL50" s="58">
        <f t="shared" si="43"/>
        <v>769.79399999999998</v>
      </c>
      <c r="CM50" s="58">
        <f t="shared" si="8"/>
        <v>788.96299999999997</v>
      </c>
      <c r="CN50" s="58">
        <f t="shared" si="44"/>
        <v>884.39599999999996</v>
      </c>
      <c r="CO50" s="206"/>
      <c r="CP50" s="6"/>
      <c r="CT50" s="48"/>
    </row>
    <row r="51" spans="1:98" x14ac:dyDescent="0.35">
      <c r="A51" s="6"/>
      <c r="B51" s="40" t="str">
        <f>IF(Control!$D$5=1,"Derivatives","Derivativos")</f>
        <v>Derivativos</v>
      </c>
      <c r="C51" s="110">
        <v>0</v>
      </c>
      <c r="D51" s="110">
        <v>0</v>
      </c>
      <c r="E51" s="58" t="s">
        <v>2</v>
      </c>
      <c r="F51" s="58" t="s">
        <v>2</v>
      </c>
      <c r="G51" s="110">
        <v>0</v>
      </c>
      <c r="H51" s="110">
        <v>0</v>
      </c>
      <c r="I51" s="110">
        <v>0</v>
      </c>
      <c r="J51" s="110">
        <v>0</v>
      </c>
      <c r="K51" s="110">
        <v>0</v>
      </c>
      <c r="L51" s="110">
        <v>0</v>
      </c>
      <c r="M51" s="110">
        <v>0</v>
      </c>
      <c r="N51" s="110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11">
        <v>0</v>
      </c>
      <c r="V51" s="110">
        <v>0</v>
      </c>
      <c r="W51" s="110">
        <v>0</v>
      </c>
      <c r="X51" s="110">
        <v>0</v>
      </c>
      <c r="Y51" s="110">
        <v>0</v>
      </c>
      <c r="Z51" s="110">
        <v>0</v>
      </c>
      <c r="AA51" s="110">
        <v>0</v>
      </c>
      <c r="AB51" s="110">
        <v>0</v>
      </c>
      <c r="AC51" s="110">
        <v>0</v>
      </c>
      <c r="AD51" s="110">
        <v>0</v>
      </c>
      <c r="AE51" s="110">
        <v>0</v>
      </c>
      <c r="AF51" s="110">
        <v>0</v>
      </c>
      <c r="AG51" s="110">
        <v>0</v>
      </c>
      <c r="AH51" s="110">
        <v>0</v>
      </c>
      <c r="AI51" s="110">
        <v>0</v>
      </c>
      <c r="AJ51" s="110">
        <v>0</v>
      </c>
      <c r="AK51" s="110">
        <v>0</v>
      </c>
      <c r="AL51" s="110">
        <v>0.16800000000000001</v>
      </c>
      <c r="AM51" s="110">
        <v>0</v>
      </c>
      <c r="AN51" s="110">
        <v>0.41299999999999998</v>
      </c>
      <c r="AO51" s="110">
        <v>0.28299999999999997</v>
      </c>
      <c r="AP51" s="110">
        <v>0</v>
      </c>
      <c r="AQ51" s="110">
        <v>0.1</v>
      </c>
      <c r="AR51" s="110">
        <v>0</v>
      </c>
      <c r="AS51" s="110">
        <v>2.8</v>
      </c>
      <c r="AT51" s="110">
        <v>0</v>
      </c>
      <c r="AU51" s="110">
        <v>0</v>
      </c>
      <c r="AV51" s="110">
        <v>0.8</v>
      </c>
      <c r="AW51" s="110">
        <v>0.28499999999999998</v>
      </c>
      <c r="AX51" s="110">
        <v>0</v>
      </c>
      <c r="AY51" s="110">
        <v>0</v>
      </c>
      <c r="AZ51" s="110">
        <v>0</v>
      </c>
      <c r="BA51" s="110">
        <v>0</v>
      </c>
      <c r="BB51" s="110">
        <v>0</v>
      </c>
      <c r="BC51" s="110">
        <v>0</v>
      </c>
      <c r="BD51" s="110">
        <v>0</v>
      </c>
      <c r="BE51" s="110">
        <v>0.41699999999999998</v>
      </c>
      <c r="BF51" s="110">
        <v>0</v>
      </c>
      <c r="BG51" s="110">
        <v>0</v>
      </c>
      <c r="BH51" s="110">
        <v>0</v>
      </c>
      <c r="BI51" s="110">
        <v>0</v>
      </c>
      <c r="BJ51" s="110">
        <v>1.542</v>
      </c>
      <c r="BK51" s="110">
        <v>0</v>
      </c>
      <c r="BL51" s="58">
        <v>0</v>
      </c>
      <c r="BM51" s="58">
        <v>0</v>
      </c>
      <c r="BN51" s="58">
        <v>0</v>
      </c>
      <c r="BO51" s="58">
        <v>3.4000000000000002E-2</v>
      </c>
      <c r="BP51" s="58">
        <v>0</v>
      </c>
      <c r="BQ51" s="66">
        <v>0</v>
      </c>
      <c r="BR51" s="66">
        <v>0</v>
      </c>
      <c r="BS51" s="66">
        <v>0</v>
      </c>
      <c r="BT51" s="66">
        <v>0.41599999999999998</v>
      </c>
      <c r="BU51" s="66">
        <v>3.6259999999999999</v>
      </c>
      <c r="BV51" s="110"/>
      <c r="BW51" s="110">
        <v>0</v>
      </c>
      <c r="BX51" s="110">
        <v>0</v>
      </c>
      <c r="BY51" s="110">
        <v>0</v>
      </c>
      <c r="BZ51" s="110">
        <v>0</v>
      </c>
      <c r="CA51" s="110">
        <v>0</v>
      </c>
      <c r="CB51" s="110">
        <v>0</v>
      </c>
      <c r="CC51" s="110">
        <v>0</v>
      </c>
      <c r="CD51" s="110">
        <v>0</v>
      </c>
      <c r="CE51" s="110">
        <v>0</v>
      </c>
      <c r="CF51" s="110">
        <v>0</v>
      </c>
      <c r="CG51" s="110">
        <f t="shared" si="45"/>
        <v>0.1</v>
      </c>
      <c r="CH51" s="110">
        <f t="shared" si="46"/>
        <v>0</v>
      </c>
      <c r="CI51" s="110">
        <f t="shared" si="40"/>
        <v>0</v>
      </c>
      <c r="CJ51" s="110">
        <f t="shared" si="41"/>
        <v>0</v>
      </c>
      <c r="CK51" s="110">
        <f t="shared" si="42"/>
        <v>0</v>
      </c>
      <c r="CL51" s="58">
        <f t="shared" si="43"/>
        <v>0</v>
      </c>
      <c r="CM51" s="58">
        <f t="shared" si="8"/>
        <v>3.4000000000000002E-2</v>
      </c>
      <c r="CN51" s="58">
        <f t="shared" si="44"/>
        <v>0</v>
      </c>
      <c r="CO51" s="206"/>
      <c r="CP51" s="6"/>
      <c r="CT51" s="48"/>
    </row>
    <row r="52" spans="1:98" x14ac:dyDescent="0.35">
      <c r="A52" s="6"/>
      <c r="B52" s="40" t="str">
        <f>IF(Control!$D$5=1,"Debentures","Debêntures")</f>
        <v>Debêntures</v>
      </c>
      <c r="C52" s="110">
        <v>0</v>
      </c>
      <c r="D52" s="110">
        <v>0</v>
      </c>
      <c r="E52" s="58" t="s">
        <v>2</v>
      </c>
      <c r="F52" s="58" t="s">
        <v>2</v>
      </c>
      <c r="G52" s="110">
        <v>0</v>
      </c>
      <c r="H52" s="110">
        <v>0</v>
      </c>
      <c r="I52" s="110">
        <v>0</v>
      </c>
      <c r="J52" s="110">
        <v>0</v>
      </c>
      <c r="K52" s="110">
        <v>3.6019999999999999</v>
      </c>
      <c r="L52" s="110">
        <v>5.8109999999999999</v>
      </c>
      <c r="M52" s="110">
        <v>6.1609999999999996</v>
      </c>
      <c r="N52" s="110">
        <v>6.4550000000000001</v>
      </c>
      <c r="O52" s="110">
        <v>42.658000000000001</v>
      </c>
      <c r="P52" s="110">
        <v>42.93</v>
      </c>
      <c r="Q52" s="110">
        <v>79.009</v>
      </c>
      <c r="R52" s="110">
        <v>78.266000000000005</v>
      </c>
      <c r="S52" s="110">
        <v>1.1040000000000001</v>
      </c>
      <c r="T52" s="110">
        <v>10.304</v>
      </c>
      <c r="U52" s="110">
        <v>4.9580000000000002</v>
      </c>
      <c r="V52" s="110">
        <v>12.159000000000001</v>
      </c>
      <c r="W52" s="110">
        <v>8.282</v>
      </c>
      <c r="X52" s="110">
        <v>11.773999999999999</v>
      </c>
      <c r="Y52" s="110">
        <v>85.48</v>
      </c>
      <c r="Z52" s="110">
        <v>90.046000000000006</v>
      </c>
      <c r="AA52" s="110">
        <v>162.642</v>
      </c>
      <c r="AB52" s="110">
        <v>195.03</v>
      </c>
      <c r="AC52" s="110">
        <v>164.85400000000001</v>
      </c>
      <c r="AD52" s="110">
        <v>170.15600000000001</v>
      </c>
      <c r="AE52" s="110">
        <v>172.87799999999999</v>
      </c>
      <c r="AF52" s="110">
        <v>169.03800000000001</v>
      </c>
      <c r="AG52" s="110">
        <v>176.08099999999999</v>
      </c>
      <c r="AH52" s="110">
        <v>202.583</v>
      </c>
      <c r="AI52" s="110">
        <v>209.125</v>
      </c>
      <c r="AJ52" s="110">
        <v>233.607</v>
      </c>
      <c r="AK52" s="110">
        <v>168.614</v>
      </c>
      <c r="AL52" s="110">
        <v>204.726</v>
      </c>
      <c r="AM52" s="110">
        <v>146.1</v>
      </c>
      <c r="AN52" s="110">
        <v>175.79</v>
      </c>
      <c r="AO52" s="110">
        <v>196.977</v>
      </c>
      <c r="AP52" s="110">
        <v>10.43</v>
      </c>
      <c r="AQ52" s="110">
        <v>9</v>
      </c>
      <c r="AR52" s="110">
        <v>11</v>
      </c>
      <c r="AS52" s="110">
        <v>9.1999999999999993</v>
      </c>
      <c r="AT52" s="110">
        <v>11.1</v>
      </c>
      <c r="AU52" s="110">
        <v>222.49600000000001</v>
      </c>
      <c r="AV52" s="110">
        <v>228.1</v>
      </c>
      <c r="AW52" s="110">
        <v>473.50376806000003</v>
      </c>
      <c r="AX52" s="110">
        <v>464.52699999999999</v>
      </c>
      <c r="AY52" s="110">
        <v>437.00400000000002</v>
      </c>
      <c r="AZ52" s="110">
        <v>432.38</v>
      </c>
      <c r="BA52" s="110">
        <v>359.459</v>
      </c>
      <c r="BB52" s="110">
        <v>357.54599999999999</v>
      </c>
      <c r="BC52" s="110">
        <v>342.22399999999999</v>
      </c>
      <c r="BD52" s="110">
        <v>341.40800000000002</v>
      </c>
      <c r="BE52" s="110">
        <v>195.18700000000001</v>
      </c>
      <c r="BF52" s="110">
        <v>182.90700000000001</v>
      </c>
      <c r="BG52" s="110">
        <v>68.45</v>
      </c>
      <c r="BH52" s="110">
        <v>296.37599999999998</v>
      </c>
      <c r="BI52" s="110">
        <v>377.07400000000001</v>
      </c>
      <c r="BJ52" s="110">
        <v>298.15199999999999</v>
      </c>
      <c r="BK52" s="110">
        <v>377.34899999999999</v>
      </c>
      <c r="BL52" s="58">
        <v>624.38943200000006</v>
      </c>
      <c r="BM52" s="58">
        <v>716.3</v>
      </c>
      <c r="BN52" s="58">
        <v>827.84199999999998</v>
      </c>
      <c r="BO52" s="58">
        <v>880.04300000000001</v>
      </c>
      <c r="BP52" s="58">
        <v>545.08299999999997</v>
      </c>
      <c r="BQ52" s="66">
        <f>610.007-12.071</f>
        <v>597.93599999999992</v>
      </c>
      <c r="BR52" s="66">
        <v>571.6</v>
      </c>
      <c r="BS52" s="66">
        <v>1226.251</v>
      </c>
      <c r="BT52" s="66">
        <v>884.76900000000001</v>
      </c>
      <c r="BU52" s="66">
        <v>898.15700000000004</v>
      </c>
      <c r="BV52" s="110"/>
      <c r="BW52" s="110">
        <v>0</v>
      </c>
      <c r="BX52" s="110">
        <v>0</v>
      </c>
      <c r="BY52" s="110">
        <v>3.6019999999999999</v>
      </c>
      <c r="BZ52" s="110">
        <v>42.658000000000001</v>
      </c>
      <c r="CA52" s="110">
        <v>1.1040000000000001</v>
      </c>
      <c r="CB52" s="110">
        <v>8.282</v>
      </c>
      <c r="CC52" s="110">
        <v>162.642</v>
      </c>
      <c r="CD52" s="110">
        <v>172.87799999999999</v>
      </c>
      <c r="CE52" s="110">
        <v>209.125</v>
      </c>
      <c r="CF52" s="110">
        <v>146.1</v>
      </c>
      <c r="CG52" s="110">
        <f t="shared" si="45"/>
        <v>9</v>
      </c>
      <c r="CH52" s="110">
        <f t="shared" si="46"/>
        <v>222.49600000000001</v>
      </c>
      <c r="CI52" s="110">
        <f t="shared" si="40"/>
        <v>437.00400000000002</v>
      </c>
      <c r="CJ52" s="110">
        <f t="shared" si="41"/>
        <v>342.22399999999999</v>
      </c>
      <c r="CK52" s="110">
        <f t="shared" si="42"/>
        <v>68.45</v>
      </c>
      <c r="CL52" s="58">
        <f t="shared" si="43"/>
        <v>377.34899999999999</v>
      </c>
      <c r="CM52" s="58">
        <f t="shared" si="8"/>
        <v>880.04300000000001</v>
      </c>
      <c r="CN52" s="58">
        <f t="shared" si="44"/>
        <v>1226.251</v>
      </c>
      <c r="CO52" s="206"/>
      <c r="CP52" s="6"/>
      <c r="CT52" s="48"/>
    </row>
    <row r="53" spans="1:98" x14ac:dyDescent="0.35">
      <c r="A53" s="6"/>
      <c r="B53" s="40" t="str">
        <f>IF(Control!$D$5=1,"Leasing liability","Passivo de Arrendamento")</f>
        <v>Passivo de Arrendamento</v>
      </c>
      <c r="C53" s="110">
        <v>0</v>
      </c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10">
        <v>0</v>
      </c>
      <c r="N53" s="110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10">
        <v>0</v>
      </c>
      <c r="V53" s="110">
        <v>0</v>
      </c>
      <c r="W53" s="110">
        <v>0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0</v>
      </c>
      <c r="AD53" s="110">
        <v>0</v>
      </c>
      <c r="AE53" s="110">
        <v>0</v>
      </c>
      <c r="AF53" s="110">
        <v>0</v>
      </c>
      <c r="AG53" s="110">
        <v>0</v>
      </c>
      <c r="AH53" s="110">
        <v>0</v>
      </c>
      <c r="AI53" s="110">
        <v>0</v>
      </c>
      <c r="AJ53" s="110">
        <v>0</v>
      </c>
      <c r="AK53" s="110">
        <v>0</v>
      </c>
      <c r="AL53" s="110">
        <v>0</v>
      </c>
      <c r="AM53" s="110">
        <v>0</v>
      </c>
      <c r="AN53" s="110">
        <v>0</v>
      </c>
      <c r="AO53" s="110">
        <v>0</v>
      </c>
      <c r="AP53" s="110">
        <v>0</v>
      </c>
      <c r="AQ53" s="110">
        <v>0</v>
      </c>
      <c r="AR53" s="110">
        <v>0</v>
      </c>
      <c r="AS53" s="110">
        <v>0</v>
      </c>
      <c r="AT53" s="110">
        <v>0</v>
      </c>
      <c r="AU53" s="110">
        <v>0</v>
      </c>
      <c r="AV53" s="110">
        <v>30.3</v>
      </c>
      <c r="AW53" s="110">
        <v>33.006999999999998</v>
      </c>
      <c r="AX53" s="110">
        <v>27.28</v>
      </c>
      <c r="AY53" s="110">
        <v>25.952000000000002</v>
      </c>
      <c r="AZ53" s="110">
        <v>23.777000000000001</v>
      </c>
      <c r="BA53" s="110">
        <v>29.106000000000002</v>
      </c>
      <c r="BB53" s="110">
        <v>21.54</v>
      </c>
      <c r="BC53" s="110">
        <v>21.006</v>
      </c>
      <c r="BD53" s="110">
        <v>21.094999999999999</v>
      </c>
      <c r="BE53" s="110">
        <v>22.004000000000001</v>
      </c>
      <c r="BF53" s="110">
        <v>22.782</v>
      </c>
      <c r="BG53" s="110">
        <v>23.228999999999999</v>
      </c>
      <c r="BH53" s="110">
        <v>30.574999999999999</v>
      </c>
      <c r="BI53" s="110">
        <v>32.012</v>
      </c>
      <c r="BJ53" s="110">
        <v>32.469000000000001</v>
      </c>
      <c r="BK53" s="110">
        <v>31.411999999999999</v>
      </c>
      <c r="BL53" s="58">
        <v>33.622999999999998</v>
      </c>
      <c r="BM53" s="58">
        <v>36.884999999999998</v>
      </c>
      <c r="BN53" s="58">
        <v>39.281999999999996</v>
      </c>
      <c r="BO53" s="58">
        <v>48.262</v>
      </c>
      <c r="BP53" s="58">
        <v>49.070999999999998</v>
      </c>
      <c r="BQ53" s="66">
        <v>46.332000000000001</v>
      </c>
      <c r="BR53" s="66">
        <v>48.835999999999999</v>
      </c>
      <c r="BS53" s="66">
        <v>49.017000000000003</v>
      </c>
      <c r="BT53" s="66">
        <v>54.442999999999998</v>
      </c>
      <c r="BU53" s="66">
        <v>50.698999999999998</v>
      </c>
      <c r="BV53" s="110"/>
      <c r="BW53" s="110"/>
      <c r="BX53" s="110"/>
      <c r="BY53" s="110"/>
      <c r="BZ53" s="110"/>
      <c r="CA53" s="110"/>
      <c r="CB53" s="110"/>
      <c r="CC53" s="110"/>
      <c r="CD53" s="110"/>
      <c r="CE53" s="110"/>
      <c r="CF53" s="110"/>
      <c r="CG53" s="110">
        <f t="shared" si="45"/>
        <v>0</v>
      </c>
      <c r="CH53" s="110">
        <f t="shared" si="46"/>
        <v>0</v>
      </c>
      <c r="CI53" s="110">
        <f t="shared" si="40"/>
        <v>25.952000000000002</v>
      </c>
      <c r="CJ53" s="110">
        <f t="shared" si="41"/>
        <v>21.006</v>
      </c>
      <c r="CK53" s="110">
        <f t="shared" si="42"/>
        <v>23.228999999999999</v>
      </c>
      <c r="CL53" s="58">
        <f t="shared" si="43"/>
        <v>31.411999999999999</v>
      </c>
      <c r="CM53" s="58">
        <f t="shared" si="8"/>
        <v>48.262</v>
      </c>
      <c r="CN53" s="58">
        <f t="shared" si="44"/>
        <v>49.017000000000003</v>
      </c>
      <c r="CO53" s="206"/>
      <c r="CP53" s="6"/>
      <c r="CT53" s="48"/>
    </row>
    <row r="54" spans="1:98" x14ac:dyDescent="0.35">
      <c r="A54" s="6"/>
      <c r="B54" s="40" t="str">
        <f>IF(Control!$D$5=1,"Advances to Customers","Adiantamento a Clientes")</f>
        <v>Adiantamento a Clientes</v>
      </c>
      <c r="C54" s="110">
        <v>0</v>
      </c>
      <c r="D54" s="110">
        <v>0</v>
      </c>
      <c r="E54" s="110">
        <v>0</v>
      </c>
      <c r="F54" s="110">
        <v>0</v>
      </c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10">
        <v>0</v>
      </c>
      <c r="AE54" s="110">
        <v>0</v>
      </c>
      <c r="AF54" s="110">
        <v>0</v>
      </c>
      <c r="AG54" s="110">
        <v>0</v>
      </c>
      <c r="AH54" s="110">
        <v>0</v>
      </c>
      <c r="AI54" s="110">
        <v>0</v>
      </c>
      <c r="AJ54" s="110">
        <v>0</v>
      </c>
      <c r="AK54" s="110">
        <v>0</v>
      </c>
      <c r="AL54" s="110">
        <v>0</v>
      </c>
      <c r="AM54" s="110">
        <v>0</v>
      </c>
      <c r="AN54" s="110">
        <v>0</v>
      </c>
      <c r="AO54" s="110">
        <v>0</v>
      </c>
      <c r="AP54" s="110">
        <v>0</v>
      </c>
      <c r="AQ54" s="110">
        <v>0</v>
      </c>
      <c r="AR54" s="110">
        <v>0</v>
      </c>
      <c r="AS54" s="110">
        <v>0</v>
      </c>
      <c r="AT54" s="110">
        <v>0</v>
      </c>
      <c r="AU54" s="110">
        <v>0</v>
      </c>
      <c r="AV54" s="110">
        <v>6.7</v>
      </c>
      <c r="AW54" s="110">
        <v>9.2750000000000004</v>
      </c>
      <c r="AX54" s="110">
        <v>24.475999999999999</v>
      </c>
      <c r="AY54" s="110">
        <v>12.645</v>
      </c>
      <c r="AZ54" s="110">
        <v>20.111999999999998</v>
      </c>
      <c r="BA54" s="110">
        <v>20.146000000000001</v>
      </c>
      <c r="BB54" s="110">
        <v>6.9420000000000002</v>
      </c>
      <c r="BC54" s="110">
        <v>23.687000000000001</v>
      </c>
      <c r="BD54" s="110">
        <v>15.236000000000001</v>
      </c>
      <c r="BE54" s="110">
        <v>12.132999999999999</v>
      </c>
      <c r="BF54" s="110">
        <v>9.6479999999999997</v>
      </c>
      <c r="BG54" s="110">
        <v>11.602</v>
      </c>
      <c r="BH54" s="110">
        <v>10.426</v>
      </c>
      <c r="BI54" s="110">
        <v>13.234999999999999</v>
      </c>
      <c r="BJ54" s="110">
        <v>10.044</v>
      </c>
      <c r="BK54" s="110">
        <v>16.991</v>
      </c>
      <c r="BL54" s="58">
        <v>32.466000000000001</v>
      </c>
      <c r="BM54" s="58">
        <v>66.828999999999994</v>
      </c>
      <c r="BN54" s="58">
        <v>31.933</v>
      </c>
      <c r="BO54" s="58">
        <v>27.221</v>
      </c>
      <c r="BP54" s="66">
        <v>71.606999999999999</v>
      </c>
      <c r="BQ54" s="66">
        <v>45.582999999999998</v>
      </c>
      <c r="BR54" s="66">
        <v>47.152000000000001</v>
      </c>
      <c r="BS54" s="66">
        <v>51.365000000000002</v>
      </c>
      <c r="BT54" s="66">
        <v>33.020000000000003</v>
      </c>
      <c r="BU54" s="66">
        <v>55.057000000000002</v>
      </c>
      <c r="BV54" s="110"/>
      <c r="BW54" s="110"/>
      <c r="BX54" s="110"/>
      <c r="BY54" s="110"/>
      <c r="BZ54" s="110"/>
      <c r="CA54" s="110"/>
      <c r="CB54" s="110"/>
      <c r="CC54" s="110"/>
      <c r="CD54" s="110"/>
      <c r="CE54" s="110"/>
      <c r="CF54" s="110"/>
      <c r="CG54" s="110">
        <f t="shared" si="45"/>
        <v>0</v>
      </c>
      <c r="CH54" s="110">
        <f t="shared" si="46"/>
        <v>0</v>
      </c>
      <c r="CI54" s="110">
        <f t="shared" si="40"/>
        <v>12.645</v>
      </c>
      <c r="CJ54" s="110">
        <f t="shared" si="41"/>
        <v>23.687000000000001</v>
      </c>
      <c r="CK54" s="110">
        <f t="shared" si="42"/>
        <v>11.602</v>
      </c>
      <c r="CL54" s="58">
        <f t="shared" si="43"/>
        <v>16.991</v>
      </c>
      <c r="CM54" s="58">
        <f t="shared" si="8"/>
        <v>27.221</v>
      </c>
      <c r="CN54" s="58">
        <f t="shared" si="44"/>
        <v>51.365000000000002</v>
      </c>
      <c r="CO54" s="206"/>
      <c r="CP54" s="6"/>
      <c r="CT54" s="48"/>
    </row>
    <row r="55" spans="1:98" x14ac:dyDescent="0.35">
      <c r="B55" s="40" t="str">
        <f>IF(Control!$D$5=1,"Related Party","Partes Relacionadas")</f>
        <v>Partes Relacionadas</v>
      </c>
      <c r="C55" s="110">
        <v>0</v>
      </c>
      <c r="D55" s="110">
        <v>0</v>
      </c>
      <c r="E55" s="58" t="s">
        <v>2</v>
      </c>
      <c r="F55" s="58" t="s">
        <v>2</v>
      </c>
      <c r="G55" s="110">
        <v>0</v>
      </c>
      <c r="H55" s="110">
        <v>0</v>
      </c>
      <c r="I55" s="110">
        <v>0</v>
      </c>
      <c r="J55" s="110">
        <v>0</v>
      </c>
      <c r="K55" s="110">
        <v>0</v>
      </c>
      <c r="L55" s="110">
        <v>0</v>
      </c>
      <c r="M55" s="110">
        <v>0</v>
      </c>
      <c r="N55" s="110">
        <v>2.0009999999999999</v>
      </c>
      <c r="O55" s="110">
        <v>3.121</v>
      </c>
      <c r="P55" s="110">
        <v>3.129</v>
      </c>
      <c r="Q55" s="110">
        <v>1.9830000000000001</v>
      </c>
      <c r="R55" s="110">
        <v>0.46700000000000003</v>
      </c>
      <c r="S55" s="110">
        <v>3.113</v>
      </c>
      <c r="T55" s="110">
        <v>3.8069999999999999</v>
      </c>
      <c r="U55" s="110">
        <v>4.7030000000000003</v>
      </c>
      <c r="V55" s="110">
        <v>4.3179999999999996</v>
      </c>
      <c r="W55" s="110">
        <v>3.5830000000000002</v>
      </c>
      <c r="X55" s="110">
        <v>1.8759999999999999</v>
      </c>
      <c r="Y55" s="110">
        <v>4.7889999999999997</v>
      </c>
      <c r="Z55" s="110">
        <v>3.02</v>
      </c>
      <c r="AA55" s="110">
        <v>2.9380000000000002</v>
      </c>
      <c r="AB55" s="110">
        <v>3.3809999999999998</v>
      </c>
      <c r="AC55" s="110">
        <v>4.3049999999999997</v>
      </c>
      <c r="AD55" s="110">
        <v>1.329</v>
      </c>
      <c r="AE55" s="110">
        <v>6.2409999999999997</v>
      </c>
      <c r="AF55" s="110">
        <v>4.5579999999999998</v>
      </c>
      <c r="AG55" s="110">
        <v>5.5720000000000001</v>
      </c>
      <c r="AH55" s="110">
        <v>5.5919999999999996</v>
      </c>
      <c r="AI55" s="110">
        <v>7.64</v>
      </c>
      <c r="AJ55" s="110">
        <v>8.3320000000000007</v>
      </c>
      <c r="AK55" s="110">
        <v>8.3710000000000004</v>
      </c>
      <c r="AL55" s="110">
        <v>5.4359999999999999</v>
      </c>
      <c r="AM55" s="110">
        <v>4.5999999999999996</v>
      </c>
      <c r="AN55" s="110">
        <v>4.226</v>
      </c>
      <c r="AO55" s="110">
        <v>5.81</v>
      </c>
      <c r="AP55" s="110">
        <v>5.4290000000000003</v>
      </c>
      <c r="AQ55" s="110">
        <v>5.0999999999999996</v>
      </c>
      <c r="AR55" s="110">
        <v>6.1</v>
      </c>
      <c r="AS55" s="110">
        <v>6.3</v>
      </c>
      <c r="AT55" s="110">
        <v>5.7</v>
      </c>
      <c r="AU55" s="110">
        <v>3.8849999999999998</v>
      </c>
      <c r="AV55" s="110">
        <v>2</v>
      </c>
      <c r="AW55" s="110">
        <v>20.204999999999998</v>
      </c>
      <c r="AX55" s="110">
        <v>4.0490000000000004</v>
      </c>
      <c r="AY55" s="110">
        <v>4.1879999999999997</v>
      </c>
      <c r="AZ55" s="110">
        <v>4.9260000000000002</v>
      </c>
      <c r="BA55" s="110">
        <v>5.165</v>
      </c>
      <c r="BB55" s="110">
        <v>11.888</v>
      </c>
      <c r="BC55" s="110">
        <v>21.745000000000001</v>
      </c>
      <c r="BD55" s="110">
        <v>22.513999999999999</v>
      </c>
      <c r="BE55" s="110">
        <v>30.196999999999999</v>
      </c>
      <c r="BF55" s="110">
        <v>26.34</v>
      </c>
      <c r="BG55" s="110">
        <v>20.678999999999998</v>
      </c>
      <c r="BH55" s="110">
        <v>41.482999999999997</v>
      </c>
      <c r="BI55" s="110">
        <v>23.164999999999999</v>
      </c>
      <c r="BJ55" s="110">
        <v>22.971</v>
      </c>
      <c r="BK55" s="110">
        <v>35.896000000000001</v>
      </c>
      <c r="BL55" s="58">
        <v>22.556999999999999</v>
      </c>
      <c r="BM55" s="58">
        <v>6.0880000000000001</v>
      </c>
      <c r="BN55" s="58">
        <v>22.452999999999999</v>
      </c>
      <c r="BO55" s="58">
        <v>22.922000000000001</v>
      </c>
      <c r="BP55" s="71">
        <v>22.89</v>
      </c>
      <c r="BQ55" s="66">
        <v>26.42</v>
      </c>
      <c r="BR55" s="66">
        <v>30.486000000000001</v>
      </c>
      <c r="BS55" s="66">
        <v>21.646999999999998</v>
      </c>
      <c r="BT55" s="66">
        <v>9.3290000000000006</v>
      </c>
      <c r="BU55" s="66">
        <v>30.155999999999999</v>
      </c>
      <c r="BV55" s="55"/>
      <c r="BW55" s="110">
        <v>0</v>
      </c>
      <c r="BX55" s="110">
        <v>0</v>
      </c>
      <c r="BY55" s="110">
        <v>0</v>
      </c>
      <c r="BZ55" s="110">
        <v>3.121</v>
      </c>
      <c r="CA55" s="110">
        <v>3.113</v>
      </c>
      <c r="CB55" s="110">
        <v>3.5830000000000002</v>
      </c>
      <c r="CC55" s="110">
        <v>2.9380000000000002</v>
      </c>
      <c r="CD55" s="110">
        <v>6.2409999999999997</v>
      </c>
      <c r="CE55" s="110">
        <v>7.64</v>
      </c>
      <c r="CF55" s="110">
        <v>4.5999999999999996</v>
      </c>
      <c r="CG55" s="110">
        <f t="shared" si="45"/>
        <v>5.0999999999999996</v>
      </c>
      <c r="CH55" s="110">
        <f t="shared" si="46"/>
        <v>3.8849999999999998</v>
      </c>
      <c r="CI55" s="110">
        <f t="shared" si="40"/>
        <v>4.1879999999999997</v>
      </c>
      <c r="CJ55" s="110">
        <f t="shared" si="41"/>
        <v>21.745000000000001</v>
      </c>
      <c r="CK55" s="110">
        <f t="shared" si="42"/>
        <v>20.678999999999998</v>
      </c>
      <c r="CL55" s="58">
        <f t="shared" si="43"/>
        <v>35.896000000000001</v>
      </c>
      <c r="CM55" s="58">
        <f t="shared" si="8"/>
        <v>22.922000000000001</v>
      </c>
      <c r="CN55" s="58">
        <f t="shared" si="44"/>
        <v>21.646999999999998</v>
      </c>
      <c r="CO55" s="206"/>
      <c r="CP55" s="6"/>
      <c r="CT55" s="48"/>
    </row>
    <row r="56" spans="1:98" x14ac:dyDescent="0.35">
      <c r="A56" s="6"/>
      <c r="B56" s="40" t="str">
        <f>IF(Control!$D$5=1,"Salaries and Social Contributions","Salários, Provisões e Contribuições Sociais")</f>
        <v>Salários, Provisões e Contribuições Sociais</v>
      </c>
      <c r="C56" s="110">
        <v>4.5410000000000004</v>
      </c>
      <c r="D56" s="110">
        <v>3.36</v>
      </c>
      <c r="E56" s="58" t="s">
        <v>2</v>
      </c>
      <c r="F56" s="58" t="s">
        <v>2</v>
      </c>
      <c r="G56" s="110">
        <v>3.4279999999999999</v>
      </c>
      <c r="H56" s="110">
        <v>3.4260000000000002</v>
      </c>
      <c r="I56" s="110">
        <v>3.1160000000000001</v>
      </c>
      <c r="J56" s="110">
        <v>2.6120000000000001</v>
      </c>
      <c r="K56" s="110">
        <v>3.1589999999999998</v>
      </c>
      <c r="L56" s="110">
        <v>3.36</v>
      </c>
      <c r="M56" s="110">
        <v>3.2149999999999999</v>
      </c>
      <c r="N56" s="110">
        <v>3.45</v>
      </c>
      <c r="O56" s="110">
        <v>4.1189999999999998</v>
      </c>
      <c r="P56" s="110">
        <v>5.4480000000000004</v>
      </c>
      <c r="Q56" s="110">
        <v>5.077</v>
      </c>
      <c r="R56" s="110">
        <v>7.1790000000000003</v>
      </c>
      <c r="S56" s="110">
        <v>10.215</v>
      </c>
      <c r="T56" s="110">
        <v>10.976000000000001</v>
      </c>
      <c r="U56" s="110">
        <v>10.124000000000001</v>
      </c>
      <c r="V56" s="110">
        <v>22.477</v>
      </c>
      <c r="W56" s="110">
        <v>18.927</v>
      </c>
      <c r="X56" s="110">
        <v>29.128</v>
      </c>
      <c r="Y56" s="110">
        <v>26.035</v>
      </c>
      <c r="Z56" s="110">
        <v>25.146000000000001</v>
      </c>
      <c r="AA56" s="110">
        <v>25.259</v>
      </c>
      <c r="AB56" s="110">
        <v>24.446000000000002</v>
      </c>
      <c r="AC56" s="110">
        <v>17.713999999999999</v>
      </c>
      <c r="AD56" s="110">
        <v>20.61</v>
      </c>
      <c r="AE56" s="110">
        <v>18.29</v>
      </c>
      <c r="AF56" s="110">
        <v>23.486000000000001</v>
      </c>
      <c r="AG56" s="110">
        <v>22.417999999999999</v>
      </c>
      <c r="AH56" s="110">
        <v>29.568000000000001</v>
      </c>
      <c r="AI56" s="110">
        <v>35.89</v>
      </c>
      <c r="AJ56" s="110">
        <v>41.756999999999998</v>
      </c>
      <c r="AK56" s="110">
        <v>31.367000000000001</v>
      </c>
      <c r="AL56" s="110">
        <v>36.207999999999998</v>
      </c>
      <c r="AM56" s="110">
        <v>37.9</v>
      </c>
      <c r="AN56" s="110">
        <v>43.048999999999999</v>
      </c>
      <c r="AO56" s="110">
        <v>27.114000000000001</v>
      </c>
      <c r="AP56" s="110">
        <v>21.641999999999999</v>
      </c>
      <c r="AQ56" s="110">
        <v>22.1</v>
      </c>
      <c r="AR56" s="110">
        <v>42.8</v>
      </c>
      <c r="AS56" s="110">
        <v>29</v>
      </c>
      <c r="AT56" s="110">
        <v>23.3</v>
      </c>
      <c r="AU56" s="110">
        <v>24.074000000000002</v>
      </c>
      <c r="AV56" s="110">
        <v>18.5</v>
      </c>
      <c r="AW56" s="110">
        <v>24.559000000000001</v>
      </c>
      <c r="AX56" s="110">
        <v>26.952999999999999</v>
      </c>
      <c r="AY56" s="110">
        <v>25.731000000000002</v>
      </c>
      <c r="AZ56" s="110">
        <v>31.332000000000001</v>
      </c>
      <c r="BA56" s="110">
        <v>35.97</v>
      </c>
      <c r="BB56" s="110">
        <v>39.134</v>
      </c>
      <c r="BC56" s="110">
        <v>49.447000000000003</v>
      </c>
      <c r="BD56" s="110">
        <v>33.479999999999997</v>
      </c>
      <c r="BE56" s="110">
        <v>29.920999999999999</v>
      </c>
      <c r="BF56" s="110">
        <v>39.920999999999999</v>
      </c>
      <c r="BG56" s="110">
        <v>38.779000000000003</v>
      </c>
      <c r="BH56" s="110">
        <v>39.576999999999998</v>
      </c>
      <c r="BI56" s="110">
        <v>45.545000000000002</v>
      </c>
      <c r="BJ56" s="110">
        <v>52.468000000000004</v>
      </c>
      <c r="BK56" s="110">
        <v>62.625999999999998</v>
      </c>
      <c r="BL56" s="58">
        <v>77.498000000000005</v>
      </c>
      <c r="BM56" s="58">
        <v>74.218000000000004</v>
      </c>
      <c r="BN56" s="58">
        <v>85.537000000000006</v>
      </c>
      <c r="BO56" s="58">
        <v>72.531000000000006</v>
      </c>
      <c r="BP56" s="66">
        <v>69.501999999999995</v>
      </c>
      <c r="BQ56" s="66">
        <v>72.635999999999996</v>
      </c>
      <c r="BR56" s="66">
        <v>92.254999999999995</v>
      </c>
      <c r="BS56" s="66">
        <v>71.582999999999998</v>
      </c>
      <c r="BT56" s="66">
        <v>75.721000000000004</v>
      </c>
      <c r="BU56" s="66">
        <v>80.144000000000005</v>
      </c>
      <c r="BV56" s="55"/>
      <c r="BW56" s="110">
        <v>4.5410000000000004</v>
      </c>
      <c r="BX56" s="110">
        <v>3.4279999999999999</v>
      </c>
      <c r="BY56" s="110">
        <v>3.1589999999999998</v>
      </c>
      <c r="BZ56" s="110">
        <v>4.1189999999999998</v>
      </c>
      <c r="CA56" s="110">
        <v>10.215</v>
      </c>
      <c r="CB56" s="110">
        <v>18.927</v>
      </c>
      <c r="CC56" s="110">
        <v>25.259</v>
      </c>
      <c r="CD56" s="110">
        <v>18.29</v>
      </c>
      <c r="CE56" s="110">
        <v>35.89</v>
      </c>
      <c r="CF56" s="110">
        <v>37.9</v>
      </c>
      <c r="CG56" s="110">
        <f t="shared" si="45"/>
        <v>22.1</v>
      </c>
      <c r="CH56" s="110">
        <f t="shared" si="46"/>
        <v>24.074000000000002</v>
      </c>
      <c r="CI56" s="110">
        <f t="shared" si="40"/>
        <v>25.731000000000002</v>
      </c>
      <c r="CJ56" s="110">
        <f t="shared" si="41"/>
        <v>49.447000000000003</v>
      </c>
      <c r="CK56" s="110">
        <f t="shared" si="42"/>
        <v>38.779000000000003</v>
      </c>
      <c r="CL56" s="58">
        <f t="shared" si="43"/>
        <v>62.625999999999998</v>
      </c>
      <c r="CM56" s="58">
        <f t="shared" si="8"/>
        <v>72.531000000000006</v>
      </c>
      <c r="CN56" s="58">
        <f t="shared" si="44"/>
        <v>71.582999999999998</v>
      </c>
      <c r="CO56" s="206"/>
      <c r="CP56" s="6"/>
      <c r="CT56" s="48"/>
    </row>
    <row r="57" spans="1:98" x14ac:dyDescent="0.35">
      <c r="B57" s="40" t="str">
        <f>IF(Control!$D$5=1,"Dividends and Interest on Equity Payable","Dividendos e JCP a Pagar")</f>
        <v>Dividendos e JCP a Pagar</v>
      </c>
      <c r="C57" s="110">
        <v>0</v>
      </c>
      <c r="D57" s="110">
        <v>0</v>
      </c>
      <c r="E57" s="58" t="s">
        <v>2</v>
      </c>
      <c r="F57" s="58" t="s">
        <v>2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10">
        <v>0</v>
      </c>
      <c r="V57" s="110">
        <v>0</v>
      </c>
      <c r="W57" s="110">
        <v>33.466999999999999</v>
      </c>
      <c r="X57" s="110">
        <v>0.46700000000000003</v>
      </c>
      <c r="Y57" s="110">
        <v>0</v>
      </c>
      <c r="Z57" s="110">
        <v>0</v>
      </c>
      <c r="AA57" s="110">
        <v>34</v>
      </c>
      <c r="AB57" s="110">
        <v>0</v>
      </c>
      <c r="AC57" s="110">
        <v>0</v>
      </c>
      <c r="AD57" s="110">
        <v>0</v>
      </c>
      <c r="AE57" s="110">
        <v>25.95</v>
      </c>
      <c r="AF57" s="110">
        <v>0</v>
      </c>
      <c r="AG57" s="110">
        <v>0</v>
      </c>
      <c r="AH57" s="110">
        <v>0</v>
      </c>
      <c r="AI57" s="110">
        <v>0</v>
      </c>
      <c r="AJ57" s="110">
        <v>0</v>
      </c>
      <c r="AK57" s="110">
        <v>0</v>
      </c>
      <c r="AL57" s="110">
        <v>0</v>
      </c>
      <c r="AM57" s="110">
        <v>0</v>
      </c>
      <c r="AN57" s="110">
        <v>0</v>
      </c>
      <c r="AO57" s="110">
        <v>0</v>
      </c>
      <c r="AP57" s="110">
        <v>0</v>
      </c>
      <c r="AQ57" s="110">
        <v>0</v>
      </c>
      <c r="AR57" s="110">
        <v>0</v>
      </c>
      <c r="AS57" s="110">
        <v>17.5</v>
      </c>
      <c r="AT57" s="110">
        <v>39.4</v>
      </c>
      <c r="AU57" s="110">
        <v>0</v>
      </c>
      <c r="AV57" s="110">
        <v>0</v>
      </c>
      <c r="AW57" s="110">
        <v>15</v>
      </c>
      <c r="AX57" s="110">
        <v>0</v>
      </c>
      <c r="AY57" s="110">
        <v>0</v>
      </c>
      <c r="AZ57" s="110">
        <v>0</v>
      </c>
      <c r="BA57" s="110">
        <v>0</v>
      </c>
      <c r="BB57" s="110">
        <v>0</v>
      </c>
      <c r="BC57" s="110">
        <v>6.3630000000000004</v>
      </c>
      <c r="BD57" s="110">
        <v>6.327</v>
      </c>
      <c r="BE57" s="110">
        <v>7.843</v>
      </c>
      <c r="BF57" s="110">
        <v>7.7809999999999997</v>
      </c>
      <c r="BG57" s="110">
        <v>7.6849999999999996</v>
      </c>
      <c r="BH57" s="110">
        <v>16.765999999999998</v>
      </c>
      <c r="BI57" s="110">
        <v>7.3650000000000002</v>
      </c>
      <c r="BJ57" s="110">
        <v>7.19</v>
      </c>
      <c r="BK57" s="110">
        <v>7.19</v>
      </c>
      <c r="BL57" s="58">
        <v>7.19</v>
      </c>
      <c r="BM57" s="58">
        <v>25</v>
      </c>
      <c r="BN57" s="58">
        <v>6.9770000000000003</v>
      </c>
      <c r="BO57" s="58">
        <v>6.9489999999999998</v>
      </c>
      <c r="BP57" s="71">
        <f>5.283+1.668</f>
        <v>6.9510000000000005</v>
      </c>
      <c r="BQ57" s="66">
        <f>5.283+1.668</f>
        <v>6.9510000000000005</v>
      </c>
      <c r="BR57" s="66">
        <v>6.9509999999999996</v>
      </c>
      <c r="BS57" s="66">
        <v>7.0529999999999999</v>
      </c>
      <c r="BT57" s="66">
        <v>0</v>
      </c>
      <c r="BU57" s="66">
        <v>7.0529999999999999</v>
      </c>
      <c r="BV57" s="55"/>
      <c r="BW57" s="110">
        <v>0</v>
      </c>
      <c r="BX57" s="110">
        <v>0</v>
      </c>
      <c r="BY57" s="110">
        <v>0</v>
      </c>
      <c r="BZ57" s="110">
        <v>0</v>
      </c>
      <c r="CA57" s="110">
        <v>0</v>
      </c>
      <c r="CB57" s="110">
        <v>33.466999999999999</v>
      </c>
      <c r="CC57" s="110">
        <v>34</v>
      </c>
      <c r="CD57" s="110">
        <v>25.95</v>
      </c>
      <c r="CE57" s="110">
        <v>0</v>
      </c>
      <c r="CF57" s="110">
        <v>0</v>
      </c>
      <c r="CG57" s="110">
        <f t="shared" si="45"/>
        <v>0</v>
      </c>
      <c r="CH57" s="110">
        <f t="shared" si="46"/>
        <v>0</v>
      </c>
      <c r="CI57" s="110">
        <f t="shared" si="40"/>
        <v>0</v>
      </c>
      <c r="CJ57" s="110">
        <f t="shared" si="41"/>
        <v>6.3630000000000004</v>
      </c>
      <c r="CK57" s="110">
        <f t="shared" si="42"/>
        <v>7.6849999999999996</v>
      </c>
      <c r="CL57" s="58">
        <f t="shared" si="43"/>
        <v>7.19</v>
      </c>
      <c r="CM57" s="58">
        <f t="shared" si="8"/>
        <v>6.9489999999999998</v>
      </c>
      <c r="CN57" s="58">
        <f t="shared" si="44"/>
        <v>7.0529999999999999</v>
      </c>
      <c r="CO57" s="206"/>
      <c r="CP57" s="6"/>
      <c r="CT57" s="48"/>
    </row>
    <row r="58" spans="1:98" x14ac:dyDescent="0.35">
      <c r="A58" s="20"/>
      <c r="B58" s="40" t="str">
        <f>IF(Control!$D$5=1,"Taxes Payables","Impostos a Pagar")</f>
        <v>Impostos a Pagar</v>
      </c>
      <c r="C58" s="110">
        <v>6.5830000000000002</v>
      </c>
      <c r="D58" s="110">
        <v>16.052</v>
      </c>
      <c r="E58" s="58" t="s">
        <v>2</v>
      </c>
      <c r="F58" s="58" t="s">
        <v>2</v>
      </c>
      <c r="G58" s="110">
        <v>20.725000000000001</v>
      </c>
      <c r="H58" s="110">
        <v>23.895</v>
      </c>
      <c r="I58" s="110">
        <v>3.1709999999999998</v>
      </c>
      <c r="J58" s="110">
        <v>5.2990000000000004</v>
      </c>
      <c r="K58" s="110">
        <v>24.789000000000001</v>
      </c>
      <c r="L58" s="110">
        <v>23.091999999999999</v>
      </c>
      <c r="M58" s="110">
        <v>21.853999999999999</v>
      </c>
      <c r="N58" s="110">
        <v>20.834</v>
      </c>
      <c r="O58" s="110">
        <v>20.414000000000001</v>
      </c>
      <c r="P58" s="110">
        <v>24.692</v>
      </c>
      <c r="Q58" s="110">
        <v>15.102</v>
      </c>
      <c r="R58" s="110">
        <v>15.337</v>
      </c>
      <c r="S58" s="110">
        <v>18.994</v>
      </c>
      <c r="T58" s="110">
        <v>23.712</v>
      </c>
      <c r="U58" s="110">
        <v>14.606999999999999</v>
      </c>
      <c r="V58" s="110">
        <v>41.034999999999997</v>
      </c>
      <c r="W58" s="110">
        <v>43.408999999999999</v>
      </c>
      <c r="X58" s="110">
        <v>30.152000000000001</v>
      </c>
      <c r="Y58" s="110">
        <v>41.424999999999997</v>
      </c>
      <c r="Z58" s="110">
        <v>57.97</v>
      </c>
      <c r="AA58" s="110">
        <v>9.2780000000000005</v>
      </c>
      <c r="AB58" s="110">
        <v>15.792</v>
      </c>
      <c r="AC58" s="110">
        <v>8.9250000000000007</v>
      </c>
      <c r="AD58" s="110">
        <v>9.9120000000000008</v>
      </c>
      <c r="AE58" s="110">
        <v>27.463999999999999</v>
      </c>
      <c r="AF58" s="110">
        <v>33.53</v>
      </c>
      <c r="AG58" s="110">
        <v>29.943999999999999</v>
      </c>
      <c r="AH58" s="110">
        <v>30.963999999999999</v>
      </c>
      <c r="AI58" s="110">
        <v>54.03</v>
      </c>
      <c r="AJ58" s="110">
        <v>35.768999999999998</v>
      </c>
      <c r="AK58" s="110">
        <v>38.798999999999999</v>
      </c>
      <c r="AL58" s="110">
        <v>43.348999999999997</v>
      </c>
      <c r="AM58" s="110">
        <v>34.799999999999997</v>
      </c>
      <c r="AN58" s="110">
        <v>30.611000000000001</v>
      </c>
      <c r="AO58" s="110">
        <v>15.494</v>
      </c>
      <c r="AP58" s="110">
        <v>27.68</v>
      </c>
      <c r="AQ58" s="110">
        <v>26.3</v>
      </c>
      <c r="AR58" s="110">
        <v>29.7</v>
      </c>
      <c r="AS58" s="110">
        <v>43.9</v>
      </c>
      <c r="AT58" s="110">
        <v>50.5</v>
      </c>
      <c r="AU58" s="110">
        <v>49.701000000000001</v>
      </c>
      <c r="AV58" s="110">
        <v>28</v>
      </c>
      <c r="AW58" s="110">
        <v>33.966000000000001</v>
      </c>
      <c r="AX58" s="110">
        <v>9.7370000000000001</v>
      </c>
      <c r="AY58" s="110">
        <v>14.943</v>
      </c>
      <c r="AZ58" s="110">
        <v>21.751000000000001</v>
      </c>
      <c r="BA58" s="110">
        <v>24.669</v>
      </c>
      <c r="BB58" s="110">
        <v>36.366</v>
      </c>
      <c r="BC58" s="110">
        <v>34.871000000000002</v>
      </c>
      <c r="BD58" s="110">
        <v>33.880000000000003</v>
      </c>
      <c r="BE58" s="110">
        <v>20.257999999999999</v>
      </c>
      <c r="BF58" s="110">
        <v>34.268999999999998</v>
      </c>
      <c r="BG58" s="110">
        <v>47.921999999999997</v>
      </c>
      <c r="BH58" s="110">
        <v>55.695999999999998</v>
      </c>
      <c r="BI58" s="110">
        <v>24.492000000000001</v>
      </c>
      <c r="BJ58" s="110">
        <v>39.444000000000003</v>
      </c>
      <c r="BK58" s="110">
        <v>36.408999999999999</v>
      </c>
      <c r="BL58" s="58">
        <v>46.279000000000003</v>
      </c>
      <c r="BM58" s="58">
        <v>59.48</v>
      </c>
      <c r="BN58" s="58">
        <v>44.362000000000002</v>
      </c>
      <c r="BO58" s="58">
        <v>36.960999999999999</v>
      </c>
      <c r="BP58" s="66">
        <v>57.814999999999998</v>
      </c>
      <c r="BQ58" s="66">
        <v>47.933</v>
      </c>
      <c r="BR58" s="66">
        <v>43.969000000000001</v>
      </c>
      <c r="BS58" s="66">
        <v>73.754000000000005</v>
      </c>
      <c r="BT58" s="66">
        <v>41.023000000000003</v>
      </c>
      <c r="BU58" s="66">
        <v>44.731999999999999</v>
      </c>
      <c r="BV58" s="55"/>
      <c r="BW58" s="110">
        <v>6.5830000000000002</v>
      </c>
      <c r="BX58" s="110">
        <v>20.725000000000001</v>
      </c>
      <c r="BY58" s="110">
        <v>24.789000000000001</v>
      </c>
      <c r="BZ58" s="110">
        <v>20.414000000000001</v>
      </c>
      <c r="CA58" s="110">
        <v>18.994</v>
      </c>
      <c r="CB58" s="110">
        <v>43.408999999999999</v>
      </c>
      <c r="CC58" s="110">
        <v>9.2780000000000005</v>
      </c>
      <c r="CD58" s="110">
        <v>27.463999999999999</v>
      </c>
      <c r="CE58" s="110">
        <v>54.03</v>
      </c>
      <c r="CF58" s="110">
        <v>34.799999999999997</v>
      </c>
      <c r="CG58" s="110">
        <f t="shared" si="45"/>
        <v>26.3</v>
      </c>
      <c r="CH58" s="110">
        <f t="shared" si="46"/>
        <v>49.701000000000001</v>
      </c>
      <c r="CI58" s="110">
        <f t="shared" si="40"/>
        <v>14.943</v>
      </c>
      <c r="CJ58" s="110">
        <f t="shared" si="41"/>
        <v>34.871000000000002</v>
      </c>
      <c r="CK58" s="110">
        <f t="shared" si="42"/>
        <v>47.921999999999997</v>
      </c>
      <c r="CL58" s="58">
        <f t="shared" si="43"/>
        <v>36.408999999999999</v>
      </c>
      <c r="CM58" s="58">
        <f t="shared" si="8"/>
        <v>36.960999999999999</v>
      </c>
      <c r="CN58" s="58">
        <f t="shared" si="44"/>
        <v>73.754000000000005</v>
      </c>
      <c r="CO58" s="206"/>
      <c r="CP58" s="6"/>
      <c r="CT58" s="48"/>
    </row>
    <row r="59" spans="1:98" x14ac:dyDescent="0.35">
      <c r="B59" s="40" t="str">
        <f>IF(Control!$D$5=1,"Vacation accrual and related charges","Provisão para férias e Encargos")</f>
        <v>Provisão para férias e Encargos</v>
      </c>
      <c r="C59" s="110">
        <v>2.754</v>
      </c>
      <c r="D59" s="110">
        <v>3.9329999999999998</v>
      </c>
      <c r="E59" s="58" t="s">
        <v>2</v>
      </c>
      <c r="F59" s="58" t="s">
        <v>2</v>
      </c>
      <c r="G59" s="110">
        <v>3.593</v>
      </c>
      <c r="H59" s="110">
        <v>5.0069999999999997</v>
      </c>
      <c r="I59" s="110">
        <v>5.8259999999999996</v>
      </c>
      <c r="J59" s="110">
        <v>7.6219999999999999</v>
      </c>
      <c r="K59" s="110">
        <v>4.1130000000000004</v>
      </c>
      <c r="L59" s="110">
        <v>6.1239999999999997</v>
      </c>
      <c r="M59" s="110">
        <v>6.6589999999999998</v>
      </c>
      <c r="N59" s="110">
        <v>8.9659999999999993</v>
      </c>
      <c r="O59" s="110">
        <v>4.2530000000000001</v>
      </c>
      <c r="P59" s="110">
        <v>8.99</v>
      </c>
      <c r="Q59" s="110">
        <v>11.987</v>
      </c>
      <c r="R59" s="110">
        <v>16.494</v>
      </c>
      <c r="S59" s="110">
        <v>12.914999999999999</v>
      </c>
      <c r="T59" s="110">
        <v>17.295000000000002</v>
      </c>
      <c r="U59" s="110">
        <v>19.911000000000001</v>
      </c>
      <c r="V59" s="110">
        <v>25.158999999999999</v>
      </c>
      <c r="W59" s="110">
        <v>20.053999999999998</v>
      </c>
      <c r="X59" s="110">
        <v>24.405000000000001</v>
      </c>
      <c r="Y59" s="110">
        <v>28.552</v>
      </c>
      <c r="Z59" s="110">
        <v>35.014000000000003</v>
      </c>
      <c r="AA59" s="110">
        <v>19.704999999999998</v>
      </c>
      <c r="AB59" s="110">
        <v>25.408999999999999</v>
      </c>
      <c r="AC59" s="110">
        <v>29.637</v>
      </c>
      <c r="AD59" s="110">
        <v>37.151000000000003</v>
      </c>
      <c r="AE59" s="110">
        <v>24.016999999999999</v>
      </c>
      <c r="AF59" s="110">
        <v>30.582999999999998</v>
      </c>
      <c r="AG59" s="110">
        <v>33.393999999999998</v>
      </c>
      <c r="AH59" s="110">
        <v>40.104999999999997</v>
      </c>
      <c r="AI59" s="110">
        <v>24.641999999999999</v>
      </c>
      <c r="AJ59" s="110">
        <v>34.853999999999999</v>
      </c>
      <c r="AK59" s="110">
        <v>39.826999999999998</v>
      </c>
      <c r="AL59" s="110">
        <v>47.530999999999999</v>
      </c>
      <c r="AM59" s="110">
        <v>27.4</v>
      </c>
      <c r="AN59" s="110">
        <v>36.158000000000001</v>
      </c>
      <c r="AO59" s="110">
        <v>38.841999999999999</v>
      </c>
      <c r="AP59" s="110">
        <v>48.850999999999999</v>
      </c>
      <c r="AQ59" s="110">
        <v>32.299999999999997</v>
      </c>
      <c r="AR59" s="110">
        <v>42.5</v>
      </c>
      <c r="AS59" s="110">
        <v>46.5</v>
      </c>
      <c r="AT59" s="110">
        <v>51.6</v>
      </c>
      <c r="AU59" s="110">
        <v>36.503</v>
      </c>
      <c r="AV59" s="110">
        <v>44.3</v>
      </c>
      <c r="AW59" s="110">
        <v>48.508000000000003</v>
      </c>
      <c r="AX59" s="110">
        <v>55.93</v>
      </c>
      <c r="AY59" s="110">
        <v>40.695999999999998</v>
      </c>
      <c r="AZ59" s="110">
        <v>53.14</v>
      </c>
      <c r="BA59" s="110">
        <v>61.095999999999997</v>
      </c>
      <c r="BB59" s="110">
        <v>70.903000000000006</v>
      </c>
      <c r="BC59" s="110">
        <v>47.994999999999997</v>
      </c>
      <c r="BD59" s="110">
        <v>56.688000000000002</v>
      </c>
      <c r="BE59" s="110">
        <v>63.561</v>
      </c>
      <c r="BF59" s="110">
        <v>82.575999999999993</v>
      </c>
      <c r="BG59" s="110">
        <v>53.027999999999999</v>
      </c>
      <c r="BH59" s="110">
        <v>65.113</v>
      </c>
      <c r="BI59" s="110">
        <v>76.292000000000002</v>
      </c>
      <c r="BJ59" s="110">
        <v>100.39</v>
      </c>
      <c r="BK59" s="110">
        <v>62.832000000000001</v>
      </c>
      <c r="BL59" s="58">
        <v>54.638752463684</v>
      </c>
      <c r="BM59" s="58">
        <v>68.197000000000003</v>
      </c>
      <c r="BN59" s="58">
        <v>74.912000000000006</v>
      </c>
      <c r="BO59" s="58">
        <v>53.701999999999998</v>
      </c>
      <c r="BP59" s="66">
        <v>58.669257471031997</v>
      </c>
      <c r="BQ59" s="66">
        <v>66.97</v>
      </c>
      <c r="BR59" s="66">
        <v>76.370999999999995</v>
      </c>
      <c r="BS59" s="66">
        <v>54.942999999999998</v>
      </c>
      <c r="BT59" s="66">
        <v>67.484999999999999</v>
      </c>
      <c r="BU59" s="66">
        <v>72.209999999999994</v>
      </c>
      <c r="BV59" s="55"/>
      <c r="BW59" s="110">
        <v>2.754</v>
      </c>
      <c r="BX59" s="110">
        <v>3.593</v>
      </c>
      <c r="BY59" s="110">
        <v>4.1130000000000004</v>
      </c>
      <c r="BZ59" s="110">
        <v>4.2530000000000001</v>
      </c>
      <c r="CA59" s="110">
        <v>12.914999999999999</v>
      </c>
      <c r="CB59" s="110">
        <v>20.053999999999998</v>
      </c>
      <c r="CC59" s="110">
        <v>19.704999999999998</v>
      </c>
      <c r="CD59" s="110">
        <v>24.016999999999999</v>
      </c>
      <c r="CE59" s="110">
        <v>24.641999999999999</v>
      </c>
      <c r="CF59" s="110">
        <v>27.4</v>
      </c>
      <c r="CG59" s="110">
        <f t="shared" si="45"/>
        <v>32.299999999999997</v>
      </c>
      <c r="CH59" s="110">
        <f t="shared" si="46"/>
        <v>36.503</v>
      </c>
      <c r="CI59" s="110">
        <f t="shared" si="40"/>
        <v>40.695999999999998</v>
      </c>
      <c r="CJ59" s="110">
        <f t="shared" si="41"/>
        <v>47.994999999999997</v>
      </c>
      <c r="CK59" s="110">
        <f t="shared" si="42"/>
        <v>53.027999999999999</v>
      </c>
      <c r="CL59" s="58">
        <f t="shared" si="43"/>
        <v>62.832000000000001</v>
      </c>
      <c r="CM59" s="58">
        <f t="shared" si="8"/>
        <v>53.701999999999998</v>
      </c>
      <c r="CN59" s="58">
        <f t="shared" si="44"/>
        <v>54.942999999999998</v>
      </c>
      <c r="CO59" s="206"/>
      <c r="CP59" s="6"/>
      <c r="CT59" s="48"/>
    </row>
    <row r="60" spans="1:98" x14ac:dyDescent="0.35">
      <c r="B60" s="40" t="str">
        <f>IF(Control!$D$5=1,"Outstanding Taxes","Parcelamento de Impostos")</f>
        <v>Parcelamento de Impostos</v>
      </c>
      <c r="C60" s="110">
        <v>3.1619999999999999</v>
      </c>
      <c r="D60" s="110">
        <v>2.9580000000000002</v>
      </c>
      <c r="E60" s="58" t="s">
        <v>2</v>
      </c>
      <c r="F60" s="58" t="s">
        <v>2</v>
      </c>
      <c r="G60" s="110">
        <v>3.0880000000000001</v>
      </c>
      <c r="H60" s="110">
        <v>3.109</v>
      </c>
      <c r="I60" s="110">
        <v>2.2970000000000002</v>
      </c>
      <c r="J60" s="110">
        <v>1.532</v>
      </c>
      <c r="K60" s="110">
        <v>0.90100000000000002</v>
      </c>
      <c r="L60" s="110">
        <v>0.26900000000000002</v>
      </c>
      <c r="M60" s="110">
        <v>2.1629999999999998</v>
      </c>
      <c r="N60" s="110">
        <v>2.5270000000000001</v>
      </c>
      <c r="O60" s="110">
        <v>1.895</v>
      </c>
      <c r="P60" s="110">
        <v>7.0430000000000001</v>
      </c>
      <c r="Q60" s="110">
        <v>10.616</v>
      </c>
      <c r="R60" s="110">
        <v>10.404</v>
      </c>
      <c r="S60" s="110">
        <v>10.872999999999999</v>
      </c>
      <c r="T60" s="110">
        <v>10.988</v>
      </c>
      <c r="U60" s="110">
        <v>11.106</v>
      </c>
      <c r="V60" s="110">
        <v>10.622</v>
      </c>
      <c r="W60" s="110">
        <v>12.311</v>
      </c>
      <c r="X60" s="110">
        <v>11.87</v>
      </c>
      <c r="Y60" s="110">
        <v>12.526</v>
      </c>
      <c r="Z60" s="110">
        <v>12.673999999999999</v>
      </c>
      <c r="AA60" s="110">
        <v>9.6270000000000007</v>
      </c>
      <c r="AB60" s="110">
        <v>8.5459999999999994</v>
      </c>
      <c r="AC60" s="110">
        <v>15.505000000000001</v>
      </c>
      <c r="AD60" s="110">
        <v>23.071999999999999</v>
      </c>
      <c r="AE60" s="110">
        <v>10.173</v>
      </c>
      <c r="AF60" s="110">
        <v>10.349</v>
      </c>
      <c r="AG60" s="110">
        <v>10.502000000000001</v>
      </c>
      <c r="AH60" s="110">
        <v>10.242000000000001</v>
      </c>
      <c r="AI60" s="110">
        <v>9.9640000000000004</v>
      </c>
      <c r="AJ60" s="110">
        <v>9.7319999999999993</v>
      </c>
      <c r="AK60" s="110">
        <v>9.4410000000000007</v>
      </c>
      <c r="AL60" s="110">
        <v>8.4809999999999999</v>
      </c>
      <c r="AM60" s="110">
        <v>9.7000000000000011</v>
      </c>
      <c r="AN60" s="110">
        <v>10.212999999999999</v>
      </c>
      <c r="AO60" s="110">
        <v>9.9179999999999993</v>
      </c>
      <c r="AP60" s="110">
        <v>9.6809999999999992</v>
      </c>
      <c r="AQ60" s="110">
        <v>2.5</v>
      </c>
      <c r="AR60" s="110">
        <v>2.1</v>
      </c>
      <c r="AS60" s="110">
        <v>1.6</v>
      </c>
      <c r="AT60" s="110">
        <v>8.5</v>
      </c>
      <c r="AU60" s="110">
        <v>8.4580000000000002</v>
      </c>
      <c r="AV60" s="110">
        <v>8.5</v>
      </c>
      <c r="AW60" s="110">
        <v>8.4600000000000009</v>
      </c>
      <c r="AX60" s="110">
        <v>8.4619999999999997</v>
      </c>
      <c r="AY60" s="110">
        <v>8.4619999999999997</v>
      </c>
      <c r="AZ60" s="110">
        <v>8.4730000000000008</v>
      </c>
      <c r="BA60" s="110">
        <v>8.423</v>
      </c>
      <c r="BB60" s="110">
        <v>8.3979999999999997</v>
      </c>
      <c r="BC60" s="110">
        <v>8.3740000000000006</v>
      </c>
      <c r="BD60" s="110">
        <v>5.2210000000000001</v>
      </c>
      <c r="BE60" s="110">
        <v>9.0340000000000007</v>
      </c>
      <c r="BF60" s="110">
        <v>10.628</v>
      </c>
      <c r="BG60" s="110">
        <v>9.6720000000000006</v>
      </c>
      <c r="BH60" s="110">
        <v>7.02</v>
      </c>
      <c r="BI60" s="110">
        <v>5.6</v>
      </c>
      <c r="BJ60" s="110">
        <v>8.0329999999999995</v>
      </c>
      <c r="BK60" s="110">
        <v>6.7969999999999997</v>
      </c>
      <c r="BL60" s="58">
        <v>5.5519999999999996</v>
      </c>
      <c r="BM60" s="58">
        <v>5.1109999999999998</v>
      </c>
      <c r="BN60" s="58">
        <v>5.2009999999999996</v>
      </c>
      <c r="BO60" s="58">
        <v>5.3440000000000003</v>
      </c>
      <c r="BP60" s="66">
        <v>5.3501442699999995</v>
      </c>
      <c r="BQ60" s="66">
        <v>4.8920000000000003</v>
      </c>
      <c r="BR60" s="66">
        <v>4.8920000000000003</v>
      </c>
      <c r="BS60" s="66">
        <v>0</v>
      </c>
      <c r="BT60" s="66">
        <v>0</v>
      </c>
      <c r="BU60" s="66">
        <v>0</v>
      </c>
      <c r="BV60" s="55"/>
      <c r="BW60" s="110">
        <v>3.1619999999999999</v>
      </c>
      <c r="BX60" s="110">
        <v>3.0880000000000001</v>
      </c>
      <c r="BY60" s="110">
        <v>0.90100000000000002</v>
      </c>
      <c r="BZ60" s="110">
        <v>1.895</v>
      </c>
      <c r="CA60" s="110">
        <v>10.872999999999999</v>
      </c>
      <c r="CB60" s="110">
        <v>12.311</v>
      </c>
      <c r="CC60" s="110">
        <v>9.6270000000000007</v>
      </c>
      <c r="CD60" s="110">
        <v>10.173</v>
      </c>
      <c r="CE60" s="110">
        <v>9.9640000000000004</v>
      </c>
      <c r="CF60" s="110">
        <v>9.7000000000000011</v>
      </c>
      <c r="CG60" s="110">
        <f t="shared" si="45"/>
        <v>2.5</v>
      </c>
      <c r="CH60" s="110">
        <f t="shared" si="46"/>
        <v>8.4580000000000002</v>
      </c>
      <c r="CI60" s="110">
        <f t="shared" si="40"/>
        <v>8.4619999999999997</v>
      </c>
      <c r="CJ60" s="110">
        <f t="shared" si="41"/>
        <v>8.3740000000000006</v>
      </c>
      <c r="CK60" s="110">
        <f t="shared" si="42"/>
        <v>9.6720000000000006</v>
      </c>
      <c r="CL60" s="58">
        <f t="shared" si="43"/>
        <v>6.7969999999999997</v>
      </c>
      <c r="CM60" s="58">
        <f t="shared" si="8"/>
        <v>5.3440000000000003</v>
      </c>
      <c r="CN60" s="58">
        <f t="shared" si="44"/>
        <v>0</v>
      </c>
      <c r="CO60" s="206"/>
      <c r="CP60" s="6"/>
      <c r="CT60" s="48"/>
    </row>
    <row r="61" spans="1:98" x14ac:dyDescent="0.35">
      <c r="B61" s="40" t="str">
        <f>IF(Control!$D$5=1,"Deferred Income Taxes","Imposto de Renda Diferido")</f>
        <v>Imposto de Renda Diferido</v>
      </c>
      <c r="C61" s="110">
        <v>0.17499999999999999</v>
      </c>
      <c r="D61" s="110">
        <v>0.17499999999999999</v>
      </c>
      <c r="E61" s="58" t="s">
        <v>2</v>
      </c>
      <c r="F61" s="58" t="s">
        <v>2</v>
      </c>
      <c r="G61" s="110">
        <v>0.67300000000000004</v>
      </c>
      <c r="H61" s="110">
        <v>0.68899999999999995</v>
      </c>
      <c r="I61" s="110">
        <v>0.73199999999999998</v>
      </c>
      <c r="J61" s="110">
        <v>0.67600000000000005</v>
      </c>
      <c r="K61" s="110">
        <v>0.90500000000000003</v>
      </c>
      <c r="L61" s="110">
        <v>0</v>
      </c>
      <c r="M61" s="110">
        <v>0</v>
      </c>
      <c r="N61" s="110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0">
        <v>0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0</v>
      </c>
      <c r="AM61" s="110">
        <v>0</v>
      </c>
      <c r="AN61" s="110">
        <v>0</v>
      </c>
      <c r="AO61" s="110">
        <v>0</v>
      </c>
      <c r="AP61" s="110">
        <v>0</v>
      </c>
      <c r="AQ61" s="110">
        <v>0</v>
      </c>
      <c r="AR61" s="110">
        <v>0</v>
      </c>
      <c r="AS61" s="110">
        <v>0</v>
      </c>
      <c r="AT61" s="110">
        <v>0</v>
      </c>
      <c r="AU61" s="110">
        <v>0</v>
      </c>
      <c r="AV61" s="110">
        <v>0</v>
      </c>
      <c r="AW61" s="110">
        <v>0</v>
      </c>
      <c r="AX61" s="110">
        <v>0</v>
      </c>
      <c r="AY61" s="110">
        <v>0</v>
      </c>
      <c r="AZ61" s="110">
        <v>0</v>
      </c>
      <c r="BA61" s="110">
        <v>0</v>
      </c>
      <c r="BB61" s="110">
        <v>0</v>
      </c>
      <c r="BC61" s="110">
        <v>0</v>
      </c>
      <c r="BD61" s="110">
        <v>0</v>
      </c>
      <c r="BE61" s="110">
        <v>0</v>
      </c>
      <c r="BF61" s="110">
        <v>0</v>
      </c>
      <c r="BG61" s="110">
        <v>0</v>
      </c>
      <c r="BH61" s="110">
        <v>0</v>
      </c>
      <c r="BI61" s="110">
        <v>0</v>
      </c>
      <c r="BJ61" s="110">
        <v>0</v>
      </c>
      <c r="BK61" s="110">
        <v>0</v>
      </c>
      <c r="BL61" s="58">
        <v>0</v>
      </c>
      <c r="BM61" s="58">
        <v>0</v>
      </c>
      <c r="BN61" s="58">
        <v>0</v>
      </c>
      <c r="BO61" s="221">
        <v>0</v>
      </c>
      <c r="BP61" s="66">
        <v>0</v>
      </c>
      <c r="BQ61" s="66">
        <v>0</v>
      </c>
      <c r="BR61" s="66">
        <v>0</v>
      </c>
      <c r="BS61" s="66">
        <v>0</v>
      </c>
      <c r="BT61" s="66">
        <v>0</v>
      </c>
      <c r="BU61" s="66">
        <v>0</v>
      </c>
      <c r="BV61" s="55"/>
      <c r="BW61" s="110">
        <v>0.17499999999999999</v>
      </c>
      <c r="BX61" s="110">
        <v>0.67300000000000004</v>
      </c>
      <c r="BY61" s="110">
        <v>0.90500000000000003</v>
      </c>
      <c r="BZ61" s="110">
        <v>0</v>
      </c>
      <c r="CA61" s="110">
        <v>0</v>
      </c>
      <c r="CB61" s="110">
        <v>0</v>
      </c>
      <c r="CC61" s="110">
        <v>0</v>
      </c>
      <c r="CD61" s="110">
        <v>0</v>
      </c>
      <c r="CE61" s="110">
        <v>0</v>
      </c>
      <c r="CF61" s="110">
        <v>0</v>
      </c>
      <c r="CG61" s="110">
        <f t="shared" si="45"/>
        <v>0</v>
      </c>
      <c r="CH61" s="110">
        <f t="shared" si="46"/>
        <v>0</v>
      </c>
      <c r="CI61" s="110">
        <f t="shared" si="40"/>
        <v>0</v>
      </c>
      <c r="CJ61" s="110">
        <f t="shared" si="41"/>
        <v>0</v>
      </c>
      <c r="CK61" s="110">
        <f t="shared" si="42"/>
        <v>0</v>
      </c>
      <c r="CL61" s="58">
        <f t="shared" si="43"/>
        <v>0</v>
      </c>
      <c r="CM61" s="58">
        <f t="shared" si="8"/>
        <v>0</v>
      </c>
      <c r="CN61" s="58">
        <f t="shared" si="44"/>
        <v>0</v>
      </c>
      <c r="CO61" s="206"/>
      <c r="CP61" s="6"/>
      <c r="CT61" s="48"/>
    </row>
    <row r="62" spans="1:98" x14ac:dyDescent="0.35">
      <c r="B62" s="40" t="str">
        <f>IF(Control!$D$5=1,"Provision for contingencies","Provisão para Contingências")</f>
        <v>Provisão para Contingências</v>
      </c>
      <c r="C62" s="110">
        <v>1.363</v>
      </c>
      <c r="D62" s="110">
        <v>0.55100000000000005</v>
      </c>
      <c r="E62" s="58" t="s">
        <v>2</v>
      </c>
      <c r="F62" s="58" t="s">
        <v>2</v>
      </c>
      <c r="G62" s="110">
        <v>0.84</v>
      </c>
      <c r="H62" s="110">
        <v>0.66700000000000004</v>
      </c>
      <c r="I62" s="110">
        <v>0.63800000000000001</v>
      </c>
      <c r="J62" s="110">
        <v>0.59199999999999997</v>
      </c>
      <c r="K62" s="110">
        <v>0.61199999999999999</v>
      </c>
      <c r="L62" s="110">
        <v>0.61399999999999999</v>
      </c>
      <c r="M62" s="110">
        <v>0.55600000000000005</v>
      </c>
      <c r="N62" s="110">
        <v>0.64100000000000001</v>
      </c>
      <c r="O62" s="110">
        <v>0.62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  <c r="AB62" s="110">
        <v>0</v>
      </c>
      <c r="AC62" s="110">
        <v>0</v>
      </c>
      <c r="AD62" s="110">
        <v>0</v>
      </c>
      <c r="AE62" s="110">
        <v>0</v>
      </c>
      <c r="AF62" s="110">
        <v>0</v>
      </c>
      <c r="AG62" s="110">
        <v>0</v>
      </c>
      <c r="AH62" s="110">
        <v>0</v>
      </c>
      <c r="AI62" s="110">
        <v>0</v>
      </c>
      <c r="AJ62" s="110">
        <v>0</v>
      </c>
      <c r="AK62" s="110">
        <v>0</v>
      </c>
      <c r="AL62" s="110">
        <v>0</v>
      </c>
      <c r="AM62" s="110">
        <v>0</v>
      </c>
      <c r="AN62" s="110">
        <v>0</v>
      </c>
      <c r="AO62" s="110">
        <v>0</v>
      </c>
      <c r="AP62" s="110">
        <v>0</v>
      </c>
      <c r="AQ62" s="110">
        <v>0</v>
      </c>
      <c r="AR62" s="110">
        <v>0</v>
      </c>
      <c r="AS62" s="110">
        <v>0</v>
      </c>
      <c r="AT62" s="110">
        <v>0</v>
      </c>
      <c r="AU62" s="110">
        <v>0</v>
      </c>
      <c r="AV62" s="110">
        <v>0</v>
      </c>
      <c r="AW62" s="110">
        <v>0</v>
      </c>
      <c r="AX62" s="110">
        <v>0</v>
      </c>
      <c r="AY62" s="110">
        <v>0</v>
      </c>
      <c r="AZ62" s="110">
        <v>0</v>
      </c>
      <c r="BA62" s="110">
        <v>0</v>
      </c>
      <c r="BB62" s="110">
        <v>0</v>
      </c>
      <c r="BC62" s="110">
        <v>0</v>
      </c>
      <c r="BD62" s="110">
        <v>0</v>
      </c>
      <c r="BE62" s="110">
        <v>0</v>
      </c>
      <c r="BF62" s="110">
        <v>0</v>
      </c>
      <c r="BG62" s="110">
        <v>0</v>
      </c>
      <c r="BH62" s="110">
        <v>0</v>
      </c>
      <c r="BI62" s="110">
        <v>0</v>
      </c>
      <c r="BJ62" s="110">
        <v>0</v>
      </c>
      <c r="BK62" s="110">
        <v>0</v>
      </c>
      <c r="BL62" s="58">
        <v>0</v>
      </c>
      <c r="BM62" s="58">
        <v>0</v>
      </c>
      <c r="BN62" s="58">
        <v>0</v>
      </c>
      <c r="BO62" s="221">
        <v>0</v>
      </c>
      <c r="BP62" s="66">
        <v>0</v>
      </c>
      <c r="BQ62" s="66">
        <v>0</v>
      </c>
      <c r="BR62" s="66">
        <v>0</v>
      </c>
      <c r="BS62" s="66">
        <v>0</v>
      </c>
      <c r="BT62" s="66">
        <v>0</v>
      </c>
      <c r="BU62" s="66">
        <v>0</v>
      </c>
      <c r="BV62" s="55"/>
      <c r="BW62" s="110">
        <v>1.363</v>
      </c>
      <c r="BX62" s="110">
        <v>0.84</v>
      </c>
      <c r="BY62" s="110">
        <v>0.61199999999999999</v>
      </c>
      <c r="BZ62" s="110">
        <v>0.62</v>
      </c>
      <c r="CA62" s="110">
        <v>0</v>
      </c>
      <c r="CB62" s="110">
        <v>0</v>
      </c>
      <c r="CC62" s="110">
        <v>0</v>
      </c>
      <c r="CD62" s="110">
        <v>0</v>
      </c>
      <c r="CE62" s="110">
        <v>0</v>
      </c>
      <c r="CF62" s="110">
        <v>0</v>
      </c>
      <c r="CG62" s="110">
        <f t="shared" si="45"/>
        <v>0</v>
      </c>
      <c r="CH62" s="110">
        <f t="shared" si="46"/>
        <v>0</v>
      </c>
      <c r="CI62" s="110">
        <f t="shared" si="40"/>
        <v>0</v>
      </c>
      <c r="CJ62" s="110">
        <f t="shared" si="41"/>
        <v>0</v>
      </c>
      <c r="CK62" s="110">
        <f t="shared" si="42"/>
        <v>0</v>
      </c>
      <c r="CL62" s="58">
        <f t="shared" si="43"/>
        <v>0</v>
      </c>
      <c r="CM62" s="58">
        <f t="shared" si="8"/>
        <v>0</v>
      </c>
      <c r="CN62" s="58">
        <f t="shared" si="44"/>
        <v>0</v>
      </c>
      <c r="CO62" s="206"/>
      <c r="CP62" s="6"/>
      <c r="CT62" s="48"/>
    </row>
    <row r="63" spans="1:98" x14ac:dyDescent="0.35">
      <c r="B63" s="40" t="str">
        <f>IF(Control!$D$5=1,"Notes Payable","Títulos a Pagar")</f>
        <v>Títulos a Pagar</v>
      </c>
      <c r="C63" s="110">
        <v>0</v>
      </c>
      <c r="D63" s="110">
        <v>0</v>
      </c>
      <c r="E63" s="58" t="s">
        <v>2</v>
      </c>
      <c r="F63" s="58" t="s">
        <v>2</v>
      </c>
      <c r="G63" s="110">
        <v>25.437999999999999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10">
        <v>0</v>
      </c>
      <c r="V63" s="110">
        <v>58.162999999999997</v>
      </c>
      <c r="W63" s="110">
        <v>54.970999999999997</v>
      </c>
      <c r="X63" s="110">
        <v>55.923000000000002</v>
      </c>
      <c r="Y63" s="110">
        <v>57.043999999999997</v>
      </c>
      <c r="Z63" s="110">
        <v>62.694000000000003</v>
      </c>
      <c r="AA63" s="110">
        <v>62.694000000000003</v>
      </c>
      <c r="AB63" s="110">
        <v>65.784999999999997</v>
      </c>
      <c r="AC63" s="110">
        <v>67.522000000000006</v>
      </c>
      <c r="AD63" s="110">
        <v>69.349999999999994</v>
      </c>
      <c r="AE63" s="110">
        <v>71.239000000000004</v>
      </c>
      <c r="AF63" s="110">
        <v>73.372</v>
      </c>
      <c r="AG63" s="110">
        <v>75.855000000000004</v>
      </c>
      <c r="AH63" s="110">
        <v>0</v>
      </c>
      <c r="AI63" s="110">
        <v>0</v>
      </c>
      <c r="AJ63" s="110">
        <v>0</v>
      </c>
      <c r="AK63" s="110">
        <v>0</v>
      </c>
      <c r="AL63" s="110">
        <v>0</v>
      </c>
      <c r="AM63" s="110">
        <v>0</v>
      </c>
      <c r="AN63" s="110">
        <v>0</v>
      </c>
      <c r="AO63" s="110">
        <v>0</v>
      </c>
      <c r="AP63" s="110">
        <v>0</v>
      </c>
      <c r="AQ63" s="110">
        <v>0</v>
      </c>
      <c r="AR63" s="110">
        <v>0</v>
      </c>
      <c r="AS63" s="110">
        <v>0</v>
      </c>
      <c r="AT63" s="110">
        <v>0</v>
      </c>
      <c r="AU63" s="110">
        <v>0</v>
      </c>
      <c r="AV63" s="110">
        <v>0</v>
      </c>
      <c r="AW63" s="110">
        <v>0</v>
      </c>
      <c r="AX63" s="110">
        <v>0</v>
      </c>
      <c r="AY63" s="110">
        <v>0</v>
      </c>
      <c r="AZ63" s="110">
        <v>0</v>
      </c>
      <c r="BA63" s="110">
        <v>0</v>
      </c>
      <c r="BB63" s="110">
        <v>0</v>
      </c>
      <c r="BC63" s="110">
        <v>0</v>
      </c>
      <c r="BD63" s="110">
        <v>0</v>
      </c>
      <c r="BE63" s="110">
        <v>0</v>
      </c>
      <c r="BF63" s="110">
        <v>0</v>
      </c>
      <c r="BG63" s="110">
        <v>0</v>
      </c>
      <c r="BH63" s="110">
        <v>0</v>
      </c>
      <c r="BI63" s="110">
        <v>0</v>
      </c>
      <c r="BJ63" s="110">
        <v>0</v>
      </c>
      <c r="BK63" s="110">
        <v>0</v>
      </c>
      <c r="BL63" s="58">
        <v>0</v>
      </c>
      <c r="BM63" s="58">
        <v>0</v>
      </c>
      <c r="BN63" s="58">
        <v>0</v>
      </c>
      <c r="BO63" s="221">
        <v>0</v>
      </c>
      <c r="BP63" s="66">
        <v>0</v>
      </c>
      <c r="BQ63" s="66">
        <v>0</v>
      </c>
      <c r="BR63" s="66">
        <v>0</v>
      </c>
      <c r="BS63" s="66">
        <v>0</v>
      </c>
      <c r="BT63" s="66">
        <v>0</v>
      </c>
      <c r="BU63" s="66">
        <v>0</v>
      </c>
      <c r="BV63" s="55"/>
      <c r="BW63" s="110">
        <v>0</v>
      </c>
      <c r="BX63" s="110">
        <v>25.437999999999999</v>
      </c>
      <c r="BY63" s="110">
        <v>0</v>
      </c>
      <c r="BZ63" s="110">
        <v>0</v>
      </c>
      <c r="CA63" s="110">
        <v>0</v>
      </c>
      <c r="CB63" s="110">
        <v>54.970999999999997</v>
      </c>
      <c r="CC63" s="110">
        <v>62.694000000000003</v>
      </c>
      <c r="CD63" s="110">
        <v>71.239000000000004</v>
      </c>
      <c r="CE63" s="110">
        <v>0</v>
      </c>
      <c r="CF63" s="110">
        <v>0</v>
      </c>
      <c r="CG63" s="110">
        <f t="shared" si="45"/>
        <v>0</v>
      </c>
      <c r="CH63" s="110">
        <f t="shared" si="46"/>
        <v>0</v>
      </c>
      <c r="CI63" s="110">
        <f t="shared" si="40"/>
        <v>0</v>
      </c>
      <c r="CJ63" s="110">
        <f t="shared" si="41"/>
        <v>0</v>
      </c>
      <c r="CK63" s="110">
        <f t="shared" si="42"/>
        <v>0</v>
      </c>
      <c r="CL63" s="58">
        <f t="shared" si="43"/>
        <v>0</v>
      </c>
      <c r="CM63" s="58">
        <f t="shared" si="8"/>
        <v>0</v>
      </c>
      <c r="CN63" s="58">
        <f t="shared" si="44"/>
        <v>0</v>
      </c>
      <c r="CO63" s="206"/>
      <c r="CP63" s="6"/>
      <c r="CT63" s="48"/>
    </row>
    <row r="64" spans="1:98" x14ac:dyDescent="0.35">
      <c r="A64" s="135"/>
      <c r="B64" s="40" t="str">
        <f>IF(Control!$D$5=1,"Subsidiary liability","Passivo à descoberto em controlada")</f>
        <v>Passivo à descoberto em controlada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>
        <v>0</v>
      </c>
      <c r="AN64" s="58">
        <v>0</v>
      </c>
      <c r="AO64" s="58">
        <v>0</v>
      </c>
      <c r="AP64" s="58">
        <v>0</v>
      </c>
      <c r="AQ64" s="58">
        <v>3.4</v>
      </c>
      <c r="AR64" s="58">
        <v>0</v>
      </c>
      <c r="AS64" s="58">
        <v>0</v>
      </c>
      <c r="AT64" s="110">
        <v>0</v>
      </c>
      <c r="AU64" s="110">
        <v>0</v>
      </c>
      <c r="AV64" s="110">
        <v>0</v>
      </c>
      <c r="AW64" s="110">
        <v>0</v>
      </c>
      <c r="AX64" s="110">
        <v>0</v>
      </c>
      <c r="AY64" s="110">
        <v>0</v>
      </c>
      <c r="AZ64" s="110">
        <v>0</v>
      </c>
      <c r="BA64" s="110">
        <v>0</v>
      </c>
      <c r="BB64" s="110">
        <v>0</v>
      </c>
      <c r="BC64" s="110">
        <v>0</v>
      </c>
      <c r="BD64" s="110">
        <v>0</v>
      </c>
      <c r="BE64" s="110">
        <v>0</v>
      </c>
      <c r="BF64" s="110">
        <v>0</v>
      </c>
      <c r="BG64" s="110">
        <v>0</v>
      </c>
      <c r="BH64" s="110">
        <v>0</v>
      </c>
      <c r="BI64" s="110">
        <v>0</v>
      </c>
      <c r="BJ64" s="110">
        <v>0</v>
      </c>
      <c r="BK64" s="110">
        <v>0</v>
      </c>
      <c r="BL64" s="58">
        <v>0</v>
      </c>
      <c r="BM64" s="58">
        <v>0</v>
      </c>
      <c r="BN64" s="58">
        <v>0</v>
      </c>
      <c r="BO64" s="221">
        <v>0</v>
      </c>
      <c r="BP64" s="66">
        <v>0</v>
      </c>
      <c r="BQ64" s="66">
        <v>0</v>
      </c>
      <c r="BR64" s="66">
        <v>0</v>
      </c>
      <c r="BS64" s="66">
        <v>0</v>
      </c>
      <c r="BT64" s="66">
        <v>0</v>
      </c>
      <c r="BU64" s="66">
        <v>0</v>
      </c>
      <c r="BV64" s="55"/>
      <c r="BW64" s="58">
        <v>0</v>
      </c>
      <c r="BX64" s="58">
        <v>0</v>
      </c>
      <c r="BY64" s="58">
        <v>0</v>
      </c>
      <c r="BZ64" s="58">
        <v>0</v>
      </c>
      <c r="CA64" s="58">
        <v>0</v>
      </c>
      <c r="CB64" s="58">
        <v>0</v>
      </c>
      <c r="CC64" s="58">
        <v>0</v>
      </c>
      <c r="CD64" s="58">
        <v>0</v>
      </c>
      <c r="CE64" s="58">
        <v>0</v>
      </c>
      <c r="CF64" s="58">
        <v>0</v>
      </c>
      <c r="CG64" s="110">
        <f t="shared" si="45"/>
        <v>3.4</v>
      </c>
      <c r="CH64" s="110">
        <f t="shared" si="46"/>
        <v>0</v>
      </c>
      <c r="CI64" s="110">
        <f t="shared" si="40"/>
        <v>0</v>
      </c>
      <c r="CJ64" s="110">
        <f t="shared" si="41"/>
        <v>0</v>
      </c>
      <c r="CK64" s="110">
        <f t="shared" si="42"/>
        <v>0</v>
      </c>
      <c r="CL64" s="58">
        <f t="shared" si="43"/>
        <v>0</v>
      </c>
      <c r="CM64" s="58">
        <f t="shared" si="8"/>
        <v>0</v>
      </c>
      <c r="CN64" s="58">
        <f t="shared" si="44"/>
        <v>0</v>
      </c>
      <c r="CO64" s="206"/>
      <c r="CP64" s="6"/>
      <c r="CT64" s="48"/>
    </row>
    <row r="65" spans="1:98" x14ac:dyDescent="0.35">
      <c r="A65" s="135"/>
      <c r="B65" s="40" t="str">
        <f>IF(Control!$D$5=1,"Accounts Payable from Investments Acquired","Contas a pagar aquisição de Investimentos")</f>
        <v>Contas a pagar aquisição de Investimentos</v>
      </c>
      <c r="C65" s="110">
        <v>0</v>
      </c>
      <c r="D65" s="110">
        <v>0</v>
      </c>
      <c r="E65" s="110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10">
        <v>0</v>
      </c>
      <c r="V65" s="110">
        <v>0</v>
      </c>
      <c r="W65" s="110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110">
        <v>0</v>
      </c>
      <c r="AD65" s="110">
        <v>0</v>
      </c>
      <c r="AE65" s="110">
        <v>0</v>
      </c>
      <c r="AF65" s="110">
        <v>0</v>
      </c>
      <c r="AG65" s="110">
        <v>0</v>
      </c>
      <c r="AH65" s="110">
        <v>0</v>
      </c>
      <c r="AI65" s="110">
        <v>0</v>
      </c>
      <c r="AJ65" s="110">
        <v>0</v>
      </c>
      <c r="AK65" s="110">
        <v>0</v>
      </c>
      <c r="AL65" s="110">
        <v>0</v>
      </c>
      <c r="AM65" s="110">
        <v>0</v>
      </c>
      <c r="AN65" s="110">
        <v>0</v>
      </c>
      <c r="AO65" s="110">
        <v>0</v>
      </c>
      <c r="AP65" s="110">
        <v>0</v>
      </c>
      <c r="AQ65" s="110">
        <v>0</v>
      </c>
      <c r="AR65" s="110">
        <v>0</v>
      </c>
      <c r="AS65" s="110">
        <v>0</v>
      </c>
      <c r="AT65" s="110">
        <v>0</v>
      </c>
      <c r="AU65" s="110">
        <v>0</v>
      </c>
      <c r="AV65" s="110">
        <v>0</v>
      </c>
      <c r="AW65" s="110">
        <v>0</v>
      </c>
      <c r="AX65" s="110">
        <v>0</v>
      </c>
      <c r="AY65" s="110">
        <v>0</v>
      </c>
      <c r="AZ65" s="110">
        <v>0</v>
      </c>
      <c r="BA65" s="110">
        <v>0</v>
      </c>
      <c r="BB65" s="110">
        <v>0</v>
      </c>
      <c r="BC65" s="110">
        <v>0</v>
      </c>
      <c r="BD65" s="110">
        <v>0</v>
      </c>
      <c r="BE65" s="110">
        <v>0</v>
      </c>
      <c r="BF65" s="110">
        <v>0</v>
      </c>
      <c r="BG65" s="110">
        <v>0</v>
      </c>
      <c r="BH65" s="110">
        <v>0</v>
      </c>
      <c r="BI65" s="110">
        <v>0</v>
      </c>
      <c r="BJ65" s="110">
        <v>13.353999999999999</v>
      </c>
      <c r="BK65" s="110">
        <v>29.087</v>
      </c>
      <c r="BL65" s="58">
        <v>21.498000000000001</v>
      </c>
      <c r="BM65" s="58">
        <v>8.891</v>
      </c>
      <c r="BN65" s="58">
        <v>5.5469999999999997</v>
      </c>
      <c r="BO65" s="58">
        <v>15.036</v>
      </c>
      <c r="BP65" s="66">
        <v>15.029</v>
      </c>
      <c r="BQ65" s="66">
        <v>14.452999999999999</v>
      </c>
      <c r="BR65" s="66">
        <v>8.7609999999999992</v>
      </c>
      <c r="BS65" s="66">
        <v>9.2690000000000001</v>
      </c>
      <c r="BT65" s="66">
        <v>9.4429999999999996</v>
      </c>
      <c r="BU65" s="66">
        <v>9.3670000000000009</v>
      </c>
      <c r="BV65" s="55"/>
      <c r="BW65" s="110">
        <v>0</v>
      </c>
      <c r="BX65" s="110">
        <v>0</v>
      </c>
      <c r="BY65" s="110">
        <v>0</v>
      </c>
      <c r="BZ65" s="110">
        <v>0</v>
      </c>
      <c r="CA65" s="110">
        <v>0</v>
      </c>
      <c r="CB65" s="110">
        <v>0</v>
      </c>
      <c r="CC65" s="110">
        <v>0</v>
      </c>
      <c r="CD65" s="110">
        <v>0</v>
      </c>
      <c r="CE65" s="110">
        <v>0</v>
      </c>
      <c r="CF65" s="110">
        <v>0</v>
      </c>
      <c r="CG65" s="110">
        <v>0</v>
      </c>
      <c r="CH65" s="110">
        <v>0</v>
      </c>
      <c r="CI65" s="110">
        <v>0</v>
      </c>
      <c r="CJ65" s="110">
        <v>0</v>
      </c>
      <c r="CK65" s="110">
        <v>0</v>
      </c>
      <c r="CL65" s="58">
        <v>29.1</v>
      </c>
      <c r="CM65" s="58">
        <f t="shared" si="8"/>
        <v>15.036</v>
      </c>
      <c r="CN65" s="58">
        <f t="shared" si="44"/>
        <v>9.2690000000000001</v>
      </c>
      <c r="CO65" s="206"/>
      <c r="CP65" s="6"/>
      <c r="CT65" s="48"/>
    </row>
    <row r="66" spans="1:98" x14ac:dyDescent="0.35">
      <c r="B66" s="40" t="str">
        <f>IF(Control!$D$5=1,"Other Current Liabilities","Outros Passivos Circulantes")</f>
        <v>Outros Passivos Circulantes</v>
      </c>
      <c r="C66" s="110">
        <v>7.6959999999999997</v>
      </c>
      <c r="D66" s="110">
        <v>24.763000000000002</v>
      </c>
      <c r="E66" s="58" t="s">
        <v>2</v>
      </c>
      <c r="F66" s="58" t="s">
        <v>2</v>
      </c>
      <c r="G66" s="110">
        <v>0</v>
      </c>
      <c r="H66" s="110">
        <v>38.738</v>
      </c>
      <c r="I66" s="110">
        <v>26.831</v>
      </c>
      <c r="J66" s="110">
        <v>18.88</v>
      </c>
      <c r="K66" s="110">
        <v>17.7</v>
      </c>
      <c r="L66" s="110">
        <v>48.582000000000001</v>
      </c>
      <c r="M66" s="110">
        <v>28.277000000000001</v>
      </c>
      <c r="N66" s="110">
        <v>28.768000000000001</v>
      </c>
      <c r="O66" s="110">
        <v>23.741</v>
      </c>
      <c r="P66" s="110">
        <v>66.480999999999995</v>
      </c>
      <c r="Q66" s="110">
        <v>54.973999999999997</v>
      </c>
      <c r="R66" s="110">
        <v>50.713999999999999</v>
      </c>
      <c r="S66" s="110">
        <v>42.88</v>
      </c>
      <c r="T66" s="110">
        <v>59.375</v>
      </c>
      <c r="U66" s="110">
        <v>60.835999999999999</v>
      </c>
      <c r="V66" s="110">
        <v>46.085999999999999</v>
      </c>
      <c r="W66" s="110">
        <v>31.254000000000001</v>
      </c>
      <c r="X66" s="110">
        <v>58.585000000000001</v>
      </c>
      <c r="Y66" s="110">
        <v>65.381</v>
      </c>
      <c r="Z66" s="110">
        <v>39.055999999999997</v>
      </c>
      <c r="AA66" s="110">
        <v>39.444000000000003</v>
      </c>
      <c r="AB66" s="110">
        <v>68.638000000000005</v>
      </c>
      <c r="AC66" s="110">
        <v>47.786999999999999</v>
      </c>
      <c r="AD66" s="110">
        <v>83.626000000000005</v>
      </c>
      <c r="AE66" s="110">
        <v>32.835999999999999</v>
      </c>
      <c r="AF66" s="110">
        <v>114.333</v>
      </c>
      <c r="AG66" s="110">
        <v>90.718999999999994</v>
      </c>
      <c r="AH66" s="110">
        <v>71.58</v>
      </c>
      <c r="AI66" s="110">
        <v>74.015000000000001</v>
      </c>
      <c r="AJ66" s="110">
        <v>104.807</v>
      </c>
      <c r="AK66" s="110">
        <v>89.165999999999997</v>
      </c>
      <c r="AL66" s="110">
        <v>59.758000000000003</v>
      </c>
      <c r="AM66" s="110">
        <v>47.9</v>
      </c>
      <c r="AN66" s="110">
        <v>86.2</v>
      </c>
      <c r="AO66" s="110">
        <v>88.546999999999997</v>
      </c>
      <c r="AP66" s="110">
        <v>49.780999999999999</v>
      </c>
      <c r="AQ66" s="110">
        <v>43</v>
      </c>
      <c r="AR66" s="110">
        <v>74</v>
      </c>
      <c r="AS66" s="110">
        <v>75.900000000000006</v>
      </c>
      <c r="AT66" s="110">
        <v>59.5</v>
      </c>
      <c r="AU66" s="110">
        <v>51.7</v>
      </c>
      <c r="AV66" s="110">
        <f>100.3-AV53-AV54</f>
        <v>63.3</v>
      </c>
      <c r="AW66" s="110">
        <v>33.191000000000003</v>
      </c>
      <c r="AX66" s="110">
        <v>39.524000000000001</v>
      </c>
      <c r="AY66" s="110">
        <v>34.314999999999998</v>
      </c>
      <c r="AZ66" s="110">
        <v>73.314999999999998</v>
      </c>
      <c r="BA66" s="110">
        <v>59.585999999999999</v>
      </c>
      <c r="BB66" s="110">
        <v>44.924999999999997</v>
      </c>
      <c r="BC66" s="110">
        <v>31.602</v>
      </c>
      <c r="BD66" s="110">
        <v>69.073999999999998</v>
      </c>
      <c r="BE66" s="110">
        <v>50.115000000000002</v>
      </c>
      <c r="BF66" s="110">
        <v>59.133000000000003</v>
      </c>
      <c r="BG66" s="110">
        <v>51.124000000000002</v>
      </c>
      <c r="BH66" s="110">
        <v>75.882999999999996</v>
      </c>
      <c r="BI66" s="110">
        <v>68.132000000000005</v>
      </c>
      <c r="BJ66" s="110">
        <v>77.727999999999994</v>
      </c>
      <c r="BK66" s="110">
        <v>98.914000000000001</v>
      </c>
      <c r="BL66" s="58">
        <v>96.128</v>
      </c>
      <c r="BM66" s="58">
        <v>91.504999999999995</v>
      </c>
      <c r="BN66" s="58">
        <v>60.005000000000003</v>
      </c>
      <c r="BO66" s="58">
        <v>41.738</v>
      </c>
      <c r="BP66" s="66">
        <v>132.84100000000001</v>
      </c>
      <c r="BQ66" s="66">
        <v>98.475999999999999</v>
      </c>
      <c r="BR66" s="66">
        <v>98.83</v>
      </c>
      <c r="BS66" s="66">
        <v>47.881999999999998</v>
      </c>
      <c r="BT66" s="66">
        <v>88.709000000000003</v>
      </c>
      <c r="BU66" s="66">
        <v>68.197999999999993</v>
      </c>
      <c r="BV66" s="55"/>
      <c r="BW66" s="110">
        <v>7.6959999999999997</v>
      </c>
      <c r="BX66" s="110">
        <v>0</v>
      </c>
      <c r="BY66" s="110">
        <v>17.7</v>
      </c>
      <c r="BZ66" s="110">
        <v>23.741</v>
      </c>
      <c r="CA66" s="110">
        <v>42.88</v>
      </c>
      <c r="CB66" s="110">
        <v>31.254000000000001</v>
      </c>
      <c r="CC66" s="110">
        <v>39.444000000000003</v>
      </c>
      <c r="CD66" s="110">
        <v>32.835999999999999</v>
      </c>
      <c r="CE66" s="110">
        <v>74.015000000000001</v>
      </c>
      <c r="CF66" s="110">
        <v>47.9</v>
      </c>
      <c r="CG66" s="110">
        <f t="shared" si="45"/>
        <v>43</v>
      </c>
      <c r="CH66" s="110">
        <f t="shared" si="46"/>
        <v>51.7</v>
      </c>
      <c r="CI66" s="110">
        <f t="shared" si="40"/>
        <v>34.314999999999998</v>
      </c>
      <c r="CJ66" s="110">
        <f t="shared" si="41"/>
        <v>31.602</v>
      </c>
      <c r="CK66" s="110">
        <f t="shared" si="42"/>
        <v>51.124000000000002</v>
      </c>
      <c r="CL66" s="58">
        <f>BK66</f>
        <v>98.914000000000001</v>
      </c>
      <c r="CM66" s="58">
        <f t="shared" si="8"/>
        <v>41.738</v>
      </c>
      <c r="CN66" s="58">
        <f t="shared" si="44"/>
        <v>47.881999999999998</v>
      </c>
      <c r="CO66" s="206"/>
      <c r="CP66" s="6"/>
      <c r="CT66" s="48"/>
    </row>
    <row r="67" spans="1:98" ht="6.75" customHeight="1" x14ac:dyDescent="0.35">
      <c r="B67" s="10"/>
      <c r="C67" s="110"/>
      <c r="D67" s="110"/>
      <c r="E67" s="58"/>
      <c r="F67" s="58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5"/>
      <c r="BW67" s="110"/>
      <c r="BX67" s="110"/>
      <c r="BY67" s="110"/>
      <c r="BZ67" s="110"/>
      <c r="CA67" s="110"/>
      <c r="CB67" s="110"/>
      <c r="CC67" s="110"/>
      <c r="CD67" s="110"/>
      <c r="CE67" s="110"/>
      <c r="CF67" s="110"/>
      <c r="CG67" s="110"/>
      <c r="CH67" s="110"/>
      <c r="CI67" s="110"/>
      <c r="CJ67" s="110"/>
      <c r="CK67" s="110"/>
      <c r="CL67" s="110"/>
      <c r="CM67" s="110">
        <f t="shared" si="8"/>
        <v>0</v>
      </c>
      <c r="CN67" s="110">
        <f t="shared" si="44"/>
        <v>0</v>
      </c>
      <c r="CO67" s="206"/>
      <c r="CP67" s="6"/>
    </row>
    <row r="68" spans="1:98" s="6" customFormat="1" x14ac:dyDescent="0.35">
      <c r="A68" s="5"/>
      <c r="B68" s="32" t="str">
        <f>IF(Control!$D$5=1,"Total Long Term Liabilities","Passivo Longo Prazo")</f>
        <v>Passivo Longo Prazo</v>
      </c>
      <c r="C68" s="106">
        <f>SUM(C69:C76)</f>
        <v>213.67600000000002</v>
      </c>
      <c r="D68" s="106">
        <f>SUM(D69:D76)</f>
        <v>207.846</v>
      </c>
      <c r="E68" s="109" t="s">
        <v>2</v>
      </c>
      <c r="F68" s="109" t="s">
        <v>2</v>
      </c>
      <c r="G68" s="106">
        <f t="shared" ref="G68:AN68" si="47">SUM(G69:G76)</f>
        <v>180.41400000000002</v>
      </c>
      <c r="H68" s="106">
        <f t="shared" si="47"/>
        <v>62.217999999999989</v>
      </c>
      <c r="I68" s="106">
        <f t="shared" si="47"/>
        <v>169.97700000000003</v>
      </c>
      <c r="J68" s="106">
        <f t="shared" si="47"/>
        <v>142.77800000000002</v>
      </c>
      <c r="K68" s="106">
        <f t="shared" si="47"/>
        <v>398.89100000000002</v>
      </c>
      <c r="L68" s="106">
        <f t="shared" si="47"/>
        <v>393.07400000000001</v>
      </c>
      <c r="M68" s="106">
        <f t="shared" si="47"/>
        <v>434.26099999999997</v>
      </c>
      <c r="N68" s="106">
        <f t="shared" si="47"/>
        <v>412.05900000000003</v>
      </c>
      <c r="O68" s="106">
        <f t="shared" si="47"/>
        <v>397.11700000000002</v>
      </c>
      <c r="P68" s="106">
        <f t="shared" si="47"/>
        <v>502.41699999999997</v>
      </c>
      <c r="Q68" s="106">
        <f t="shared" si="47"/>
        <v>596.47900000000004</v>
      </c>
      <c r="R68" s="106">
        <f t="shared" si="47"/>
        <v>608.56600000000003</v>
      </c>
      <c r="S68" s="106">
        <f t="shared" si="47"/>
        <v>864.16499999999996</v>
      </c>
      <c r="T68" s="106">
        <f t="shared" si="47"/>
        <v>890.15100000000007</v>
      </c>
      <c r="U68" s="106">
        <f t="shared" si="47"/>
        <v>755.50400000000002</v>
      </c>
      <c r="V68" s="106">
        <f t="shared" si="47"/>
        <v>1092.2260000000001</v>
      </c>
      <c r="W68" s="106">
        <f t="shared" si="47"/>
        <v>1036.3920000000001</v>
      </c>
      <c r="X68" s="106">
        <f t="shared" si="47"/>
        <v>1061.319</v>
      </c>
      <c r="Y68" s="106">
        <f t="shared" si="47"/>
        <v>1088.664</v>
      </c>
      <c r="Z68" s="106">
        <f t="shared" si="47"/>
        <v>1089.548</v>
      </c>
      <c r="AA68" s="106">
        <f t="shared" si="47"/>
        <v>1101.3810000000001</v>
      </c>
      <c r="AB68" s="106">
        <f t="shared" si="47"/>
        <v>1077.768</v>
      </c>
      <c r="AC68" s="106">
        <f t="shared" si="47"/>
        <v>1190.096</v>
      </c>
      <c r="AD68" s="106">
        <f t="shared" si="47"/>
        <v>1226.6960000000001</v>
      </c>
      <c r="AE68" s="106">
        <f t="shared" si="47"/>
        <v>1146.915</v>
      </c>
      <c r="AF68" s="106">
        <f t="shared" si="47"/>
        <v>1166.0550000000001</v>
      </c>
      <c r="AG68" s="106">
        <f t="shared" si="47"/>
        <v>1193.0040000000001</v>
      </c>
      <c r="AH68" s="106">
        <f t="shared" si="47"/>
        <v>1162.0120000000002</v>
      </c>
      <c r="AI68" s="106">
        <f t="shared" si="47"/>
        <v>1071.7660000000001</v>
      </c>
      <c r="AJ68" s="106">
        <f t="shared" si="47"/>
        <v>843.04399999999987</v>
      </c>
      <c r="AK68" s="106">
        <f t="shared" si="47"/>
        <v>768.62599999999986</v>
      </c>
      <c r="AL68" s="106">
        <f t="shared" si="47"/>
        <v>675.13099999999997</v>
      </c>
      <c r="AM68" s="106">
        <f t="shared" si="47"/>
        <v>1059.5</v>
      </c>
      <c r="AN68" s="106">
        <f t="shared" si="47"/>
        <v>979.78499999999997</v>
      </c>
      <c r="AO68" s="106">
        <f t="shared" ref="AO68:AT68" si="48">SUM(AO69:AO76)</f>
        <v>1369.057</v>
      </c>
      <c r="AP68" s="106">
        <f t="shared" si="48"/>
        <v>1179.0430000000001</v>
      </c>
      <c r="AQ68" s="106">
        <f t="shared" si="48"/>
        <v>1300.2999999999997</v>
      </c>
      <c r="AR68" s="106">
        <f t="shared" si="48"/>
        <v>1308.7</v>
      </c>
      <c r="AS68" s="106">
        <f t="shared" si="48"/>
        <v>1308.7</v>
      </c>
      <c r="AT68" s="106">
        <f t="shared" si="48"/>
        <v>1305.8</v>
      </c>
      <c r="AU68" s="106">
        <f t="shared" ref="AU68:AZ68" si="49">SUM(AU69:AU76)</f>
        <v>1159.922</v>
      </c>
      <c r="AV68" s="106">
        <f t="shared" si="49"/>
        <v>1760</v>
      </c>
      <c r="AW68" s="106">
        <f t="shared" si="49"/>
        <v>1488.7269999999999</v>
      </c>
      <c r="AX68" s="106">
        <f t="shared" si="49"/>
        <v>1518.23</v>
      </c>
      <c r="AY68" s="106">
        <f t="shared" si="49"/>
        <v>1315.1760000000002</v>
      </c>
      <c r="AZ68" s="106">
        <f t="shared" si="49"/>
        <v>1577.5250000000001</v>
      </c>
      <c r="BA68" s="106">
        <f t="shared" ref="BA68:BF68" si="50">SUM(BA69:BA76)</f>
        <v>1387.65</v>
      </c>
      <c r="BB68" s="106">
        <f t="shared" si="50"/>
        <v>2102.201</v>
      </c>
      <c r="BC68" s="106">
        <f t="shared" si="50"/>
        <v>1857.2540000000001</v>
      </c>
      <c r="BD68" s="106">
        <f t="shared" si="50"/>
        <v>2408.904</v>
      </c>
      <c r="BE68" s="106">
        <f t="shared" si="50"/>
        <v>2386.1872407199994</v>
      </c>
      <c r="BF68" s="106">
        <f t="shared" si="50"/>
        <v>3058.355</v>
      </c>
      <c r="BG68" s="106">
        <f>SUM(BG69:BG76)</f>
        <v>3087.3020000000006</v>
      </c>
      <c r="BH68" s="106">
        <f>SUM(BH69:BH76)</f>
        <v>3114.9289999999996</v>
      </c>
      <c r="BI68" s="106">
        <f>SUM(BI69:BI76)</f>
        <v>3125.0703665000001</v>
      </c>
      <c r="BJ68" s="106">
        <f t="shared" ref="BJ68:BU68" si="51">SUM(BJ69:BJ76)</f>
        <v>3073.4989999999998</v>
      </c>
      <c r="BK68" s="106">
        <f t="shared" si="51"/>
        <v>3655.6640000000007</v>
      </c>
      <c r="BL68" s="109">
        <f t="shared" si="51"/>
        <v>3321.2240077450801</v>
      </c>
      <c r="BM68" s="109">
        <f t="shared" si="51"/>
        <v>4114.4589999999998</v>
      </c>
      <c r="BN68" s="109">
        <f t="shared" si="51"/>
        <v>3753.2310000000002</v>
      </c>
      <c r="BO68" s="109">
        <f t="shared" si="51"/>
        <v>4588.6490000000003</v>
      </c>
      <c r="BP68" s="109">
        <f t="shared" si="51"/>
        <v>4425.8963865311225</v>
      </c>
      <c r="BQ68" s="109">
        <f t="shared" si="51"/>
        <v>5012.3875302744564</v>
      </c>
      <c r="BR68" s="109">
        <f t="shared" si="51"/>
        <v>4850.241</v>
      </c>
      <c r="BS68" s="109">
        <f t="shared" si="51"/>
        <v>3867.0160000000001</v>
      </c>
      <c r="BT68" s="109">
        <f t="shared" si="51"/>
        <v>3588.6759999999999</v>
      </c>
      <c r="BU68" s="109">
        <f t="shared" si="51"/>
        <v>3691.58</v>
      </c>
      <c r="BV68" s="55"/>
      <c r="BW68" s="106">
        <f t="shared" ref="BW68:CH68" si="52">SUM(BW69:BW76)</f>
        <v>213.67600000000002</v>
      </c>
      <c r="BX68" s="106">
        <f t="shared" si="52"/>
        <v>180.41400000000002</v>
      </c>
      <c r="BY68" s="106">
        <f t="shared" si="52"/>
        <v>398.89100000000002</v>
      </c>
      <c r="BZ68" s="106">
        <f t="shared" si="52"/>
        <v>397.11700000000002</v>
      </c>
      <c r="CA68" s="106">
        <f t="shared" si="52"/>
        <v>864.16499999999996</v>
      </c>
      <c r="CB68" s="106">
        <f t="shared" si="52"/>
        <v>1036.3920000000001</v>
      </c>
      <c r="CC68" s="106">
        <f t="shared" si="52"/>
        <v>1101.3810000000001</v>
      </c>
      <c r="CD68" s="106">
        <f t="shared" si="52"/>
        <v>1146.915</v>
      </c>
      <c r="CE68" s="106">
        <f t="shared" si="52"/>
        <v>1071.7660000000001</v>
      </c>
      <c r="CF68" s="106">
        <f t="shared" si="52"/>
        <v>1059.5</v>
      </c>
      <c r="CG68" s="106">
        <f t="shared" si="52"/>
        <v>1300.2999999999997</v>
      </c>
      <c r="CH68" s="106">
        <f t="shared" si="52"/>
        <v>1159.922</v>
      </c>
      <c r="CI68" s="106">
        <f t="shared" ref="CI68:CI76" si="53">AY68</f>
        <v>1315.1760000000002</v>
      </c>
      <c r="CJ68" s="106">
        <f t="shared" ref="CJ68:CJ78" si="54">BC68</f>
        <v>1857.2540000000001</v>
      </c>
      <c r="CK68" s="106">
        <f t="shared" ref="CK68:CK76" si="55">BG68</f>
        <v>3087.3020000000006</v>
      </c>
      <c r="CL68" s="106">
        <f t="shared" ref="CL68:CL76" si="56">BK68</f>
        <v>3655.6640000000007</v>
      </c>
      <c r="CM68" s="106">
        <f t="shared" si="8"/>
        <v>4588.6490000000003</v>
      </c>
      <c r="CN68" s="106">
        <f t="shared" si="44"/>
        <v>3867.0160000000001</v>
      </c>
      <c r="CO68" s="206"/>
    </row>
    <row r="69" spans="1:98" x14ac:dyDescent="0.35">
      <c r="B69" s="40" t="str">
        <f>IF(Control!$D$5=1,"Long-Term Debt","Empréstimos e Financiamentos")</f>
        <v>Empréstimos e Financiamentos</v>
      </c>
      <c r="C69" s="110">
        <v>188.69399999999999</v>
      </c>
      <c r="D69" s="110">
        <v>183.85499999999999</v>
      </c>
      <c r="E69" s="58" t="s">
        <v>2</v>
      </c>
      <c r="F69" s="58" t="s">
        <v>2</v>
      </c>
      <c r="G69" s="110">
        <v>146.24</v>
      </c>
      <c r="H69" s="110">
        <v>32.981999999999999</v>
      </c>
      <c r="I69" s="110">
        <v>141.38900000000001</v>
      </c>
      <c r="J69" s="110">
        <v>121.83</v>
      </c>
      <c r="K69" s="110">
        <v>126.53400000000001</v>
      </c>
      <c r="L69" s="110">
        <v>119.81699999999999</v>
      </c>
      <c r="M69" s="110">
        <v>157.95099999999999</v>
      </c>
      <c r="N69" s="110">
        <v>139.79499999999999</v>
      </c>
      <c r="O69" s="110">
        <v>116.836</v>
      </c>
      <c r="P69" s="110">
        <v>111.74</v>
      </c>
      <c r="Q69" s="110">
        <v>214.98699999999999</v>
      </c>
      <c r="R69" s="110">
        <v>220.27</v>
      </c>
      <c r="S69" s="110">
        <v>203.05199999999999</v>
      </c>
      <c r="T69" s="110">
        <v>223.87299999999999</v>
      </c>
      <c r="U69" s="110">
        <v>89.245999999999995</v>
      </c>
      <c r="V69" s="110">
        <v>87.623999999999995</v>
      </c>
      <c r="W69" s="110">
        <v>116.22199999999999</v>
      </c>
      <c r="X69" s="110">
        <v>135.25399999999999</v>
      </c>
      <c r="Y69" s="110">
        <v>242.959</v>
      </c>
      <c r="Z69" s="110">
        <v>297.99700000000001</v>
      </c>
      <c r="AA69" s="110">
        <v>398.40499999999997</v>
      </c>
      <c r="AB69" s="110">
        <v>392.10300000000001</v>
      </c>
      <c r="AC69" s="110">
        <v>335.02100000000002</v>
      </c>
      <c r="AD69" s="110">
        <v>439.10399999999998</v>
      </c>
      <c r="AE69" s="110">
        <v>436.14100000000002</v>
      </c>
      <c r="AF69" s="110">
        <v>449.89299999999997</v>
      </c>
      <c r="AG69" s="110">
        <v>586.49599999999998</v>
      </c>
      <c r="AH69" s="110">
        <v>592.10599999999999</v>
      </c>
      <c r="AI69" s="110">
        <v>578.46</v>
      </c>
      <c r="AJ69" s="110">
        <v>386.03</v>
      </c>
      <c r="AK69" s="110">
        <v>304.66699999999997</v>
      </c>
      <c r="AL69" s="110">
        <v>292.92700000000002</v>
      </c>
      <c r="AM69" s="110">
        <v>262.7</v>
      </c>
      <c r="AN69" s="110">
        <v>258.71199999999999</v>
      </c>
      <c r="AO69" s="110">
        <v>232.24600000000001</v>
      </c>
      <c r="AP69" s="110">
        <v>191.15700000000001</v>
      </c>
      <c r="AQ69" s="110">
        <v>159.1</v>
      </c>
      <c r="AR69" s="110">
        <v>164.8</v>
      </c>
      <c r="AS69" s="110">
        <v>164.8</v>
      </c>
      <c r="AT69" s="110">
        <v>139.5</v>
      </c>
      <c r="AU69" s="110">
        <v>157.10300000000001</v>
      </c>
      <c r="AV69" s="110">
        <v>134.19999999999982</v>
      </c>
      <c r="AW69" s="110">
        <v>113.76187339000012</v>
      </c>
      <c r="AX69" s="110">
        <v>110.447</v>
      </c>
      <c r="AY69" s="110">
        <v>115.776</v>
      </c>
      <c r="AZ69" s="110">
        <v>372.62200000000001</v>
      </c>
      <c r="BA69" s="110">
        <v>356.84</v>
      </c>
      <c r="BB69" s="110">
        <v>637.52700000000004</v>
      </c>
      <c r="BC69" s="110">
        <v>569.94000000000005</v>
      </c>
      <c r="BD69" s="110">
        <v>522.73699999999997</v>
      </c>
      <c r="BE69" s="110">
        <v>497.10199999999998</v>
      </c>
      <c r="BF69" s="110">
        <v>488.43400000000003</v>
      </c>
      <c r="BG69" s="110">
        <v>473.72300000000001</v>
      </c>
      <c r="BH69" s="110">
        <v>736.9</v>
      </c>
      <c r="BI69" s="110">
        <v>760.66700000000003</v>
      </c>
      <c r="BJ69" s="110">
        <v>636.4</v>
      </c>
      <c r="BK69" s="110">
        <v>912.58100000000002</v>
      </c>
      <c r="BL69" s="58">
        <v>1212.5835500061698</v>
      </c>
      <c r="BM69" s="58">
        <v>1348.5</v>
      </c>
      <c r="BN69" s="58">
        <v>1240.759</v>
      </c>
      <c r="BO69" s="58">
        <v>1409.7550000000001</v>
      </c>
      <c r="BP69" s="71">
        <f>1549928.82847389/1000</f>
        <v>1549.92882847389</v>
      </c>
      <c r="BQ69" s="71">
        <v>1462.7546056025417</v>
      </c>
      <c r="BR69" s="71">
        <v>1536.5239999999999</v>
      </c>
      <c r="BS69" s="71">
        <v>1181.819</v>
      </c>
      <c r="BT69" s="71">
        <v>887.93399999999997</v>
      </c>
      <c r="BU69" s="71">
        <v>980.06799999999998</v>
      </c>
      <c r="BV69" s="55"/>
      <c r="BW69" s="110">
        <v>188.69399999999999</v>
      </c>
      <c r="BX69" s="110">
        <v>146.24</v>
      </c>
      <c r="BY69" s="110">
        <v>126.53400000000001</v>
      </c>
      <c r="BZ69" s="110">
        <v>116.836</v>
      </c>
      <c r="CA69" s="110">
        <v>203.05199999999999</v>
      </c>
      <c r="CB69" s="110">
        <v>116.22199999999999</v>
      </c>
      <c r="CC69" s="110">
        <v>398.40499999999997</v>
      </c>
      <c r="CD69" s="110">
        <v>436.14100000000002</v>
      </c>
      <c r="CE69" s="110">
        <v>578.46</v>
      </c>
      <c r="CF69" s="110">
        <v>262.7</v>
      </c>
      <c r="CG69" s="110">
        <f t="shared" ref="CG69:CG76" si="57">AQ69</f>
        <v>159.1</v>
      </c>
      <c r="CH69" s="110">
        <f t="shared" ref="CH69:CH76" si="58">AU69</f>
        <v>157.10300000000001</v>
      </c>
      <c r="CI69" s="110">
        <f t="shared" si="53"/>
        <v>115.776</v>
      </c>
      <c r="CJ69" s="110">
        <f t="shared" si="54"/>
        <v>569.94000000000005</v>
      </c>
      <c r="CK69" s="110">
        <f t="shared" si="55"/>
        <v>473.72300000000001</v>
      </c>
      <c r="CL69" s="58">
        <f t="shared" si="56"/>
        <v>912.58100000000002</v>
      </c>
      <c r="CM69" s="58">
        <f t="shared" si="8"/>
        <v>1409.7550000000001</v>
      </c>
      <c r="CN69" s="58">
        <f t="shared" si="44"/>
        <v>1181.819</v>
      </c>
      <c r="CO69" s="206"/>
      <c r="CP69" s="6"/>
      <c r="CT69" s="48"/>
    </row>
    <row r="70" spans="1:98" x14ac:dyDescent="0.35">
      <c r="B70" s="40" t="str">
        <f>IF(Control!$D$5=1,"Leasing liability","Passivo de Arrendamento")</f>
        <v>Passivo de Arrendamento</v>
      </c>
      <c r="C70" s="110">
        <v>0</v>
      </c>
      <c r="D70" s="110">
        <v>0</v>
      </c>
      <c r="E70" s="110">
        <v>0</v>
      </c>
      <c r="F70" s="110">
        <v>0</v>
      </c>
      <c r="G70" s="110">
        <v>0</v>
      </c>
      <c r="H70" s="110">
        <v>0</v>
      </c>
      <c r="I70" s="110">
        <v>0</v>
      </c>
      <c r="J70" s="110">
        <v>0</v>
      </c>
      <c r="K70" s="110">
        <v>0</v>
      </c>
      <c r="L70" s="110">
        <v>0</v>
      </c>
      <c r="M70" s="110">
        <v>0</v>
      </c>
      <c r="N70" s="110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10">
        <v>0</v>
      </c>
      <c r="V70" s="110">
        <v>0</v>
      </c>
      <c r="W70" s="110">
        <v>0</v>
      </c>
      <c r="X70" s="110">
        <v>0</v>
      </c>
      <c r="Y70" s="110">
        <v>0</v>
      </c>
      <c r="Z70" s="110">
        <v>0</v>
      </c>
      <c r="AA70" s="110">
        <v>0</v>
      </c>
      <c r="AB70" s="110">
        <v>0</v>
      </c>
      <c r="AC70" s="110">
        <v>0</v>
      </c>
      <c r="AD70" s="110">
        <v>0</v>
      </c>
      <c r="AE70" s="110">
        <v>0</v>
      </c>
      <c r="AF70" s="110">
        <v>0</v>
      </c>
      <c r="AG70" s="110">
        <v>0</v>
      </c>
      <c r="AH70" s="110">
        <v>0</v>
      </c>
      <c r="AI70" s="110">
        <v>0</v>
      </c>
      <c r="AJ70" s="110">
        <v>0</v>
      </c>
      <c r="AK70" s="110">
        <v>0</v>
      </c>
      <c r="AL70" s="110">
        <v>0</v>
      </c>
      <c r="AM70" s="110">
        <v>0</v>
      </c>
      <c r="AN70" s="110">
        <v>0</v>
      </c>
      <c r="AO70" s="110">
        <v>0</v>
      </c>
      <c r="AP70" s="110">
        <v>0</v>
      </c>
      <c r="AQ70" s="110">
        <v>0</v>
      </c>
      <c r="AR70" s="110">
        <v>0</v>
      </c>
      <c r="AS70" s="110">
        <v>0</v>
      </c>
      <c r="AT70" s="110">
        <v>0</v>
      </c>
      <c r="AU70" s="110">
        <v>0</v>
      </c>
      <c r="AV70" s="110">
        <v>0</v>
      </c>
      <c r="AW70" s="110">
        <v>59.023000000000003</v>
      </c>
      <c r="AX70" s="110">
        <v>67.957999999999998</v>
      </c>
      <c r="AY70" s="110">
        <v>65.480999999999995</v>
      </c>
      <c r="AZ70" s="110">
        <v>66.072000000000003</v>
      </c>
      <c r="BA70" s="110">
        <v>63.893000000000001</v>
      </c>
      <c r="BB70" s="110">
        <v>152.89400000000001</v>
      </c>
      <c r="BC70" s="110">
        <v>148.29300000000001</v>
      </c>
      <c r="BD70" s="110">
        <v>150.66300000000001</v>
      </c>
      <c r="BE70" s="110">
        <v>158.37024072</v>
      </c>
      <c r="BF70" s="110">
        <v>136.03100000000001</v>
      </c>
      <c r="BG70" s="110">
        <v>143.054</v>
      </c>
      <c r="BH70" s="110">
        <v>167.13499999999999</v>
      </c>
      <c r="BI70" s="110">
        <v>171.0753665</v>
      </c>
      <c r="BJ70" s="110">
        <v>174.7</v>
      </c>
      <c r="BK70" s="110">
        <v>163.029</v>
      </c>
      <c r="BL70" s="58">
        <v>159.87799999999999</v>
      </c>
      <c r="BM70" s="58">
        <v>207.078</v>
      </c>
      <c r="BN70" s="58">
        <v>201.17400000000001</v>
      </c>
      <c r="BO70" s="58">
        <v>219.99799999999999</v>
      </c>
      <c r="BP70" s="66">
        <v>221.471</v>
      </c>
      <c r="BQ70" s="66">
        <v>217.17271145084598</v>
      </c>
      <c r="BR70" s="71">
        <v>219.03</v>
      </c>
      <c r="BS70" s="71">
        <v>226.053</v>
      </c>
      <c r="BT70" s="71">
        <v>211.34</v>
      </c>
      <c r="BU70" s="71">
        <v>201.328</v>
      </c>
      <c r="BV70" s="55"/>
      <c r="BW70" s="110"/>
      <c r="BX70" s="110"/>
      <c r="BY70" s="110"/>
      <c r="BZ70" s="110"/>
      <c r="CA70" s="110"/>
      <c r="CB70" s="110"/>
      <c r="CC70" s="110"/>
      <c r="CD70" s="110"/>
      <c r="CE70" s="110"/>
      <c r="CF70" s="110"/>
      <c r="CG70" s="110">
        <f t="shared" si="57"/>
        <v>0</v>
      </c>
      <c r="CH70" s="110">
        <f t="shared" si="58"/>
        <v>0</v>
      </c>
      <c r="CI70" s="110">
        <f t="shared" si="53"/>
        <v>65.480999999999995</v>
      </c>
      <c r="CJ70" s="110">
        <f t="shared" si="54"/>
        <v>148.29300000000001</v>
      </c>
      <c r="CK70" s="110">
        <f t="shared" si="55"/>
        <v>143.054</v>
      </c>
      <c r="CL70" s="58">
        <f t="shared" si="56"/>
        <v>163.029</v>
      </c>
      <c r="CM70" s="58">
        <f t="shared" si="8"/>
        <v>219.99799999999999</v>
      </c>
      <c r="CN70" s="58">
        <f t="shared" si="44"/>
        <v>226.053</v>
      </c>
      <c r="CO70" s="206"/>
      <c r="CP70" s="6"/>
      <c r="CT70" s="48"/>
    </row>
    <row r="71" spans="1:98" x14ac:dyDescent="0.35">
      <c r="B71" s="40" t="str">
        <f>IF(Control!$D$5=1,"Debentures","Debêntures")</f>
        <v>Debêntures</v>
      </c>
      <c r="C71" s="110">
        <v>13.699</v>
      </c>
      <c r="D71" s="110">
        <v>0</v>
      </c>
      <c r="E71" s="58" t="s">
        <v>2</v>
      </c>
      <c r="F71" s="58" t="s">
        <v>2</v>
      </c>
      <c r="G71" s="110">
        <v>0</v>
      </c>
      <c r="H71" s="110">
        <v>0</v>
      </c>
      <c r="I71" s="110">
        <v>0</v>
      </c>
      <c r="J71" s="110">
        <v>0</v>
      </c>
      <c r="K71" s="110">
        <v>248.261</v>
      </c>
      <c r="L71" s="110">
        <v>248.22399999999999</v>
      </c>
      <c r="M71" s="110">
        <v>248.22399999999999</v>
      </c>
      <c r="N71" s="110">
        <v>248.22399999999999</v>
      </c>
      <c r="O71" s="110">
        <v>213.18799999999999</v>
      </c>
      <c r="P71" s="110">
        <v>213.36099999999999</v>
      </c>
      <c r="Q71" s="110">
        <v>178.05199999999999</v>
      </c>
      <c r="R71" s="110">
        <v>178.05199999999999</v>
      </c>
      <c r="S71" s="110">
        <v>447.79899999999998</v>
      </c>
      <c r="T71" s="110">
        <v>447.79899999999998</v>
      </c>
      <c r="U71" s="110">
        <v>447.49400000000003</v>
      </c>
      <c r="V71" s="110">
        <v>617.86500000000001</v>
      </c>
      <c r="W71" s="110">
        <v>618.11599999999999</v>
      </c>
      <c r="X71" s="110">
        <v>618.44100000000003</v>
      </c>
      <c r="Y71" s="110">
        <v>543.67499999999995</v>
      </c>
      <c r="Z71" s="110">
        <v>543.69500000000005</v>
      </c>
      <c r="AA71" s="110">
        <v>468.88799999999998</v>
      </c>
      <c r="AB71" s="110">
        <v>440.68700000000001</v>
      </c>
      <c r="AC71" s="110">
        <v>592.45899999999995</v>
      </c>
      <c r="AD71" s="110">
        <v>592.71900000000005</v>
      </c>
      <c r="AE71" s="110">
        <v>517.96699999999998</v>
      </c>
      <c r="AF71" s="110">
        <v>518.21199999999999</v>
      </c>
      <c r="AG71" s="110">
        <v>443.44799999999998</v>
      </c>
      <c r="AH71" s="110">
        <v>409.66800000000001</v>
      </c>
      <c r="AI71" s="110">
        <v>334.827</v>
      </c>
      <c r="AJ71" s="110">
        <v>300.95299999999997</v>
      </c>
      <c r="AK71" s="110">
        <v>301.09699999999998</v>
      </c>
      <c r="AL71" s="110">
        <v>217.232</v>
      </c>
      <c r="AM71" s="110">
        <v>614.4</v>
      </c>
      <c r="AN71" s="110">
        <v>531.10500000000002</v>
      </c>
      <c r="AO71" s="110">
        <v>932.43499999999995</v>
      </c>
      <c r="AP71" s="110">
        <v>799.53800000000001</v>
      </c>
      <c r="AQ71" s="110">
        <v>966.7</v>
      </c>
      <c r="AR71" s="110">
        <v>967.9</v>
      </c>
      <c r="AS71" s="110">
        <v>967.9</v>
      </c>
      <c r="AT71" s="110">
        <v>970.6</v>
      </c>
      <c r="AU71" s="110">
        <v>757.64200000000005</v>
      </c>
      <c r="AV71" s="110">
        <v>1349.4</v>
      </c>
      <c r="AW71" s="110">
        <v>1112.6791266099999</v>
      </c>
      <c r="AX71" s="110">
        <v>1113.8920000000001</v>
      </c>
      <c r="AY71" s="110">
        <v>926.47900000000004</v>
      </c>
      <c r="AZ71" s="110">
        <v>927.46600000000001</v>
      </c>
      <c r="BA71" s="110">
        <v>761.39</v>
      </c>
      <c r="BB71" s="110">
        <v>1110.557</v>
      </c>
      <c r="BC71" s="110">
        <v>943.24599999999998</v>
      </c>
      <c r="BD71" s="110">
        <v>1541.925</v>
      </c>
      <c r="BE71" s="110">
        <v>1542.88</v>
      </c>
      <c r="BF71" s="110">
        <v>2189.0650000000001</v>
      </c>
      <c r="BG71" s="110">
        <v>2190.0970000000002</v>
      </c>
      <c r="BH71" s="110">
        <v>1919.674</v>
      </c>
      <c r="BI71" s="110">
        <v>1920.6479999999999</v>
      </c>
      <c r="BJ71" s="110">
        <v>1921.6</v>
      </c>
      <c r="BK71" s="110">
        <v>1922.4770000000001</v>
      </c>
      <c r="BL71" s="58">
        <v>1323.3402510000001</v>
      </c>
      <c r="BM71" s="58">
        <v>1953.5</v>
      </c>
      <c r="BN71" s="58">
        <v>1769.9939999999999</v>
      </c>
      <c r="BO71" s="58">
        <v>2407.2739999999999</v>
      </c>
      <c r="BP71" s="71">
        <f>2089682.95222/1000</f>
        <v>2089.6829522200001</v>
      </c>
      <c r="BQ71" s="71">
        <v>2758.6709999999998</v>
      </c>
      <c r="BR71" s="71">
        <v>2563.7450000000003</v>
      </c>
      <c r="BS71" s="71">
        <v>1945.2080000000001</v>
      </c>
      <c r="BT71" s="71">
        <v>1959.1590000000001</v>
      </c>
      <c r="BU71" s="71">
        <v>1968.7460000000001</v>
      </c>
      <c r="BV71" s="55"/>
      <c r="BW71" s="110">
        <v>13.699</v>
      </c>
      <c r="BX71" s="110">
        <v>0</v>
      </c>
      <c r="BY71" s="110">
        <v>248.261</v>
      </c>
      <c r="BZ71" s="110">
        <v>213.18799999999999</v>
      </c>
      <c r="CA71" s="110">
        <v>447.79899999999998</v>
      </c>
      <c r="CB71" s="110">
        <v>618.11599999999999</v>
      </c>
      <c r="CC71" s="110">
        <v>468.88799999999998</v>
      </c>
      <c r="CD71" s="110">
        <v>517.96699999999998</v>
      </c>
      <c r="CE71" s="110">
        <v>334.827</v>
      </c>
      <c r="CF71" s="110">
        <v>614.4</v>
      </c>
      <c r="CG71" s="110">
        <f t="shared" si="57"/>
        <v>966.7</v>
      </c>
      <c r="CH71" s="110">
        <f t="shared" si="58"/>
        <v>757.64200000000005</v>
      </c>
      <c r="CI71" s="110">
        <f t="shared" si="53"/>
        <v>926.47900000000004</v>
      </c>
      <c r="CJ71" s="110">
        <f t="shared" si="54"/>
        <v>943.24599999999998</v>
      </c>
      <c r="CK71" s="110">
        <f t="shared" si="55"/>
        <v>2190.0970000000002</v>
      </c>
      <c r="CL71" s="58">
        <f t="shared" si="56"/>
        <v>1922.4770000000001</v>
      </c>
      <c r="CM71" s="58">
        <f t="shared" si="8"/>
        <v>2407.2739999999999</v>
      </c>
      <c r="CN71" s="58">
        <f t="shared" si="44"/>
        <v>1945.2080000000001</v>
      </c>
      <c r="CO71" s="206"/>
      <c r="CP71" s="6"/>
      <c r="CT71" s="48"/>
    </row>
    <row r="72" spans="1:98" x14ac:dyDescent="0.35">
      <c r="B72" s="40" t="str">
        <f>IF(Control!$D$5=1,"Outstanding Taxes","Parcelamento de Impostos")</f>
        <v>Parcelamento de Impostos</v>
      </c>
      <c r="C72" s="110">
        <v>0.94699999999999995</v>
      </c>
      <c r="D72" s="110">
        <v>12.818</v>
      </c>
      <c r="E72" s="58" t="s">
        <v>2</v>
      </c>
      <c r="F72" s="58" t="s">
        <v>2</v>
      </c>
      <c r="G72" s="110">
        <v>10.733000000000001</v>
      </c>
      <c r="H72" s="111">
        <v>10.050000000000001</v>
      </c>
      <c r="I72" s="110">
        <v>10.050000000000001</v>
      </c>
      <c r="J72" s="110">
        <v>10.255000000000001</v>
      </c>
      <c r="K72" s="110">
        <v>8.84</v>
      </c>
      <c r="L72" s="110">
        <v>8.84</v>
      </c>
      <c r="M72" s="110">
        <v>6.3140000000000001</v>
      </c>
      <c r="N72" s="110">
        <v>5.319</v>
      </c>
      <c r="O72" s="110">
        <v>5.319</v>
      </c>
      <c r="P72" s="110">
        <v>56.188000000000002</v>
      </c>
      <c r="Q72" s="110">
        <v>78.575000000000003</v>
      </c>
      <c r="R72" s="110">
        <v>78.206000000000003</v>
      </c>
      <c r="S72" s="110">
        <v>76.161000000000001</v>
      </c>
      <c r="T72" s="110">
        <v>74.816000000000003</v>
      </c>
      <c r="U72" s="110">
        <v>72.858999999999995</v>
      </c>
      <c r="V72" s="110">
        <v>85.98</v>
      </c>
      <c r="W72" s="110">
        <v>82.983999999999995</v>
      </c>
      <c r="X72" s="110">
        <v>80.497</v>
      </c>
      <c r="Y72" s="110">
        <v>79.441000000000003</v>
      </c>
      <c r="Z72" s="110">
        <v>85.522999999999996</v>
      </c>
      <c r="AA72" s="110">
        <v>75.927999999999997</v>
      </c>
      <c r="AB72" s="110">
        <v>75.733999999999995</v>
      </c>
      <c r="AC72" s="110">
        <v>81.628</v>
      </c>
      <c r="AD72" s="110">
        <v>72.524000000000001</v>
      </c>
      <c r="AE72" s="110">
        <v>71.316000000000003</v>
      </c>
      <c r="AF72" s="110">
        <v>59.34</v>
      </c>
      <c r="AG72" s="110">
        <v>57.926000000000002</v>
      </c>
      <c r="AH72" s="110">
        <v>56.914000000000001</v>
      </c>
      <c r="AI72" s="110">
        <v>55.793999999999997</v>
      </c>
      <c r="AJ72" s="110">
        <v>54.88</v>
      </c>
      <c r="AK72" s="110">
        <v>53.63</v>
      </c>
      <c r="AL72" s="110">
        <v>52.274000000000001</v>
      </c>
      <c r="AM72" s="110">
        <v>50.7</v>
      </c>
      <c r="AN72" s="110">
        <v>48.68</v>
      </c>
      <c r="AO72" s="110">
        <v>47.145000000000003</v>
      </c>
      <c r="AP72" s="110">
        <v>25.507999999999999</v>
      </c>
      <c r="AQ72" s="110">
        <v>1.1000000000000001</v>
      </c>
      <c r="AR72" s="110">
        <v>0.9</v>
      </c>
      <c r="AS72" s="110">
        <v>0.9</v>
      </c>
      <c r="AT72" s="110">
        <v>29.5</v>
      </c>
      <c r="AU72" s="110">
        <v>27.433</v>
      </c>
      <c r="AV72" s="110">
        <v>22.8</v>
      </c>
      <c r="AW72" s="110">
        <v>20.675999999999998</v>
      </c>
      <c r="AX72" s="110">
        <v>18.558</v>
      </c>
      <c r="AY72" s="110">
        <v>16.437999999999999</v>
      </c>
      <c r="AZ72" s="110">
        <v>14.335000000000001</v>
      </c>
      <c r="BA72" s="110">
        <v>12.241</v>
      </c>
      <c r="BB72" s="110">
        <v>10.145</v>
      </c>
      <c r="BC72" s="110">
        <v>8.0500000000000007</v>
      </c>
      <c r="BD72" s="110">
        <v>6.6360000000000001</v>
      </c>
      <c r="BE72" s="110">
        <v>0.24099999999999999</v>
      </c>
      <c r="BF72" s="110">
        <v>3.0059999999999998</v>
      </c>
      <c r="BG72" s="110">
        <v>25.114000000000001</v>
      </c>
      <c r="BH72" s="110">
        <v>24.053999999999998</v>
      </c>
      <c r="BI72" s="110">
        <v>23.606999999999999</v>
      </c>
      <c r="BJ72" s="110">
        <v>19.350000000000001</v>
      </c>
      <c r="BK72" s="110">
        <v>18.071999999999999</v>
      </c>
      <c r="BL72" s="58">
        <v>16.79398355</v>
      </c>
      <c r="BM72" s="58">
        <v>15.516</v>
      </c>
      <c r="BN72" s="58">
        <v>14.201000000000001</v>
      </c>
      <c r="BO72" s="58">
        <v>13.875</v>
      </c>
      <c r="BP72" s="66">
        <v>12.566000000000001</v>
      </c>
      <c r="BQ72" s="66">
        <v>10.24565711</v>
      </c>
      <c r="BR72" s="71">
        <v>9.0229999999999997</v>
      </c>
      <c r="BS72" s="71">
        <v>0</v>
      </c>
      <c r="BT72" s="71">
        <v>0</v>
      </c>
      <c r="BU72" s="71">
        <v>0</v>
      </c>
      <c r="BV72" s="55"/>
      <c r="BW72" s="110">
        <v>0.94699999999999995</v>
      </c>
      <c r="BX72" s="110">
        <v>10.733000000000001</v>
      </c>
      <c r="BY72" s="110">
        <v>8.84</v>
      </c>
      <c r="BZ72" s="110">
        <v>5.319</v>
      </c>
      <c r="CA72" s="110">
        <v>76.161000000000001</v>
      </c>
      <c r="CB72" s="110">
        <v>82.983999999999995</v>
      </c>
      <c r="CC72" s="110">
        <v>75.927999999999997</v>
      </c>
      <c r="CD72" s="110">
        <v>71.316000000000003</v>
      </c>
      <c r="CE72" s="110">
        <v>55.793999999999997</v>
      </c>
      <c r="CF72" s="110">
        <v>50.7</v>
      </c>
      <c r="CG72" s="110">
        <f t="shared" si="57"/>
        <v>1.1000000000000001</v>
      </c>
      <c r="CH72" s="110">
        <f t="shared" si="58"/>
        <v>27.433</v>
      </c>
      <c r="CI72" s="110">
        <f t="shared" si="53"/>
        <v>16.437999999999999</v>
      </c>
      <c r="CJ72" s="110">
        <f t="shared" si="54"/>
        <v>8.0500000000000007</v>
      </c>
      <c r="CK72" s="110">
        <f t="shared" si="55"/>
        <v>25.114000000000001</v>
      </c>
      <c r="CL72" s="58">
        <f t="shared" si="56"/>
        <v>18.071999999999999</v>
      </c>
      <c r="CM72" s="58">
        <f t="shared" si="8"/>
        <v>13.875</v>
      </c>
      <c r="CN72" s="58">
        <f t="shared" si="44"/>
        <v>0</v>
      </c>
      <c r="CO72" s="206"/>
      <c r="CP72" s="6"/>
      <c r="CT72" s="48"/>
    </row>
    <row r="73" spans="1:98" x14ac:dyDescent="0.35">
      <c r="B73" s="40" t="str">
        <f>IF(Control!$D$5=1,"Deferred Income Taxes","Imposto de Renda Diferido")</f>
        <v>Imposto de Renda Diferido</v>
      </c>
      <c r="C73" s="110">
        <v>0</v>
      </c>
      <c r="D73" s="110">
        <v>0.40100000000000002</v>
      </c>
      <c r="E73" s="58" t="s">
        <v>2</v>
      </c>
      <c r="F73" s="58" t="s">
        <v>2</v>
      </c>
      <c r="G73" s="110">
        <v>4.6260000000000003</v>
      </c>
      <c r="H73" s="110">
        <v>3.3540000000000001</v>
      </c>
      <c r="I73" s="110">
        <v>3.3540000000000001</v>
      </c>
      <c r="J73" s="110">
        <v>3.3540000000000001</v>
      </c>
      <c r="K73" s="110">
        <v>2.8889999999999998</v>
      </c>
      <c r="L73" s="110">
        <v>3.8090000000000002</v>
      </c>
      <c r="M73" s="110">
        <v>3.6280000000000001</v>
      </c>
      <c r="N73" s="110">
        <v>3.347</v>
      </c>
      <c r="O73" s="110">
        <v>50.771999999999998</v>
      </c>
      <c r="P73" s="110">
        <v>78.495999999999995</v>
      </c>
      <c r="Q73" s="110">
        <v>76.813000000000002</v>
      </c>
      <c r="R73" s="110">
        <v>68.325999999999993</v>
      </c>
      <c r="S73" s="110">
        <v>73.643000000000001</v>
      </c>
      <c r="T73" s="110">
        <v>78.757999999999996</v>
      </c>
      <c r="U73" s="110">
        <v>81.221000000000004</v>
      </c>
      <c r="V73" s="110">
        <v>87.340999999999994</v>
      </c>
      <c r="W73" s="110">
        <v>8.1780000000000008</v>
      </c>
      <c r="X73" s="110">
        <v>14.484</v>
      </c>
      <c r="Y73" s="110">
        <v>4.5049999999999999</v>
      </c>
      <c r="Z73" s="110">
        <v>8.3480000000000008</v>
      </c>
      <c r="AA73" s="110">
        <v>24.044</v>
      </c>
      <c r="AB73" s="110">
        <v>34.975000000000001</v>
      </c>
      <c r="AC73" s="110">
        <v>43.698</v>
      </c>
      <c r="AD73" s="110">
        <v>55.363</v>
      </c>
      <c r="AE73" s="110">
        <v>56.765999999999998</v>
      </c>
      <c r="AF73" s="110">
        <v>73.103999999999999</v>
      </c>
      <c r="AG73" s="110">
        <v>79.168000000000006</v>
      </c>
      <c r="AH73" s="110">
        <v>88.951999999999998</v>
      </c>
      <c r="AI73" s="110">
        <v>87.668999999999997</v>
      </c>
      <c r="AJ73" s="110">
        <v>84.861000000000004</v>
      </c>
      <c r="AK73" s="110">
        <v>93.025000000000006</v>
      </c>
      <c r="AL73" s="110">
        <v>95.415999999999997</v>
      </c>
      <c r="AM73" s="110">
        <v>99.9</v>
      </c>
      <c r="AN73" s="110">
        <v>105.92400000000001</v>
      </c>
      <c r="AO73" s="110">
        <v>122.52200000000001</v>
      </c>
      <c r="AP73" s="110">
        <v>128.375</v>
      </c>
      <c r="AQ73" s="110">
        <v>137.80000000000001</v>
      </c>
      <c r="AR73" s="110">
        <v>139</v>
      </c>
      <c r="AS73" s="110">
        <v>139</v>
      </c>
      <c r="AT73" s="110">
        <v>125.2</v>
      </c>
      <c r="AU73" s="110">
        <v>128.81100000000001</v>
      </c>
      <c r="AV73" s="110">
        <v>94.2</v>
      </c>
      <c r="AW73" s="110">
        <v>85.653000000000006</v>
      </c>
      <c r="AX73" s="110">
        <v>106.916</v>
      </c>
      <c r="AY73" s="110">
        <v>101.18600000000001</v>
      </c>
      <c r="AZ73" s="110">
        <v>122.813</v>
      </c>
      <c r="BA73" s="110">
        <v>117.874</v>
      </c>
      <c r="BB73" s="110">
        <v>118.202</v>
      </c>
      <c r="BC73" s="110">
        <v>113.325</v>
      </c>
      <c r="BD73" s="110">
        <v>106.012</v>
      </c>
      <c r="BE73" s="110">
        <v>112.086</v>
      </c>
      <c r="BF73" s="110">
        <v>123.11199999999999</v>
      </c>
      <c r="BG73" s="110">
        <v>102.98399999999999</v>
      </c>
      <c r="BH73" s="110">
        <v>118.627</v>
      </c>
      <c r="BI73" s="110">
        <v>119.83799999999999</v>
      </c>
      <c r="BJ73" s="110">
        <v>166.887</v>
      </c>
      <c r="BK73" s="110">
        <v>154.90700000000001</v>
      </c>
      <c r="BL73" s="58">
        <v>107.90522737299705</v>
      </c>
      <c r="BM73" s="58">
        <v>92.176000000000002</v>
      </c>
      <c r="BN73" s="58">
        <v>39.247999999999998</v>
      </c>
      <c r="BO73" s="58">
        <v>71.396000000000001</v>
      </c>
      <c r="BP73" s="66">
        <v>77.808999999999997</v>
      </c>
      <c r="BQ73" s="66">
        <v>82.573098161138859</v>
      </c>
      <c r="BR73" s="71">
        <v>45.246000000000002</v>
      </c>
      <c r="BS73" s="71">
        <v>43.052</v>
      </c>
      <c r="BT73" s="71">
        <v>45.72</v>
      </c>
      <c r="BU73" s="71">
        <v>42.942999999999998</v>
      </c>
      <c r="BV73" s="55"/>
      <c r="BW73" s="110">
        <v>0</v>
      </c>
      <c r="BX73" s="110">
        <v>4.6260000000000003</v>
      </c>
      <c r="BY73" s="110">
        <v>2.8889999999999998</v>
      </c>
      <c r="BZ73" s="110">
        <v>50.771999999999998</v>
      </c>
      <c r="CA73" s="110">
        <v>73.643000000000001</v>
      </c>
      <c r="CB73" s="110">
        <v>8.1780000000000008</v>
      </c>
      <c r="CC73" s="110">
        <v>24.044</v>
      </c>
      <c r="CD73" s="110">
        <v>56.765999999999998</v>
      </c>
      <c r="CE73" s="110">
        <v>87.668999999999997</v>
      </c>
      <c r="CF73" s="110">
        <v>99.9</v>
      </c>
      <c r="CG73" s="110">
        <f t="shared" si="57"/>
        <v>137.80000000000001</v>
      </c>
      <c r="CH73" s="110">
        <f t="shared" si="58"/>
        <v>128.81100000000001</v>
      </c>
      <c r="CI73" s="110">
        <f t="shared" si="53"/>
        <v>101.18600000000001</v>
      </c>
      <c r="CJ73" s="110">
        <f t="shared" si="54"/>
        <v>113.325</v>
      </c>
      <c r="CK73" s="110">
        <f t="shared" si="55"/>
        <v>102.98399999999999</v>
      </c>
      <c r="CL73" s="58">
        <f t="shared" si="56"/>
        <v>154.90700000000001</v>
      </c>
      <c r="CM73" s="58">
        <f t="shared" si="8"/>
        <v>71.396000000000001</v>
      </c>
      <c r="CN73" s="58">
        <f t="shared" si="44"/>
        <v>43.052</v>
      </c>
      <c r="CO73" s="206"/>
      <c r="CP73" s="6"/>
      <c r="CT73" s="48"/>
    </row>
    <row r="74" spans="1:98" x14ac:dyDescent="0.35">
      <c r="B74" s="40" t="str">
        <f>IF(Control!$D$5=1,"Provision for contingencies","Provisão para Contingências")</f>
        <v>Provisão para Contingências</v>
      </c>
      <c r="C74" s="110">
        <v>0</v>
      </c>
      <c r="D74" s="110">
        <v>0.76900000000000002</v>
      </c>
      <c r="E74" s="58" t="s">
        <v>2</v>
      </c>
      <c r="F74" s="58" t="s">
        <v>2</v>
      </c>
      <c r="G74" s="110">
        <v>1.123</v>
      </c>
      <c r="H74" s="110">
        <v>0.93100000000000005</v>
      </c>
      <c r="I74" s="110">
        <v>0.89</v>
      </c>
      <c r="J74" s="110">
        <v>0.82599999999999996</v>
      </c>
      <c r="K74" s="110">
        <v>0.85499999999999998</v>
      </c>
      <c r="L74" s="110">
        <v>0.85699999999999998</v>
      </c>
      <c r="M74" s="110">
        <v>0.82899999999999996</v>
      </c>
      <c r="N74" s="110">
        <v>0.81</v>
      </c>
      <c r="O74" s="110">
        <v>2.226</v>
      </c>
      <c r="P74" s="110">
        <v>30.515000000000001</v>
      </c>
      <c r="Q74" s="110">
        <v>31.51</v>
      </c>
      <c r="R74" s="110">
        <v>27.867000000000001</v>
      </c>
      <c r="S74" s="110">
        <v>28.276</v>
      </c>
      <c r="T74" s="110">
        <v>28.981999999999999</v>
      </c>
      <c r="U74" s="110">
        <v>28.721</v>
      </c>
      <c r="V74" s="110">
        <v>34.08</v>
      </c>
      <c r="W74" s="110">
        <v>28.974</v>
      </c>
      <c r="X74" s="110">
        <v>30.042000000000002</v>
      </c>
      <c r="Y74" s="110">
        <v>31.922000000000001</v>
      </c>
      <c r="Z74" s="110">
        <v>32.134999999999998</v>
      </c>
      <c r="AA74" s="110">
        <v>9.59</v>
      </c>
      <c r="AB74" s="110">
        <v>9.5579999999999998</v>
      </c>
      <c r="AC74" s="110">
        <v>11.208</v>
      </c>
      <c r="AD74" s="110">
        <v>11.849</v>
      </c>
      <c r="AE74" s="110">
        <v>11.125999999999999</v>
      </c>
      <c r="AF74" s="110">
        <v>10.516999999999999</v>
      </c>
      <c r="AG74" s="110">
        <v>11.103999999999999</v>
      </c>
      <c r="AH74" s="110">
        <v>14.227</v>
      </c>
      <c r="AI74" s="110">
        <v>14.808</v>
      </c>
      <c r="AJ74" s="110">
        <v>16.169</v>
      </c>
      <c r="AK74" s="110">
        <v>16.062999999999999</v>
      </c>
      <c r="AL74" s="110">
        <v>17.123999999999999</v>
      </c>
      <c r="AM74" s="110">
        <v>31.6</v>
      </c>
      <c r="AN74" s="110">
        <v>35.143999999999998</v>
      </c>
      <c r="AO74" s="110">
        <v>34.654000000000003</v>
      </c>
      <c r="AP74" s="110">
        <v>34.409999999999997</v>
      </c>
      <c r="AQ74" s="110">
        <v>35.5</v>
      </c>
      <c r="AR74" s="110">
        <v>36</v>
      </c>
      <c r="AS74" s="110">
        <v>36</v>
      </c>
      <c r="AT74" s="110">
        <v>38.5</v>
      </c>
      <c r="AU74" s="110">
        <v>37.101999999999997</v>
      </c>
      <c r="AV74" s="110">
        <v>40.700000000000003</v>
      </c>
      <c r="AW74" s="110">
        <v>41.006</v>
      </c>
      <c r="AX74" s="110">
        <v>42.874000000000002</v>
      </c>
      <c r="AY74" s="110">
        <v>42.243000000000002</v>
      </c>
      <c r="AZ74" s="110">
        <v>25.484999999999999</v>
      </c>
      <c r="BA74" s="110">
        <v>27.257999999999999</v>
      </c>
      <c r="BB74" s="110">
        <v>23.792000000000002</v>
      </c>
      <c r="BC74" s="110">
        <v>24.853999999999999</v>
      </c>
      <c r="BD74" s="110">
        <v>30.878</v>
      </c>
      <c r="BE74" s="110">
        <v>30.288</v>
      </c>
      <c r="BF74" s="110">
        <v>30.797999999999998</v>
      </c>
      <c r="BG74" s="110">
        <v>46.204000000000001</v>
      </c>
      <c r="BH74" s="110">
        <v>35.859000000000002</v>
      </c>
      <c r="BI74" s="110">
        <v>36.765999999999998</v>
      </c>
      <c r="BJ74" s="110">
        <v>60.7</v>
      </c>
      <c r="BK74" s="110">
        <v>373.03100000000001</v>
      </c>
      <c r="BL74" s="58">
        <v>370.012</v>
      </c>
      <c r="BM74" s="58">
        <v>362.01900000000001</v>
      </c>
      <c r="BN74" s="58">
        <v>372.637</v>
      </c>
      <c r="BO74" s="58">
        <v>356.07100000000003</v>
      </c>
      <c r="BP74" s="66">
        <v>363.68735502823995</v>
      </c>
      <c r="BQ74" s="66">
        <v>371.37345794993007</v>
      </c>
      <c r="BR74" s="71">
        <v>373.21100000000001</v>
      </c>
      <c r="BS74" s="71">
        <v>345.399</v>
      </c>
      <c r="BT74" s="71">
        <v>373.89299999999997</v>
      </c>
      <c r="BU74" s="71">
        <v>381.94200000000001</v>
      </c>
      <c r="BV74" s="55"/>
      <c r="BW74" s="110">
        <v>0</v>
      </c>
      <c r="BX74" s="110">
        <v>1.123</v>
      </c>
      <c r="BY74" s="110">
        <v>0.85499999999999998</v>
      </c>
      <c r="BZ74" s="110">
        <v>2.226</v>
      </c>
      <c r="CA74" s="110">
        <v>28.276</v>
      </c>
      <c r="CB74" s="110">
        <v>28.974</v>
      </c>
      <c r="CC74" s="110">
        <v>9.59</v>
      </c>
      <c r="CD74" s="110">
        <v>11.125999999999999</v>
      </c>
      <c r="CE74" s="110">
        <v>14.808</v>
      </c>
      <c r="CF74" s="110">
        <v>31.6</v>
      </c>
      <c r="CG74" s="110">
        <f t="shared" si="57"/>
        <v>35.5</v>
      </c>
      <c r="CH74" s="110">
        <f t="shared" si="58"/>
        <v>37.101999999999997</v>
      </c>
      <c r="CI74" s="110">
        <f t="shared" si="53"/>
        <v>42.243000000000002</v>
      </c>
      <c r="CJ74" s="110">
        <f t="shared" si="54"/>
        <v>24.853999999999999</v>
      </c>
      <c r="CK74" s="110">
        <f t="shared" si="55"/>
        <v>46.204000000000001</v>
      </c>
      <c r="CL74" s="58">
        <f t="shared" si="56"/>
        <v>373.03100000000001</v>
      </c>
      <c r="CM74" s="58">
        <f t="shared" ref="CM74:CM115" si="59">BO74</f>
        <v>356.07100000000003</v>
      </c>
      <c r="CN74" s="58">
        <f t="shared" si="44"/>
        <v>345.399</v>
      </c>
      <c r="CO74" s="206"/>
      <c r="CP74" s="6"/>
      <c r="CT74" s="48"/>
    </row>
    <row r="75" spans="1:98" x14ac:dyDescent="0.35">
      <c r="B75" s="40" t="str">
        <f>IF(Control!$D$5=1,"Notes Payable - Aquisitions","Contas a Pagar - Aquisição de Investimentos")</f>
        <v>Contas a Pagar - Aquisição de Investimentos</v>
      </c>
      <c r="C75" s="110">
        <v>0</v>
      </c>
      <c r="D75" s="110">
        <v>0</v>
      </c>
      <c r="E75" s="58" t="s">
        <v>2</v>
      </c>
      <c r="F75" s="58" t="s">
        <v>2</v>
      </c>
      <c r="G75" s="110">
        <v>0</v>
      </c>
      <c r="H75" s="110">
        <v>0</v>
      </c>
      <c r="I75" s="110">
        <v>0</v>
      </c>
      <c r="J75" s="110">
        <v>0</v>
      </c>
      <c r="K75" s="110">
        <v>0</v>
      </c>
      <c r="L75" s="110">
        <v>0</v>
      </c>
      <c r="M75" s="110">
        <v>0</v>
      </c>
      <c r="N75" s="110">
        <v>0</v>
      </c>
      <c r="O75" s="110">
        <v>0</v>
      </c>
      <c r="P75" s="110">
        <v>0</v>
      </c>
      <c r="Q75" s="110">
        <v>0</v>
      </c>
      <c r="R75" s="110"/>
      <c r="S75" s="110">
        <v>0</v>
      </c>
      <c r="T75" s="110">
        <v>0</v>
      </c>
      <c r="U75" s="110">
        <v>0</v>
      </c>
      <c r="V75" s="110">
        <v>148.23500000000001</v>
      </c>
      <c r="W75" s="110">
        <v>118.20099999999999</v>
      </c>
      <c r="X75" s="110">
        <v>120.246</v>
      </c>
      <c r="Y75" s="110">
        <v>122.65900000000001</v>
      </c>
      <c r="Z75" s="110">
        <v>62.694000000000003</v>
      </c>
      <c r="AA75" s="110">
        <v>62.694000000000003</v>
      </c>
      <c r="AB75" s="110">
        <v>65.784999999999997</v>
      </c>
      <c r="AC75" s="110">
        <v>67.522000000000006</v>
      </c>
      <c r="AD75" s="110">
        <v>38.137</v>
      </c>
      <c r="AE75" s="110">
        <v>0</v>
      </c>
      <c r="AF75" s="110">
        <v>0</v>
      </c>
      <c r="AG75" s="110">
        <v>0</v>
      </c>
      <c r="AH75" s="110">
        <v>0</v>
      </c>
      <c r="AI75" s="110">
        <v>0</v>
      </c>
      <c r="AJ75" s="110">
        <v>0</v>
      </c>
      <c r="AK75" s="110">
        <v>0</v>
      </c>
      <c r="AL75" s="110">
        <v>0</v>
      </c>
      <c r="AM75" s="110">
        <v>0</v>
      </c>
      <c r="AN75" s="110">
        <v>0</v>
      </c>
      <c r="AO75" s="110">
        <v>0</v>
      </c>
      <c r="AP75" s="110">
        <v>0</v>
      </c>
      <c r="AQ75" s="110">
        <v>0</v>
      </c>
      <c r="AR75" s="110">
        <v>0</v>
      </c>
      <c r="AS75" s="110">
        <v>0</v>
      </c>
      <c r="AT75" s="110">
        <v>0</v>
      </c>
      <c r="AU75" s="110">
        <v>0</v>
      </c>
      <c r="AV75" s="110">
        <v>0</v>
      </c>
      <c r="AW75" s="110">
        <v>0</v>
      </c>
      <c r="AX75" s="110">
        <v>0</v>
      </c>
      <c r="AY75" s="110">
        <v>0</v>
      </c>
      <c r="AZ75" s="110">
        <v>0</v>
      </c>
      <c r="BA75" s="110">
        <v>0</v>
      </c>
      <c r="BB75" s="110">
        <v>0</v>
      </c>
      <c r="BC75" s="110">
        <v>0</v>
      </c>
      <c r="BD75" s="110">
        <v>0</v>
      </c>
      <c r="BE75" s="110">
        <v>0</v>
      </c>
      <c r="BF75" s="110">
        <v>0</v>
      </c>
      <c r="BG75" s="110">
        <v>0</v>
      </c>
      <c r="BH75" s="110">
        <v>0</v>
      </c>
      <c r="BI75" s="110">
        <v>0</v>
      </c>
      <c r="BJ75" s="110">
        <v>78.962000000000003</v>
      </c>
      <c r="BK75" s="110">
        <v>97.965000000000003</v>
      </c>
      <c r="BL75" s="58">
        <v>116.86799999999999</v>
      </c>
      <c r="BM75" s="58">
        <v>121.764</v>
      </c>
      <c r="BN75" s="58">
        <v>101.15900000000001</v>
      </c>
      <c r="BO75" s="58">
        <v>90.22</v>
      </c>
      <c r="BP75" s="66">
        <v>88.483999999999995</v>
      </c>
      <c r="BQ75" s="66">
        <v>86.703999999999994</v>
      </c>
      <c r="BR75" s="71">
        <v>80.025000000000006</v>
      </c>
      <c r="BS75" s="71">
        <v>88.606999999999999</v>
      </c>
      <c r="BT75" s="71">
        <v>74.777000000000001</v>
      </c>
      <c r="BU75" s="71">
        <v>82.935000000000002</v>
      </c>
      <c r="BV75" s="55"/>
      <c r="BW75" s="110">
        <v>0</v>
      </c>
      <c r="BX75" s="110">
        <v>0</v>
      </c>
      <c r="BY75" s="110">
        <v>0</v>
      </c>
      <c r="BZ75" s="110">
        <v>0</v>
      </c>
      <c r="CA75" s="110">
        <v>0</v>
      </c>
      <c r="CB75" s="110">
        <v>118.20099999999999</v>
      </c>
      <c r="CC75" s="110">
        <v>62.694000000000003</v>
      </c>
      <c r="CD75" s="110">
        <v>0</v>
      </c>
      <c r="CE75" s="110">
        <v>0</v>
      </c>
      <c r="CF75" s="110">
        <v>0</v>
      </c>
      <c r="CG75" s="110">
        <f t="shared" si="57"/>
        <v>0</v>
      </c>
      <c r="CH75" s="110">
        <f t="shared" si="58"/>
        <v>0</v>
      </c>
      <c r="CI75" s="110">
        <f t="shared" si="53"/>
        <v>0</v>
      </c>
      <c r="CJ75" s="110">
        <f t="shared" si="54"/>
        <v>0</v>
      </c>
      <c r="CK75" s="110">
        <f t="shared" si="55"/>
        <v>0</v>
      </c>
      <c r="CL75" s="58">
        <f t="shared" si="56"/>
        <v>97.965000000000003</v>
      </c>
      <c r="CM75" s="58">
        <f t="shared" si="59"/>
        <v>90.22</v>
      </c>
      <c r="CN75" s="58">
        <f t="shared" si="44"/>
        <v>88.606999999999999</v>
      </c>
      <c r="CO75" s="206"/>
      <c r="CP75" s="6"/>
      <c r="CT75" s="48"/>
    </row>
    <row r="76" spans="1:98" x14ac:dyDescent="0.35">
      <c r="B76" s="40" t="str">
        <f>IF(Control!$D$5=1,"Other Long-Term Liabilities","Outros Passivos Longo Prazo")</f>
        <v>Outros Passivos Longo Prazo</v>
      </c>
      <c r="C76" s="110">
        <v>10.336</v>
      </c>
      <c r="D76" s="110">
        <v>10.003</v>
      </c>
      <c r="E76" s="58" t="s">
        <v>2</v>
      </c>
      <c r="F76" s="58" t="s">
        <v>2</v>
      </c>
      <c r="G76" s="110">
        <v>17.692</v>
      </c>
      <c r="H76" s="110">
        <v>14.901</v>
      </c>
      <c r="I76" s="110">
        <v>14.294</v>
      </c>
      <c r="J76" s="110">
        <v>6.5129999999999999</v>
      </c>
      <c r="K76" s="110">
        <v>11.512</v>
      </c>
      <c r="L76" s="110">
        <v>11.526999999999999</v>
      </c>
      <c r="M76" s="110">
        <v>17.315000000000001</v>
      </c>
      <c r="N76" s="110">
        <v>14.564</v>
      </c>
      <c r="O76" s="110">
        <v>8.7759999999999998</v>
      </c>
      <c r="P76" s="110">
        <v>12.117000000000001</v>
      </c>
      <c r="Q76" s="110">
        <v>16.542000000000002</v>
      </c>
      <c r="R76" s="110">
        <v>35.844999999999999</v>
      </c>
      <c r="S76" s="110">
        <v>35.234000000000002</v>
      </c>
      <c r="T76" s="110">
        <v>35.923000000000002</v>
      </c>
      <c r="U76" s="110">
        <v>35.963000000000001</v>
      </c>
      <c r="V76" s="110">
        <v>31.100999999999999</v>
      </c>
      <c r="W76" s="110">
        <v>63.716999999999999</v>
      </c>
      <c r="X76" s="110">
        <v>62.354999999999997</v>
      </c>
      <c r="Y76" s="110">
        <v>63.503</v>
      </c>
      <c r="Z76" s="110">
        <v>59.155999999999999</v>
      </c>
      <c r="AA76" s="110">
        <v>61.832000000000001</v>
      </c>
      <c r="AB76" s="110">
        <v>58.926000000000002</v>
      </c>
      <c r="AC76" s="110">
        <v>58.56</v>
      </c>
      <c r="AD76" s="110">
        <v>17</v>
      </c>
      <c r="AE76" s="110">
        <v>53.598999999999997</v>
      </c>
      <c r="AF76" s="110">
        <v>54.988999999999997</v>
      </c>
      <c r="AG76" s="110">
        <v>14.862</v>
      </c>
      <c r="AH76" s="111">
        <v>0.14499999999999999</v>
      </c>
      <c r="AI76" s="110">
        <v>0.20799999999999999</v>
      </c>
      <c r="AJ76" s="110">
        <v>0.151</v>
      </c>
      <c r="AK76" s="110">
        <v>0.14399999999999999</v>
      </c>
      <c r="AL76" s="110">
        <v>0.158</v>
      </c>
      <c r="AM76" s="110">
        <v>0.2</v>
      </c>
      <c r="AN76" s="110">
        <v>0.22</v>
      </c>
      <c r="AO76" s="110">
        <v>5.5E-2</v>
      </c>
      <c r="AP76" s="110">
        <v>5.5E-2</v>
      </c>
      <c r="AQ76" s="110">
        <v>0.1</v>
      </c>
      <c r="AR76" s="110">
        <v>0.1</v>
      </c>
      <c r="AS76" s="110">
        <v>0.1</v>
      </c>
      <c r="AT76" s="110">
        <v>2.5</v>
      </c>
      <c r="AU76" s="110">
        <f>50.901+0.93</f>
        <v>51.831000000000003</v>
      </c>
      <c r="AV76" s="110">
        <f>63.8+54.9</f>
        <v>118.69999999999999</v>
      </c>
      <c r="AW76" s="110">
        <v>55.927999999999997</v>
      </c>
      <c r="AX76" s="110">
        <v>57.585000000000001</v>
      </c>
      <c r="AY76" s="110">
        <v>47.572999999999993</v>
      </c>
      <c r="AZ76" s="110">
        <v>48.731999999999999</v>
      </c>
      <c r="BA76" s="110">
        <v>48.153999999999996</v>
      </c>
      <c r="BB76" s="110">
        <v>49.083999999999996</v>
      </c>
      <c r="BC76" s="110">
        <v>49.545999999999999</v>
      </c>
      <c r="BD76" s="110">
        <v>50.052999999999997</v>
      </c>
      <c r="BE76" s="110">
        <v>45.22</v>
      </c>
      <c r="BF76" s="110">
        <v>87.909000000000006</v>
      </c>
      <c r="BG76" s="110">
        <v>106.12599999999999</v>
      </c>
      <c r="BH76" s="110">
        <v>112.68</v>
      </c>
      <c r="BI76" s="110">
        <v>92.468999999999994</v>
      </c>
      <c r="BJ76" s="110">
        <v>14.9</v>
      </c>
      <c r="BK76" s="110">
        <v>13.602</v>
      </c>
      <c r="BL76" s="58">
        <v>13.842995815913001</v>
      </c>
      <c r="BM76" s="58">
        <v>13.906000000000001</v>
      </c>
      <c r="BN76" s="58">
        <v>14.058999999999999</v>
      </c>
      <c r="BO76" s="58">
        <v>20.059999999999999</v>
      </c>
      <c r="BP76" s="66">
        <v>22.267250808991996</v>
      </c>
      <c r="BQ76" s="66">
        <v>22.893000000000001</v>
      </c>
      <c r="BR76" s="71">
        <v>23.437000000000001</v>
      </c>
      <c r="BS76" s="71">
        <v>36.878</v>
      </c>
      <c r="BT76" s="71">
        <v>35.853000000000002</v>
      </c>
      <c r="BU76" s="71">
        <v>33.618000000000002</v>
      </c>
      <c r="BV76" s="55"/>
      <c r="BW76" s="110">
        <v>10.336</v>
      </c>
      <c r="BX76" s="110">
        <v>17.692</v>
      </c>
      <c r="BY76" s="110">
        <v>11.512</v>
      </c>
      <c r="BZ76" s="110">
        <v>8.7759999999999998</v>
      </c>
      <c r="CA76" s="110">
        <v>35.234000000000002</v>
      </c>
      <c r="CB76" s="110">
        <v>63.716999999999999</v>
      </c>
      <c r="CC76" s="110">
        <v>61.832000000000001</v>
      </c>
      <c r="CD76" s="110">
        <v>53.598999999999997</v>
      </c>
      <c r="CE76" s="110">
        <v>0.20799999999999999</v>
      </c>
      <c r="CF76" s="110">
        <v>0.2</v>
      </c>
      <c r="CG76" s="110">
        <f t="shared" si="57"/>
        <v>0.1</v>
      </c>
      <c r="CH76" s="110">
        <f t="shared" si="58"/>
        <v>51.831000000000003</v>
      </c>
      <c r="CI76" s="110">
        <f t="shared" si="53"/>
        <v>47.572999999999993</v>
      </c>
      <c r="CJ76" s="110">
        <f t="shared" si="54"/>
        <v>49.545999999999999</v>
      </c>
      <c r="CK76" s="110">
        <f t="shared" si="55"/>
        <v>106.12599999999999</v>
      </c>
      <c r="CL76" s="58">
        <f t="shared" si="56"/>
        <v>13.602</v>
      </c>
      <c r="CM76" s="58">
        <f t="shared" si="59"/>
        <v>20.059999999999999</v>
      </c>
      <c r="CN76" s="58">
        <f t="shared" si="44"/>
        <v>36.878</v>
      </c>
      <c r="CO76" s="206"/>
      <c r="CP76" s="6"/>
      <c r="CT76" s="48"/>
    </row>
    <row r="77" spans="1:98" ht="6.75" hidden="1" customHeight="1" outlineLevel="1" x14ac:dyDescent="0.35">
      <c r="B77" s="40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5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>
        <f t="shared" si="54"/>
        <v>0</v>
      </c>
      <c r="CK77" s="58">
        <f>BD77</f>
        <v>0</v>
      </c>
      <c r="CL77" s="58"/>
      <c r="CM77" s="58">
        <f t="shared" si="59"/>
        <v>0</v>
      </c>
      <c r="CN77" s="58">
        <f t="shared" si="44"/>
        <v>0</v>
      </c>
      <c r="CO77" s="206"/>
      <c r="CP77" s="6"/>
    </row>
    <row r="78" spans="1:98" s="18" customFormat="1" hidden="1" outlineLevel="1" x14ac:dyDescent="0.35">
      <c r="A78" s="5"/>
      <c r="B78" s="173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5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>
        <f t="shared" si="54"/>
        <v>0</v>
      </c>
      <c r="CK78" s="58">
        <f>BD78</f>
        <v>0</v>
      </c>
      <c r="CL78" s="58"/>
      <c r="CM78" s="58">
        <f t="shared" si="59"/>
        <v>0</v>
      </c>
      <c r="CN78" s="58">
        <f t="shared" si="44"/>
        <v>0</v>
      </c>
      <c r="CO78" s="206"/>
      <c r="CP78" s="6"/>
    </row>
    <row r="79" spans="1:98" s="18" customFormat="1" ht="6.75" customHeight="1" collapsed="1" x14ac:dyDescent="0.35">
      <c r="A79" s="5"/>
      <c r="B79" s="25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5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206"/>
      <c r="CP79" s="6"/>
    </row>
    <row r="80" spans="1:98" s="6" customFormat="1" x14ac:dyDescent="0.35">
      <c r="A80" s="5"/>
      <c r="B80" s="42" t="str">
        <f>IF(Control!$D$5=1,"Total Liabilites","Passivo Total")</f>
        <v>Passivo Total</v>
      </c>
      <c r="C80" s="112">
        <f>C48+C68+C78</f>
        <v>367.60400000000004</v>
      </c>
      <c r="D80" s="112">
        <f>D48+D68+D78</f>
        <v>691.47</v>
      </c>
      <c r="E80" s="112" t="s">
        <v>2</v>
      </c>
      <c r="F80" s="112" t="s">
        <v>2</v>
      </c>
      <c r="G80" s="112">
        <f t="shared" ref="G80:AW80" si="60">G48+G68+G78</f>
        <v>581.31700000000001</v>
      </c>
      <c r="H80" s="112">
        <f t="shared" si="60"/>
        <v>742.02300000000002</v>
      </c>
      <c r="I80" s="112">
        <f t="shared" si="60"/>
        <v>573.9910000000001</v>
      </c>
      <c r="J80" s="112">
        <f t="shared" si="60"/>
        <v>523.35799999999995</v>
      </c>
      <c r="K80" s="112">
        <f t="shared" si="60"/>
        <v>763.05899999999997</v>
      </c>
      <c r="L80" s="112">
        <f t="shared" si="60"/>
        <v>978.39800000000014</v>
      </c>
      <c r="M80" s="112">
        <f t="shared" si="60"/>
        <v>902.77199999999993</v>
      </c>
      <c r="N80" s="112">
        <f t="shared" si="60"/>
        <v>847.673</v>
      </c>
      <c r="O80" s="112">
        <f t="shared" si="60"/>
        <v>809.577</v>
      </c>
      <c r="P80" s="112">
        <f t="shared" si="60"/>
        <v>1306.501</v>
      </c>
      <c r="Q80" s="112">
        <f t="shared" si="60"/>
        <v>1269.8679999999999</v>
      </c>
      <c r="R80" s="112">
        <f t="shared" si="60"/>
        <v>1249.914</v>
      </c>
      <c r="S80" s="112">
        <f t="shared" si="60"/>
        <v>1385.6679999999999</v>
      </c>
      <c r="T80" s="112">
        <f t="shared" si="60"/>
        <v>1731.585</v>
      </c>
      <c r="U80" s="112">
        <f t="shared" si="60"/>
        <v>1568.317</v>
      </c>
      <c r="V80" s="112">
        <f t="shared" si="60"/>
        <v>1972.037</v>
      </c>
      <c r="W80" s="112">
        <f t="shared" si="60"/>
        <v>1888.0820000000001</v>
      </c>
      <c r="X80" s="112">
        <f t="shared" si="60"/>
        <v>2258.076</v>
      </c>
      <c r="Y80" s="112">
        <f t="shared" si="60"/>
        <v>2252.46</v>
      </c>
      <c r="Z80" s="112">
        <f t="shared" si="60"/>
        <v>2093.63</v>
      </c>
      <c r="AA80" s="112">
        <f t="shared" si="60"/>
        <v>2015.806</v>
      </c>
      <c r="AB80" s="112">
        <f t="shared" si="60"/>
        <v>2388.3919999999998</v>
      </c>
      <c r="AC80" s="112">
        <f t="shared" si="60"/>
        <v>2298.9499999999998</v>
      </c>
      <c r="AD80" s="112">
        <f t="shared" si="60"/>
        <v>2347.0659999999998</v>
      </c>
      <c r="AE80" s="112">
        <f t="shared" si="60"/>
        <v>2122.0039999999999</v>
      </c>
      <c r="AF80" s="112">
        <f t="shared" si="60"/>
        <v>2604.8020000000006</v>
      </c>
      <c r="AG80" s="112">
        <f t="shared" si="60"/>
        <v>2558.192</v>
      </c>
      <c r="AH80" s="112">
        <f t="shared" si="60"/>
        <v>2417.8410000000003</v>
      </c>
      <c r="AI80" s="112">
        <f t="shared" si="60"/>
        <v>2315.4140000000007</v>
      </c>
      <c r="AJ80" s="112">
        <f t="shared" si="60"/>
        <v>2587.2110000000002</v>
      </c>
      <c r="AK80" s="112">
        <f t="shared" si="60"/>
        <v>2483.5159999999996</v>
      </c>
      <c r="AL80" s="112">
        <f t="shared" si="60"/>
        <v>2321.7459999999996</v>
      </c>
      <c r="AM80" s="112">
        <f t="shared" si="60"/>
        <v>2469.9</v>
      </c>
      <c r="AN80" s="112">
        <f t="shared" si="60"/>
        <v>2603.4430000000002</v>
      </c>
      <c r="AO80" s="112">
        <f t="shared" si="60"/>
        <v>2407.0940000000001</v>
      </c>
      <c r="AP80" s="112">
        <f t="shared" si="60"/>
        <v>1848.444</v>
      </c>
      <c r="AQ80" s="112">
        <f t="shared" si="60"/>
        <v>1960.0999999999997</v>
      </c>
      <c r="AR80" s="112">
        <f t="shared" si="60"/>
        <v>2506.9</v>
      </c>
      <c r="AS80" s="112">
        <f t="shared" si="60"/>
        <v>2351.6999999999998</v>
      </c>
      <c r="AT80" s="112">
        <f t="shared" si="60"/>
        <v>2226</v>
      </c>
      <c r="AU80" s="112">
        <f t="shared" si="60"/>
        <v>2267.5039999999999</v>
      </c>
      <c r="AV80" s="112">
        <f t="shared" si="60"/>
        <v>3412.7</v>
      </c>
      <c r="AW80" s="112">
        <f t="shared" si="60"/>
        <v>3131.56</v>
      </c>
      <c r="AX80" s="112">
        <f>AX48+AX68+AX78</f>
        <v>3051.741</v>
      </c>
      <c r="AY80" s="112">
        <f>AY48+AY68+AY78</f>
        <v>2560.0170000000003</v>
      </c>
      <c r="AZ80" s="112">
        <f>AZ48+AZ68+AZ78</f>
        <v>4732.9390000000003</v>
      </c>
      <c r="BA80" s="112">
        <f t="shared" ref="BA80:BF80" si="61">BA48+BA68+BA78</f>
        <v>3877.8529999999996</v>
      </c>
      <c r="BB80" s="112">
        <f t="shared" si="61"/>
        <v>3842.9110000000001</v>
      </c>
      <c r="BC80" s="112">
        <f t="shared" si="61"/>
        <v>3458.078</v>
      </c>
      <c r="BD80" s="112">
        <f t="shared" si="61"/>
        <v>4726.7900000000009</v>
      </c>
      <c r="BE80" s="112">
        <f t="shared" si="61"/>
        <v>3987.7022407199993</v>
      </c>
      <c r="BF80" s="112">
        <f t="shared" si="61"/>
        <v>5245.4380000000001</v>
      </c>
      <c r="BG80" s="112">
        <f>BG48+BG68+BG78</f>
        <v>5051.9680000000008</v>
      </c>
      <c r="BH80" s="112">
        <f>BH48+BH68+BH78</f>
        <v>5823.2679999999991</v>
      </c>
      <c r="BI80" s="112">
        <f>BI48+BI68+BI78</f>
        <v>5618.7533665000001</v>
      </c>
      <c r="BJ80" s="112">
        <f t="shared" ref="BJ80:BU80" si="62">BJ48+BJ68+BJ78</f>
        <v>5552.4379999999992</v>
      </c>
      <c r="BK80" s="112">
        <f t="shared" si="62"/>
        <v>6214.4590000000007</v>
      </c>
      <c r="BL80" s="112">
        <f t="shared" si="62"/>
        <v>6936.3947602087646</v>
      </c>
      <c r="BM80" s="112">
        <f t="shared" si="62"/>
        <v>7584.1770000000006</v>
      </c>
      <c r="BN80" s="112">
        <f t="shared" si="62"/>
        <v>7294.9380000000001</v>
      </c>
      <c r="BO80" s="112">
        <f t="shared" si="62"/>
        <v>7534.0130000000008</v>
      </c>
      <c r="BP80" s="112">
        <f t="shared" si="62"/>
        <v>8428.0317882721538</v>
      </c>
      <c r="BQ80" s="112">
        <f t="shared" si="62"/>
        <v>8642.6725302744562</v>
      </c>
      <c r="BR80" s="112">
        <f t="shared" si="62"/>
        <v>8341.2330000000002</v>
      </c>
      <c r="BS80" s="112">
        <f t="shared" si="62"/>
        <v>7649.0049999999992</v>
      </c>
      <c r="BT80" s="112">
        <f t="shared" si="62"/>
        <v>8653.2139999999999</v>
      </c>
      <c r="BU80" s="112">
        <f t="shared" si="62"/>
        <v>7910.125</v>
      </c>
      <c r="BV80" s="55"/>
      <c r="BW80" s="112">
        <f t="shared" ref="BW80:CH80" si="63">BW48+BW68+BW78</f>
        <v>367.60400000000004</v>
      </c>
      <c r="BX80" s="112">
        <f t="shared" si="63"/>
        <v>581.31700000000001</v>
      </c>
      <c r="BY80" s="112">
        <f t="shared" si="63"/>
        <v>763.05899999999997</v>
      </c>
      <c r="BZ80" s="112">
        <f t="shared" si="63"/>
        <v>809.577</v>
      </c>
      <c r="CA80" s="112">
        <f t="shared" si="63"/>
        <v>1385.6679999999999</v>
      </c>
      <c r="CB80" s="112">
        <f t="shared" si="63"/>
        <v>1888.0820000000001</v>
      </c>
      <c r="CC80" s="112">
        <f t="shared" si="63"/>
        <v>2015.806</v>
      </c>
      <c r="CD80" s="112">
        <f t="shared" si="63"/>
        <v>2122.0039999999999</v>
      </c>
      <c r="CE80" s="112">
        <f t="shared" si="63"/>
        <v>2315.4140000000007</v>
      </c>
      <c r="CF80" s="112">
        <f t="shared" si="63"/>
        <v>2469.9</v>
      </c>
      <c r="CG80" s="112">
        <f t="shared" si="63"/>
        <v>1960.0999999999997</v>
      </c>
      <c r="CH80" s="112">
        <f t="shared" si="63"/>
        <v>2267.5039999999999</v>
      </c>
      <c r="CI80" s="112">
        <f>CI48+CI68+CI78</f>
        <v>2560.0170000000003</v>
      </c>
      <c r="CJ80" s="112">
        <f>BC80</f>
        <v>3458.078</v>
      </c>
      <c r="CK80" s="112">
        <f>BG80</f>
        <v>5051.9680000000008</v>
      </c>
      <c r="CL80" s="112">
        <f>BK80</f>
        <v>6214.4590000000007</v>
      </c>
      <c r="CM80" s="112">
        <f t="shared" si="59"/>
        <v>7534.0130000000008</v>
      </c>
      <c r="CN80" s="112">
        <f t="shared" ref="CN80:CN91" si="64">BS80</f>
        <v>7649.0049999999992</v>
      </c>
      <c r="CO80" s="206"/>
    </row>
    <row r="81" spans="1:98" s="18" customFormat="1" ht="6.75" customHeight="1" x14ac:dyDescent="0.35">
      <c r="A81" s="5"/>
      <c r="B81" s="25"/>
      <c r="C81" s="110"/>
      <c r="D81" s="110"/>
      <c r="E81" s="58"/>
      <c r="F81" s="58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10"/>
      <c r="BM81" s="110"/>
      <c r="BN81" s="110"/>
      <c r="BO81" s="110"/>
      <c r="BP81" s="110"/>
      <c r="BQ81" s="110"/>
      <c r="BR81" s="110"/>
      <c r="BS81" s="110"/>
      <c r="BT81" s="110"/>
      <c r="BU81" s="110"/>
      <c r="BV81" s="55"/>
      <c r="BW81" s="110"/>
      <c r="BX81" s="110"/>
      <c r="BY81" s="110"/>
      <c r="BZ81" s="110"/>
      <c r="CA81" s="110"/>
      <c r="CB81" s="110"/>
      <c r="CC81" s="110"/>
      <c r="CD81" s="110"/>
      <c r="CE81" s="110"/>
      <c r="CF81" s="110"/>
      <c r="CG81" s="110"/>
      <c r="CH81" s="110"/>
      <c r="CI81" s="110"/>
      <c r="CJ81" s="110"/>
      <c r="CK81" s="110"/>
      <c r="CL81" s="110"/>
      <c r="CM81" s="110">
        <f t="shared" si="59"/>
        <v>0</v>
      </c>
      <c r="CN81" s="110">
        <f t="shared" si="64"/>
        <v>0</v>
      </c>
      <c r="CO81" s="206"/>
      <c r="CP81" s="6"/>
    </row>
    <row r="82" spans="1:98" s="18" customFormat="1" x14ac:dyDescent="0.35">
      <c r="A82" s="5"/>
      <c r="B82" s="25" t="str">
        <f>IF(Control!$D$5=1,"Paid-in Capital","Capital Social Realizado")</f>
        <v>Capital Social Realizado</v>
      </c>
      <c r="C82" s="110">
        <v>50</v>
      </c>
      <c r="D82" s="110">
        <v>50</v>
      </c>
      <c r="E82" s="58" t="s">
        <v>2</v>
      </c>
      <c r="F82" s="58" t="s">
        <v>2</v>
      </c>
      <c r="G82" s="110">
        <v>100</v>
      </c>
      <c r="H82" s="110">
        <v>100</v>
      </c>
      <c r="I82" s="110">
        <v>160</v>
      </c>
      <c r="J82" s="110">
        <v>160</v>
      </c>
      <c r="K82" s="110">
        <v>160</v>
      </c>
      <c r="L82" s="110">
        <v>160</v>
      </c>
      <c r="M82" s="110">
        <v>156.02000000000001</v>
      </c>
      <c r="N82" s="110">
        <v>156.02000000000001</v>
      </c>
      <c r="O82" s="110">
        <v>156.02000000000001</v>
      </c>
      <c r="P82" s="110">
        <v>156.02000000000001</v>
      </c>
      <c r="Q82" s="110">
        <v>156.02000000000001</v>
      </c>
      <c r="R82" s="110">
        <v>527.428</v>
      </c>
      <c r="S82" s="110">
        <v>527.428</v>
      </c>
      <c r="T82" s="110">
        <v>527.428</v>
      </c>
      <c r="U82" s="110">
        <v>527.428</v>
      </c>
      <c r="V82" s="110">
        <v>527.428</v>
      </c>
      <c r="W82" s="110">
        <v>527.428</v>
      </c>
      <c r="X82" s="110">
        <v>527.428</v>
      </c>
      <c r="Y82" s="110">
        <v>527.428</v>
      </c>
      <c r="Z82" s="110">
        <v>527.428</v>
      </c>
      <c r="AA82" s="110">
        <v>527.428</v>
      </c>
      <c r="AB82" s="110">
        <v>527.428</v>
      </c>
      <c r="AC82" s="110">
        <v>527.428</v>
      </c>
      <c r="AD82" s="110">
        <v>527.428</v>
      </c>
      <c r="AE82" s="110">
        <v>527.428</v>
      </c>
      <c r="AF82" s="110">
        <v>527.428</v>
      </c>
      <c r="AG82" s="110">
        <v>527.428</v>
      </c>
      <c r="AH82" s="110">
        <v>527.428</v>
      </c>
      <c r="AI82" s="110">
        <v>527.428</v>
      </c>
      <c r="AJ82" s="110">
        <v>527.428</v>
      </c>
      <c r="AK82" s="110">
        <v>581.37300000000005</v>
      </c>
      <c r="AL82" s="110">
        <v>581.37300000000005</v>
      </c>
      <c r="AM82" s="110">
        <v>581.4</v>
      </c>
      <c r="AN82" s="110">
        <v>581.37400000000002</v>
      </c>
      <c r="AO82" s="110">
        <v>581.37400000000002</v>
      </c>
      <c r="AP82" s="110">
        <v>950.37400000000002</v>
      </c>
      <c r="AQ82" s="110">
        <v>950.4</v>
      </c>
      <c r="AR82" s="110">
        <v>950.4</v>
      </c>
      <c r="AS82" s="110">
        <v>950.4</v>
      </c>
      <c r="AT82" s="110">
        <v>950.4</v>
      </c>
      <c r="AU82" s="110">
        <v>950.37400000000002</v>
      </c>
      <c r="AV82" s="110">
        <v>950.4</v>
      </c>
      <c r="AW82" s="110">
        <v>950.37400000000002</v>
      </c>
      <c r="AX82" s="110">
        <v>950.37400000000002</v>
      </c>
      <c r="AY82" s="110">
        <v>950.37400000000002</v>
      </c>
      <c r="AZ82" s="110">
        <v>950.37400000000002</v>
      </c>
      <c r="BA82" s="110">
        <v>950.37400000000002</v>
      </c>
      <c r="BB82" s="110">
        <v>950.37400000000002</v>
      </c>
      <c r="BC82" s="110">
        <v>950.37400000000002</v>
      </c>
      <c r="BD82" s="110">
        <v>950.37400000000002</v>
      </c>
      <c r="BE82" s="110">
        <v>950.37400000000002</v>
      </c>
      <c r="BF82" s="110">
        <v>950.37400000000002</v>
      </c>
      <c r="BG82" s="110">
        <v>950.37400000000002</v>
      </c>
      <c r="BH82" s="110">
        <v>950.4</v>
      </c>
      <c r="BI82" s="110">
        <v>950.4</v>
      </c>
      <c r="BJ82" s="110">
        <v>950.37400000000002</v>
      </c>
      <c r="BK82" s="110">
        <v>950.37400000000002</v>
      </c>
      <c r="BL82" s="58">
        <v>950.37400000000002</v>
      </c>
      <c r="BM82" s="58">
        <v>950.37400000000002</v>
      </c>
      <c r="BN82" s="58">
        <v>950.37400000000002</v>
      </c>
      <c r="BO82" s="58">
        <v>950.37400000000002</v>
      </c>
      <c r="BP82" s="66">
        <v>950.37400000000002</v>
      </c>
      <c r="BQ82" s="71">
        <v>950.37400000000002</v>
      </c>
      <c r="BR82" s="71">
        <v>950.37400000000002</v>
      </c>
      <c r="BS82" s="71">
        <v>950.37400000000002</v>
      </c>
      <c r="BT82" s="71">
        <v>950.37400000000002</v>
      </c>
      <c r="BU82" s="71">
        <v>950.37400000000002</v>
      </c>
      <c r="BV82" s="55"/>
      <c r="BW82" s="110">
        <v>50</v>
      </c>
      <c r="BX82" s="110">
        <v>100</v>
      </c>
      <c r="BY82" s="110">
        <v>160</v>
      </c>
      <c r="BZ82" s="110">
        <v>156.02000000000001</v>
      </c>
      <c r="CA82" s="110">
        <v>527.428</v>
      </c>
      <c r="CB82" s="110">
        <v>527.428</v>
      </c>
      <c r="CC82" s="110">
        <v>527.428</v>
      </c>
      <c r="CD82" s="110">
        <v>527.428</v>
      </c>
      <c r="CE82" s="110">
        <v>527.428</v>
      </c>
      <c r="CF82" s="110">
        <v>581.4</v>
      </c>
      <c r="CG82" s="110">
        <f>AQ82</f>
        <v>950.4</v>
      </c>
      <c r="CH82" s="110">
        <f t="shared" ref="CH82:CH90" si="65">AU82</f>
        <v>950.37400000000002</v>
      </c>
      <c r="CI82" s="110">
        <f t="shared" ref="CI82:CI90" si="66">AY82</f>
        <v>950.37400000000002</v>
      </c>
      <c r="CJ82" s="110">
        <f t="shared" ref="CJ82:CJ91" si="67">BC82</f>
        <v>950.37400000000002</v>
      </c>
      <c r="CK82" s="110">
        <f t="shared" ref="CK82:CK91" si="68">BG82</f>
        <v>950.37400000000002</v>
      </c>
      <c r="CL82" s="58">
        <f t="shared" ref="CL82:CL90" si="69">BK82</f>
        <v>950.37400000000002</v>
      </c>
      <c r="CM82" s="58">
        <f t="shared" si="59"/>
        <v>950.37400000000002</v>
      </c>
      <c r="CN82" s="58">
        <f t="shared" si="64"/>
        <v>950.37400000000002</v>
      </c>
      <c r="CO82" s="206"/>
      <c r="CP82" s="6"/>
    </row>
    <row r="83" spans="1:98" s="18" customFormat="1" x14ac:dyDescent="0.35">
      <c r="A83" s="5"/>
      <c r="B83" s="25" t="str">
        <f>IF(Control!$D$5=1,"Share issuance expenses","Gastos com emissão de ações")</f>
        <v>Gastos com emissão de ações</v>
      </c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>
        <v>0</v>
      </c>
      <c r="AN83" s="58"/>
      <c r="AO83" s="58"/>
      <c r="AP83" s="58"/>
      <c r="AQ83" s="58">
        <v>-12.1</v>
      </c>
      <c r="AR83" s="58">
        <v>-12.1</v>
      </c>
      <c r="AS83" s="58">
        <v>-12.4</v>
      </c>
      <c r="AT83" s="58">
        <v>-12.4</v>
      </c>
      <c r="AU83" s="58">
        <v>-12.38</v>
      </c>
      <c r="AV83" s="58">
        <v>-12.4</v>
      </c>
      <c r="AW83" s="58">
        <v>-12.38</v>
      </c>
      <c r="AX83" s="58">
        <v>-12.38</v>
      </c>
      <c r="AY83" s="58">
        <v>-12.38</v>
      </c>
      <c r="AZ83" s="58">
        <v>-12.38</v>
      </c>
      <c r="BA83" s="58">
        <v>-12.38</v>
      </c>
      <c r="BB83" s="58">
        <v>-12.38</v>
      </c>
      <c r="BC83" s="58">
        <v>-12.38</v>
      </c>
      <c r="BD83" s="58">
        <v>-12.38</v>
      </c>
      <c r="BE83" s="58">
        <v>-12.38</v>
      </c>
      <c r="BF83" s="58">
        <v>-12.38</v>
      </c>
      <c r="BG83" s="58">
        <v>-12.38</v>
      </c>
      <c r="BH83" s="58">
        <v>-12.38</v>
      </c>
      <c r="BI83" s="58">
        <v>-12.38</v>
      </c>
      <c r="BJ83" s="58">
        <v>-12.38</v>
      </c>
      <c r="BK83" s="58">
        <v>-12.38</v>
      </c>
      <c r="BL83" s="58">
        <v>-12.38</v>
      </c>
      <c r="BM83" s="58">
        <v>-12.38</v>
      </c>
      <c r="BN83" s="58">
        <v>-12.38</v>
      </c>
      <c r="BO83" s="58">
        <v>-12.38</v>
      </c>
      <c r="BP83" s="71">
        <v>-12.38</v>
      </c>
      <c r="BQ83" s="71">
        <v>-12.38</v>
      </c>
      <c r="BR83" s="71">
        <v>-12.38</v>
      </c>
      <c r="BS83" s="71">
        <v>-12.38</v>
      </c>
      <c r="BT83" s="71">
        <v>-12.38</v>
      </c>
      <c r="BU83" s="71">
        <v>-12.38</v>
      </c>
      <c r="BV83" s="55"/>
      <c r="BW83" s="58"/>
      <c r="BX83" s="58"/>
      <c r="BY83" s="58"/>
      <c r="BZ83" s="58"/>
      <c r="CA83" s="58"/>
      <c r="CB83" s="58"/>
      <c r="CC83" s="58"/>
      <c r="CD83" s="58"/>
      <c r="CE83" s="58"/>
      <c r="CF83" s="58">
        <v>0</v>
      </c>
      <c r="CG83" s="58">
        <f>AQ83</f>
        <v>-12.1</v>
      </c>
      <c r="CH83" s="58">
        <f t="shared" si="65"/>
        <v>-12.38</v>
      </c>
      <c r="CI83" s="58">
        <f t="shared" si="66"/>
        <v>-12.38</v>
      </c>
      <c r="CJ83" s="58">
        <f t="shared" si="67"/>
        <v>-12.38</v>
      </c>
      <c r="CK83" s="58">
        <f t="shared" si="68"/>
        <v>-12.38</v>
      </c>
      <c r="CL83" s="58">
        <f t="shared" si="69"/>
        <v>-12.38</v>
      </c>
      <c r="CM83" s="58">
        <f t="shared" si="59"/>
        <v>-12.38</v>
      </c>
      <c r="CN83" s="58">
        <f t="shared" si="64"/>
        <v>-12.38</v>
      </c>
      <c r="CO83" s="206"/>
      <c r="CP83" s="6"/>
    </row>
    <row r="84" spans="1:98" s="18" customFormat="1" x14ac:dyDescent="0.35">
      <c r="A84" s="5"/>
      <c r="B84" s="173" t="str">
        <f>IF(Control!$D$5=1,"Shares in Treasury","Ações em Tesouraria")</f>
        <v>Ações em Tesouraria</v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>
        <v>0</v>
      </c>
      <c r="AO84" s="58">
        <v>0</v>
      </c>
      <c r="AP84" s="58">
        <v>0</v>
      </c>
      <c r="AQ84" s="58">
        <v>-20.3</v>
      </c>
      <c r="AR84" s="58">
        <v>-44.5</v>
      </c>
      <c r="AS84" s="58">
        <v>-0.7</v>
      </c>
      <c r="AT84" s="58">
        <v>0</v>
      </c>
      <c r="AU84" s="58">
        <v>0</v>
      </c>
      <c r="AV84" s="58">
        <v>0</v>
      </c>
      <c r="AW84" s="58">
        <v>-18.8</v>
      </c>
      <c r="AX84" s="58">
        <v>-191.7</v>
      </c>
      <c r="AY84" s="58">
        <v>0</v>
      </c>
      <c r="AZ84" s="58">
        <v>0</v>
      </c>
      <c r="BA84" s="58">
        <v>0</v>
      </c>
      <c r="BB84" s="58">
        <v>-23.6</v>
      </c>
      <c r="BC84" s="58">
        <v>-44.4</v>
      </c>
      <c r="BD84" s="58">
        <v>-56.4</v>
      </c>
      <c r="BE84" s="58">
        <v>-70</v>
      </c>
      <c r="BF84" s="58">
        <v>-86.8</v>
      </c>
      <c r="BG84" s="58">
        <v>-105.8</v>
      </c>
      <c r="BH84" s="58">
        <v>-13.058</v>
      </c>
      <c r="BI84" s="58">
        <v>-60.7</v>
      </c>
      <c r="BJ84" s="58">
        <v>-98</v>
      </c>
      <c r="BK84" s="58">
        <v>-3.4129999999999998</v>
      </c>
      <c r="BL84" s="58">
        <v>-11.7</v>
      </c>
      <c r="BM84" s="58">
        <v>-30.170999999999999</v>
      </c>
      <c r="BN84" s="58">
        <v>-55.936999999999998</v>
      </c>
      <c r="BO84" s="58">
        <v>-68.516000000000005</v>
      </c>
      <c r="BP84" s="71">
        <v>-68.516000000000005</v>
      </c>
      <c r="BQ84" s="71">
        <v>-68.516000000000005</v>
      </c>
      <c r="BR84" s="71">
        <v>-68.516000000000005</v>
      </c>
      <c r="BS84" s="71">
        <v>-68.516000000000005</v>
      </c>
      <c r="BT84" s="71">
        <v>-68.516000000000005</v>
      </c>
      <c r="BU84" s="71">
        <v>-68.516000000000005</v>
      </c>
      <c r="BV84" s="55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>
        <f t="shared" si="59"/>
        <v>-68.516000000000005</v>
      </c>
      <c r="CN84" s="58">
        <f t="shared" si="64"/>
        <v>-68.516000000000005</v>
      </c>
      <c r="CO84" s="206"/>
      <c r="CP84" s="6"/>
    </row>
    <row r="85" spans="1:98" s="18" customFormat="1" x14ac:dyDescent="0.35">
      <c r="A85" s="5"/>
      <c r="B85" s="25" t="str">
        <f>IF(Control!$D$5=1,"Income Reserves","Reservas de Lucros")</f>
        <v>Reservas de Lucros</v>
      </c>
      <c r="C85" s="58">
        <v>32.320999999999998</v>
      </c>
      <c r="D85" s="58">
        <v>62.810999999999993</v>
      </c>
      <c r="E85" s="58" t="s">
        <v>2</v>
      </c>
      <c r="F85" s="58" t="s">
        <v>2</v>
      </c>
      <c r="G85" s="58">
        <v>25.861000000000001</v>
      </c>
      <c r="H85" s="58">
        <v>49.718999999999994</v>
      </c>
      <c r="I85" s="58">
        <v>14.818999999999999</v>
      </c>
      <c r="J85" s="58">
        <v>20.024999999999999</v>
      </c>
      <c r="K85" s="58">
        <v>28.286000000000001</v>
      </c>
      <c r="L85" s="58">
        <v>49.155000000000001</v>
      </c>
      <c r="M85" s="58">
        <v>57.525000000000006</v>
      </c>
      <c r="N85" s="58">
        <v>68.540999999999997</v>
      </c>
      <c r="O85" s="58">
        <v>78.455999999999989</v>
      </c>
      <c r="P85" s="58">
        <v>79.790000000000006</v>
      </c>
      <c r="Q85" s="58">
        <v>110.81400000000001</v>
      </c>
      <c r="R85" s="58">
        <v>14.329000000000001</v>
      </c>
      <c r="S85" s="58">
        <v>35.254999999999995</v>
      </c>
      <c r="T85" s="58">
        <v>65.540000000000006</v>
      </c>
      <c r="U85" s="58">
        <v>103.946</v>
      </c>
      <c r="V85" s="58">
        <v>140.64600000000002</v>
      </c>
      <c r="W85" s="58">
        <v>142.48500000000001</v>
      </c>
      <c r="X85" s="58">
        <v>189.11099999999999</v>
      </c>
      <c r="Y85" s="58">
        <v>216.65099999999998</v>
      </c>
      <c r="Z85" s="58">
        <v>244.989</v>
      </c>
      <c r="AA85" s="58">
        <v>236.965</v>
      </c>
      <c r="AB85" s="58">
        <v>278.16300000000001</v>
      </c>
      <c r="AC85" s="58">
        <v>312.541</v>
      </c>
      <c r="AD85" s="58">
        <v>335.08599999999996</v>
      </c>
      <c r="AE85" s="58">
        <v>320.06100000000004</v>
      </c>
      <c r="AF85" s="58">
        <v>354.60300000000001</v>
      </c>
      <c r="AG85" s="58">
        <v>383.93100000000004</v>
      </c>
      <c r="AH85" s="58">
        <v>412.57600000000002</v>
      </c>
      <c r="AI85" s="58">
        <v>430.78</v>
      </c>
      <c r="AJ85" s="58">
        <v>482.66399999999999</v>
      </c>
      <c r="AK85" s="58">
        <v>473.51400000000001</v>
      </c>
      <c r="AL85" s="58">
        <v>516.72199999999998</v>
      </c>
      <c r="AM85" s="58">
        <v>479.70000000000005</v>
      </c>
      <c r="AN85" s="58">
        <v>441.96100000000001</v>
      </c>
      <c r="AO85" s="58">
        <v>483.31</v>
      </c>
      <c r="AP85" s="58">
        <v>556.23800000000006</v>
      </c>
      <c r="AQ85" s="58">
        <v>569.5</v>
      </c>
      <c r="AR85" s="58">
        <v>579.1</v>
      </c>
      <c r="AS85" s="58">
        <v>593.4</v>
      </c>
      <c r="AT85" s="58">
        <v>599.29999999999995</v>
      </c>
      <c r="AU85" s="71">
        <v>871.01499999999999</v>
      </c>
      <c r="AV85" s="71">
        <v>899.4</v>
      </c>
      <c r="AW85" s="110">
        <v>901.93500000000006</v>
      </c>
      <c r="AX85" s="110">
        <v>673.82100000000003</v>
      </c>
      <c r="AY85" s="110">
        <v>870.58399999999995</v>
      </c>
      <c r="AZ85" s="110">
        <v>907.89400000000001</v>
      </c>
      <c r="BA85" s="110">
        <v>924.25</v>
      </c>
      <c r="BB85" s="110">
        <v>980.88199999999995</v>
      </c>
      <c r="BC85" s="110">
        <v>1083.9370000000001</v>
      </c>
      <c r="BD85" s="110">
        <v>1119.08</v>
      </c>
      <c r="BE85" s="110">
        <v>1137.944</v>
      </c>
      <c r="BF85" s="110">
        <v>1130.49</v>
      </c>
      <c r="BG85" s="110">
        <v>1470.8390000000002</v>
      </c>
      <c r="BH85" s="110">
        <v>1351.634</v>
      </c>
      <c r="BI85" s="110">
        <v>1368.048</v>
      </c>
      <c r="BJ85" s="110">
        <v>1367.982</v>
      </c>
      <c r="BK85" s="110">
        <v>1494.546</v>
      </c>
      <c r="BL85" s="58">
        <v>1469.5460000000003</v>
      </c>
      <c r="BM85" s="58">
        <v>1444.546</v>
      </c>
      <c r="BN85" s="58">
        <v>1419.546</v>
      </c>
      <c r="BO85" s="58">
        <v>1391.92</v>
      </c>
      <c r="BP85" s="66">
        <v>1729.883</v>
      </c>
      <c r="BQ85" s="71">
        <v>1704.883</v>
      </c>
      <c r="BR85" s="71">
        <v>1679.883</v>
      </c>
      <c r="BS85" s="71">
        <v>1871.8330000000001</v>
      </c>
      <c r="BT85" s="71">
        <v>1871.8330000000001</v>
      </c>
      <c r="BU85" s="71">
        <v>1821.8330000000001</v>
      </c>
      <c r="BV85" s="55"/>
      <c r="BW85" s="58">
        <v>32.320999999999998</v>
      </c>
      <c r="BX85" s="58">
        <v>25.861000000000001</v>
      </c>
      <c r="BY85" s="58">
        <v>28.286000000000001</v>
      </c>
      <c r="BZ85" s="58">
        <v>78.455999999999989</v>
      </c>
      <c r="CA85" s="58">
        <v>35.254999999999995</v>
      </c>
      <c r="CB85" s="58">
        <v>142.48500000000001</v>
      </c>
      <c r="CC85" s="58">
        <v>236.965</v>
      </c>
      <c r="CD85" s="58">
        <v>320.06100000000004</v>
      </c>
      <c r="CE85" s="58">
        <v>430.78</v>
      </c>
      <c r="CF85" s="58">
        <v>479.70000000000005</v>
      </c>
      <c r="CG85" s="58">
        <v>569.5</v>
      </c>
      <c r="CH85" s="58">
        <v>871.01499999999999</v>
      </c>
      <c r="CI85" s="58">
        <v>870.58399999999995</v>
      </c>
      <c r="CJ85" s="58">
        <v>1083.9370000000001</v>
      </c>
      <c r="CK85" s="58">
        <v>1470.8390000000002</v>
      </c>
      <c r="CL85" s="58">
        <v>1494.546</v>
      </c>
      <c r="CM85" s="58">
        <f t="shared" si="59"/>
        <v>1391.92</v>
      </c>
      <c r="CN85" s="58">
        <f t="shared" si="64"/>
        <v>1871.8330000000001</v>
      </c>
      <c r="CO85" s="206"/>
      <c r="CP85" s="6"/>
    </row>
    <row r="86" spans="1:98" s="18" customFormat="1" x14ac:dyDescent="0.35">
      <c r="A86" s="5"/>
      <c r="B86" s="25" t="str">
        <f>IF(Control!$D$5=1,"Capital Reserve","Reserva de Capital")</f>
        <v>Reserva de Capital</v>
      </c>
      <c r="C86" s="58">
        <v>1.631</v>
      </c>
      <c r="D86" s="58">
        <v>1.631</v>
      </c>
      <c r="E86" s="58" t="s">
        <v>2</v>
      </c>
      <c r="F86" s="58" t="s">
        <v>2</v>
      </c>
      <c r="G86" s="58">
        <v>1.964</v>
      </c>
      <c r="H86" s="58">
        <v>1.964</v>
      </c>
      <c r="I86" s="58">
        <v>0</v>
      </c>
      <c r="J86" s="58">
        <v>0</v>
      </c>
      <c r="K86" s="58">
        <v>0.33300000000000002</v>
      </c>
      <c r="L86" s="58">
        <v>0.33300000000000002</v>
      </c>
      <c r="M86" s="58">
        <v>0.33300000000000002</v>
      </c>
      <c r="N86" s="58">
        <v>0.33300000000000002</v>
      </c>
      <c r="O86" s="58">
        <v>0.33300000000000002</v>
      </c>
      <c r="P86" s="58">
        <v>0.33300000000000002</v>
      </c>
      <c r="Q86" s="58">
        <v>0.33300000000000002</v>
      </c>
      <c r="R86" s="58">
        <v>0.33300000000000002</v>
      </c>
      <c r="S86" s="58">
        <v>0.33300000000000002</v>
      </c>
      <c r="T86" s="58">
        <v>0.33300000000000002</v>
      </c>
      <c r="U86" s="58">
        <v>0.33300000000000002</v>
      </c>
      <c r="V86" s="58">
        <v>0.33300000000000002</v>
      </c>
      <c r="W86" s="58">
        <v>0.33300000000000002</v>
      </c>
      <c r="X86" s="58">
        <v>0.33300000000000002</v>
      </c>
      <c r="Y86" s="58">
        <v>0.33300000000000002</v>
      </c>
      <c r="Z86" s="58">
        <v>0.33300000000000002</v>
      </c>
      <c r="AA86" s="58">
        <v>0.33300000000000002</v>
      </c>
      <c r="AB86" s="58">
        <v>0.33300000000000002</v>
      </c>
      <c r="AC86" s="58">
        <v>0</v>
      </c>
      <c r="AD86" s="58">
        <v>0.33300000000000002</v>
      </c>
      <c r="AE86" s="58">
        <v>0</v>
      </c>
      <c r="AF86" s="58">
        <v>0</v>
      </c>
      <c r="AG86" s="58">
        <v>0</v>
      </c>
      <c r="AH86" s="58">
        <v>0</v>
      </c>
      <c r="AI86" s="58">
        <v>0</v>
      </c>
      <c r="AJ86" s="58">
        <v>0</v>
      </c>
      <c r="AK86" s="58">
        <v>0</v>
      </c>
      <c r="AL86" s="58">
        <v>0</v>
      </c>
      <c r="AM86" s="58">
        <v>70.5</v>
      </c>
      <c r="AN86" s="58">
        <v>0</v>
      </c>
      <c r="AO86" s="58">
        <v>68.406000000000006</v>
      </c>
      <c r="AP86" s="58">
        <v>54.427</v>
      </c>
      <c r="AQ86" s="58">
        <v>50.900000000000006</v>
      </c>
      <c r="AR86" s="58">
        <v>27.7</v>
      </c>
      <c r="AS86" s="58">
        <v>26.999999999999996</v>
      </c>
      <c r="AT86" s="58">
        <v>27.499999999999996</v>
      </c>
      <c r="AU86" s="58">
        <f>70.51-45.234+2.787</f>
        <v>28.063000000000002</v>
      </c>
      <c r="AV86" s="58">
        <v>21.9</v>
      </c>
      <c r="AW86" s="110">
        <v>3.8689999999999989</v>
      </c>
      <c r="AX86" s="110">
        <v>74.878</v>
      </c>
      <c r="AY86" s="110">
        <v>5.0999999999999996</v>
      </c>
      <c r="AZ86" s="110">
        <v>6.2629999999999999</v>
      </c>
      <c r="BA86" s="110">
        <v>7.3849999999999998</v>
      </c>
      <c r="BB86" s="110">
        <v>8.4849999999999994</v>
      </c>
      <c r="BC86" s="110">
        <v>9.5009999999999994</v>
      </c>
      <c r="BD86" s="110">
        <v>9.8650000000000002</v>
      </c>
      <c r="BE86" s="110">
        <v>11.252000000000001</v>
      </c>
      <c r="BF86" s="110">
        <v>12.775</v>
      </c>
      <c r="BG86" s="110">
        <v>13.3</v>
      </c>
      <c r="BH86" s="110">
        <v>14.638999999999999</v>
      </c>
      <c r="BI86" s="110">
        <v>16.2</v>
      </c>
      <c r="BJ86" s="110">
        <v>17.672000000000001</v>
      </c>
      <c r="BK86" s="110">
        <v>19.187999999999999</v>
      </c>
      <c r="BL86" s="58">
        <v>18.164999999999999</v>
      </c>
      <c r="BM86" s="58">
        <v>19.646999999999998</v>
      </c>
      <c r="BN86" s="58">
        <v>21.129000000000001</v>
      </c>
      <c r="BO86" s="58">
        <v>22.565000000000001</v>
      </c>
      <c r="BP86" s="66">
        <f>21.095+0.22</f>
        <v>21.314999999999998</v>
      </c>
      <c r="BQ86" s="71">
        <v>22.873000000000001</v>
      </c>
      <c r="BR86" s="71">
        <v>24.285</v>
      </c>
      <c r="BS86" s="71">
        <v>25.696999999999999</v>
      </c>
      <c r="BT86" s="71">
        <v>3.2149999999999999</v>
      </c>
      <c r="BU86" s="71">
        <v>25.167999999999999</v>
      </c>
      <c r="BV86" s="55"/>
      <c r="BW86" s="58">
        <v>1.631</v>
      </c>
      <c r="BX86" s="58">
        <v>1.964</v>
      </c>
      <c r="BY86" s="58">
        <v>0.33300000000000002</v>
      </c>
      <c r="BZ86" s="58">
        <v>0.33300000000000002</v>
      </c>
      <c r="CA86" s="58">
        <v>0.33300000000000002</v>
      </c>
      <c r="CB86" s="58">
        <v>0.33300000000000002</v>
      </c>
      <c r="CC86" s="58">
        <v>0.33300000000000002</v>
      </c>
      <c r="CD86" s="58">
        <v>0</v>
      </c>
      <c r="CE86" s="58">
        <v>0</v>
      </c>
      <c r="CF86" s="58">
        <v>70.5</v>
      </c>
      <c r="CG86" s="110">
        <f>AQ86</f>
        <v>50.900000000000006</v>
      </c>
      <c r="CH86" s="110">
        <f t="shared" si="65"/>
        <v>28.063000000000002</v>
      </c>
      <c r="CI86" s="110">
        <f t="shared" si="66"/>
        <v>5.0999999999999996</v>
      </c>
      <c r="CJ86" s="110">
        <f t="shared" si="67"/>
        <v>9.5009999999999994</v>
      </c>
      <c r="CK86" s="110">
        <f t="shared" si="68"/>
        <v>13.3</v>
      </c>
      <c r="CL86" s="58">
        <f t="shared" si="69"/>
        <v>19.187999999999999</v>
      </c>
      <c r="CM86" s="58">
        <f t="shared" si="59"/>
        <v>22.565000000000001</v>
      </c>
      <c r="CN86" s="58">
        <f t="shared" si="64"/>
        <v>25.696999999999999</v>
      </c>
      <c r="CO86" s="206"/>
      <c r="CP86" s="6"/>
    </row>
    <row r="87" spans="1:98" s="18" customFormat="1" x14ac:dyDescent="0.35">
      <c r="A87" s="5"/>
      <c r="B87" s="25" t="str">
        <f>IF(Control!$D$5=1,"Equity adjustments","Ajuste de Avaliação Patrimonial")</f>
        <v>Ajuste de Avaliação Patrimonial</v>
      </c>
      <c r="C87" s="110">
        <v>-2.1040000000000001</v>
      </c>
      <c r="D87" s="110">
        <v>-4.9880000000000004</v>
      </c>
      <c r="E87" s="58" t="s">
        <v>2</v>
      </c>
      <c r="F87" s="58" t="s">
        <v>2</v>
      </c>
      <c r="G87" s="110">
        <v>38.484000000000002</v>
      </c>
      <c r="H87" s="110">
        <v>18.43</v>
      </c>
      <c r="I87" s="110">
        <v>15.151999999999999</v>
      </c>
      <c r="J87" s="110">
        <v>5.7619999999999996</v>
      </c>
      <c r="K87" s="110">
        <v>7.1319999999999997</v>
      </c>
      <c r="L87" s="110">
        <v>7.4429999999999996</v>
      </c>
      <c r="M87" s="110">
        <v>4.6210000000000004</v>
      </c>
      <c r="N87" s="110">
        <v>3.0939999999999999</v>
      </c>
      <c r="O87" s="110">
        <v>70.801000000000002</v>
      </c>
      <c r="P87" s="110">
        <v>62.683999999999997</v>
      </c>
      <c r="Q87" s="110">
        <v>62.131999999999998</v>
      </c>
      <c r="R87" s="110">
        <v>85.662999999999997</v>
      </c>
      <c r="S87" s="110">
        <v>80.372</v>
      </c>
      <c r="T87" s="110">
        <v>115.827</v>
      </c>
      <c r="U87" s="110">
        <v>123.658</v>
      </c>
      <c r="V87" s="110">
        <v>132.648</v>
      </c>
      <c r="W87" s="110">
        <v>179.054</v>
      </c>
      <c r="X87" s="110">
        <v>195.89500000000001</v>
      </c>
      <c r="Y87" s="110">
        <v>230.76900000000001</v>
      </c>
      <c r="Z87" s="110">
        <v>216.88800000000001</v>
      </c>
      <c r="AA87" s="110">
        <v>221.267</v>
      </c>
      <c r="AB87" s="110">
        <v>206.94800000000001</v>
      </c>
      <c r="AC87" s="110">
        <v>200.59200000000001</v>
      </c>
      <c r="AD87" s="110">
        <v>240.65100000000001</v>
      </c>
      <c r="AE87" s="110">
        <v>296.26499999999999</v>
      </c>
      <c r="AF87" s="110">
        <v>332.49700000000001</v>
      </c>
      <c r="AG87" s="110">
        <v>408.53500000000003</v>
      </c>
      <c r="AH87" s="110">
        <v>437.10599999999999</v>
      </c>
      <c r="AI87" s="110">
        <v>468.23</v>
      </c>
      <c r="AJ87" s="110">
        <v>401.61200000000002</v>
      </c>
      <c r="AK87" s="110">
        <v>321.18799999999999</v>
      </c>
      <c r="AL87" s="110">
        <v>336.65</v>
      </c>
      <c r="AM87" s="110">
        <v>0</v>
      </c>
      <c r="AN87" s="110">
        <v>318.15300000000002</v>
      </c>
      <c r="AO87" s="110">
        <v>0</v>
      </c>
      <c r="AP87" s="110">
        <v>0</v>
      </c>
      <c r="AQ87" s="110">
        <v>0</v>
      </c>
      <c r="AR87" s="110">
        <v>0</v>
      </c>
      <c r="AS87" s="110">
        <v>0</v>
      </c>
      <c r="AT87" s="110">
        <v>0</v>
      </c>
      <c r="AU87" s="110">
        <v>0</v>
      </c>
      <c r="AV87" s="110">
        <v>0</v>
      </c>
      <c r="AW87" s="110">
        <v>0</v>
      </c>
      <c r="AX87" s="110">
        <v>0</v>
      </c>
      <c r="AY87" s="110">
        <v>0</v>
      </c>
      <c r="AZ87" s="110">
        <v>0</v>
      </c>
      <c r="BA87" s="110">
        <v>0</v>
      </c>
      <c r="BB87" s="110">
        <v>0</v>
      </c>
      <c r="BC87" s="110">
        <v>0</v>
      </c>
      <c r="BD87" s="110">
        <v>0</v>
      </c>
      <c r="BE87" s="110">
        <v>0</v>
      </c>
      <c r="BF87" s="110">
        <v>0</v>
      </c>
      <c r="BG87" s="110">
        <v>0</v>
      </c>
      <c r="BH87" s="110">
        <v>0</v>
      </c>
      <c r="BI87" s="110">
        <v>0</v>
      </c>
      <c r="BJ87" s="110">
        <v>0</v>
      </c>
      <c r="BK87" s="110">
        <v>0</v>
      </c>
      <c r="BL87" s="58">
        <v>-21.064</v>
      </c>
      <c r="BM87" s="58">
        <v>-21.064</v>
      </c>
      <c r="BN87" s="58">
        <v>-21.064</v>
      </c>
      <c r="BO87" s="58">
        <v>-21.064</v>
      </c>
      <c r="BP87" s="71">
        <v>-21.064</v>
      </c>
      <c r="BQ87" s="71">
        <v>-21.064</v>
      </c>
      <c r="BR87" s="71">
        <v>-21.064</v>
      </c>
      <c r="BS87" s="71">
        <v>-21.064</v>
      </c>
      <c r="BT87" s="71">
        <v>0</v>
      </c>
      <c r="BU87" s="71">
        <v>-21.064</v>
      </c>
      <c r="BV87" s="55"/>
      <c r="BW87" s="110">
        <v>-2.1040000000000001</v>
      </c>
      <c r="BX87" s="110">
        <v>38.484000000000002</v>
      </c>
      <c r="BY87" s="110">
        <v>7.1319999999999997</v>
      </c>
      <c r="BZ87" s="110">
        <v>70.801000000000002</v>
      </c>
      <c r="CA87" s="110">
        <v>80.372</v>
      </c>
      <c r="CB87" s="110">
        <v>179.054</v>
      </c>
      <c r="CC87" s="110">
        <v>221.267</v>
      </c>
      <c r="CD87" s="110">
        <v>296.26499999999999</v>
      </c>
      <c r="CE87" s="110">
        <v>468.23</v>
      </c>
      <c r="CF87" s="110">
        <v>0</v>
      </c>
      <c r="CG87" s="110">
        <f>AQ87</f>
        <v>0</v>
      </c>
      <c r="CH87" s="110">
        <f t="shared" si="65"/>
        <v>0</v>
      </c>
      <c r="CI87" s="110">
        <f t="shared" si="66"/>
        <v>0</v>
      </c>
      <c r="CJ87" s="110">
        <f t="shared" si="67"/>
        <v>0</v>
      </c>
      <c r="CK87" s="110">
        <f t="shared" si="68"/>
        <v>0</v>
      </c>
      <c r="CL87" s="110">
        <f t="shared" si="69"/>
        <v>0</v>
      </c>
      <c r="CM87" s="110">
        <f t="shared" si="59"/>
        <v>-21.064</v>
      </c>
      <c r="CN87" s="110">
        <f t="shared" si="64"/>
        <v>-21.064</v>
      </c>
      <c r="CO87" s="206"/>
      <c r="CP87" s="6"/>
    </row>
    <row r="88" spans="1:98" s="18" customFormat="1" x14ac:dyDescent="0.35">
      <c r="A88" s="5"/>
      <c r="B88" s="25" t="str">
        <f>IF(Control!$D$5=1,"Accumulated Net Income","Lucros acumulados do período")</f>
        <v>Lucros acumulados do período</v>
      </c>
      <c r="C88" s="110">
        <v>0</v>
      </c>
      <c r="D88" s="110">
        <v>0</v>
      </c>
      <c r="E88" s="110">
        <v>0</v>
      </c>
      <c r="F88" s="110">
        <v>0</v>
      </c>
      <c r="G88" s="110">
        <v>0</v>
      </c>
      <c r="H88" s="110">
        <v>0</v>
      </c>
      <c r="I88" s="110">
        <v>0</v>
      </c>
      <c r="J88" s="110">
        <v>0</v>
      </c>
      <c r="K88" s="110">
        <v>0</v>
      </c>
      <c r="L88" s="110">
        <v>0</v>
      </c>
      <c r="M88" s="110">
        <v>0</v>
      </c>
      <c r="N88" s="110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10">
        <v>0</v>
      </c>
      <c r="V88" s="110">
        <v>0</v>
      </c>
      <c r="W88" s="110">
        <v>0</v>
      </c>
      <c r="X88" s="110">
        <v>0</v>
      </c>
      <c r="Y88" s="110">
        <v>0</v>
      </c>
      <c r="Z88" s="110">
        <v>0</v>
      </c>
      <c r="AA88" s="110">
        <v>0</v>
      </c>
      <c r="AB88" s="110">
        <v>0</v>
      </c>
      <c r="AC88" s="110">
        <v>0</v>
      </c>
      <c r="AD88" s="110">
        <v>0</v>
      </c>
      <c r="AE88" s="110">
        <v>0</v>
      </c>
      <c r="AF88" s="110">
        <v>0</v>
      </c>
      <c r="AG88" s="110">
        <v>0</v>
      </c>
      <c r="AH88" s="110">
        <v>0</v>
      </c>
      <c r="AI88" s="110">
        <v>0</v>
      </c>
      <c r="AJ88" s="110">
        <v>0</v>
      </c>
      <c r="AK88" s="110">
        <v>0</v>
      </c>
      <c r="AL88" s="110">
        <v>0</v>
      </c>
      <c r="AM88" s="110">
        <v>0</v>
      </c>
      <c r="AN88" s="110">
        <v>0</v>
      </c>
      <c r="AO88" s="110">
        <v>0</v>
      </c>
      <c r="AP88" s="110">
        <v>0</v>
      </c>
      <c r="AQ88" s="110">
        <v>0</v>
      </c>
      <c r="AR88" s="110">
        <v>0</v>
      </c>
      <c r="AS88" s="110">
        <v>69.900000000000006</v>
      </c>
      <c r="AT88" s="110">
        <v>170.3</v>
      </c>
      <c r="AU88" s="66">
        <v>0</v>
      </c>
      <c r="AV88" s="66">
        <v>22.6</v>
      </c>
      <c r="AW88" s="66">
        <v>20.085999999999999</v>
      </c>
      <c r="AX88" s="66">
        <v>53.378999999999998</v>
      </c>
      <c r="AY88" s="66">
        <v>0</v>
      </c>
      <c r="AZ88" s="66">
        <v>73.171999999999997</v>
      </c>
      <c r="BA88" s="66">
        <v>134.84399999999999</v>
      </c>
      <c r="BB88" s="66">
        <v>206.98699999999999</v>
      </c>
      <c r="BC88" s="66">
        <v>0</v>
      </c>
      <c r="BD88" s="66">
        <v>54.063000000000002</v>
      </c>
      <c r="BE88" s="66">
        <v>117.753</v>
      </c>
      <c r="BF88" s="66">
        <v>221.79</v>
      </c>
      <c r="BG88" s="66">
        <v>562.44799999999998</v>
      </c>
      <c r="BH88" s="66">
        <v>454.41399999999999</v>
      </c>
      <c r="BI88" s="66">
        <v>109.762</v>
      </c>
      <c r="BJ88" s="66">
        <v>232.85400000000001</v>
      </c>
      <c r="BK88" s="66">
        <v>0</v>
      </c>
      <c r="BL88" s="58">
        <v>64.004999999999995</v>
      </c>
      <c r="BM88" s="58">
        <v>110.867</v>
      </c>
      <c r="BN88" s="58">
        <v>253.78</v>
      </c>
      <c r="BO88" s="58">
        <v>362.96300000000002</v>
      </c>
      <c r="BP88" s="66">
        <v>78.493428889999905</v>
      </c>
      <c r="BQ88" s="71">
        <v>197.24</v>
      </c>
      <c r="BR88" s="71">
        <v>241.57900000000001</v>
      </c>
      <c r="BS88" s="71">
        <v>0</v>
      </c>
      <c r="BT88" s="71">
        <v>66.001999999999995</v>
      </c>
      <c r="BU88" s="71">
        <v>144.70500000000001</v>
      </c>
      <c r="BV88" s="55"/>
      <c r="BW88" s="110"/>
      <c r="BX88" s="110"/>
      <c r="BY88" s="110"/>
      <c r="BZ88" s="110"/>
      <c r="CA88" s="110"/>
      <c r="CB88" s="110"/>
      <c r="CC88" s="110"/>
      <c r="CD88" s="110"/>
      <c r="CE88" s="110"/>
      <c r="CF88" s="110"/>
      <c r="CG88" s="110">
        <f>AQ88</f>
        <v>0</v>
      </c>
      <c r="CH88" s="110">
        <f t="shared" si="65"/>
        <v>0</v>
      </c>
      <c r="CI88" s="110">
        <f t="shared" si="66"/>
        <v>0</v>
      </c>
      <c r="CJ88" s="110">
        <f t="shared" si="67"/>
        <v>0</v>
      </c>
      <c r="CK88" s="110">
        <f t="shared" si="68"/>
        <v>562.44799999999998</v>
      </c>
      <c r="CL88" s="110">
        <f t="shared" si="69"/>
        <v>0</v>
      </c>
      <c r="CM88" s="110">
        <f t="shared" si="59"/>
        <v>362.96300000000002</v>
      </c>
      <c r="CN88" s="110">
        <f t="shared" si="64"/>
        <v>0</v>
      </c>
      <c r="CO88" s="206"/>
      <c r="CP88" s="6"/>
    </row>
    <row r="89" spans="1:98" s="18" customFormat="1" x14ac:dyDescent="0.35">
      <c r="A89" s="5"/>
      <c r="B89" s="25" t="str">
        <f>IF(Control!$D$5=1,"Other Comprehensive Results","Outros Resultados Abrangentes")</f>
        <v>Outros Resultados Abrangentes</v>
      </c>
      <c r="C89" s="58">
        <v>0</v>
      </c>
      <c r="D89" s="58">
        <v>0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0</v>
      </c>
      <c r="K89" s="58">
        <v>0</v>
      </c>
      <c r="L89" s="58">
        <v>0</v>
      </c>
      <c r="M89" s="58">
        <v>0</v>
      </c>
      <c r="N89" s="58">
        <v>0</v>
      </c>
      <c r="O89" s="58">
        <v>0</v>
      </c>
      <c r="P89" s="58">
        <v>22.759</v>
      </c>
      <c r="Q89" s="58">
        <v>0</v>
      </c>
      <c r="R89" s="58">
        <v>0</v>
      </c>
      <c r="S89" s="58">
        <v>0</v>
      </c>
      <c r="T89" s="58">
        <v>0</v>
      </c>
      <c r="U89" s="58">
        <v>0</v>
      </c>
      <c r="V89" s="58">
        <v>0</v>
      </c>
      <c r="W89" s="58">
        <v>0</v>
      </c>
      <c r="X89" s="58">
        <v>0</v>
      </c>
      <c r="Y89" s="58">
        <v>0</v>
      </c>
      <c r="Z89" s="58">
        <v>0</v>
      </c>
      <c r="AA89" s="58">
        <v>0</v>
      </c>
      <c r="AB89" s="58">
        <v>0</v>
      </c>
      <c r="AC89" s="58">
        <v>0</v>
      </c>
      <c r="AD89" s="58">
        <v>0</v>
      </c>
      <c r="AE89" s="58">
        <v>0</v>
      </c>
      <c r="AF89" s="58">
        <v>0</v>
      </c>
      <c r="AG89" s="58">
        <v>0</v>
      </c>
      <c r="AH89" s="58">
        <v>0</v>
      </c>
      <c r="AI89" s="58">
        <v>0</v>
      </c>
      <c r="AJ89" s="58">
        <v>0</v>
      </c>
      <c r="AK89" s="58">
        <v>0</v>
      </c>
      <c r="AL89" s="58">
        <v>0</v>
      </c>
      <c r="AM89" s="58">
        <v>229.1</v>
      </c>
      <c r="AN89" s="58">
        <v>0</v>
      </c>
      <c r="AO89" s="58">
        <v>242.86099999999999</v>
      </c>
      <c r="AP89" s="58">
        <v>259.97000000000003</v>
      </c>
      <c r="AQ89" s="58">
        <v>262.39999999999998</v>
      </c>
      <c r="AR89" s="58">
        <v>375.4</v>
      </c>
      <c r="AS89" s="58">
        <v>414.29999999999995</v>
      </c>
      <c r="AT89" s="58">
        <v>356.1</v>
      </c>
      <c r="AU89" s="71">
        <v>332.04300000000001</v>
      </c>
      <c r="AV89" s="71">
        <v>357</v>
      </c>
      <c r="AW89" s="71">
        <v>394.58</v>
      </c>
      <c r="AX89" s="71">
        <v>383.13</v>
      </c>
      <c r="AY89" s="71">
        <v>435.67899999999997</v>
      </c>
      <c r="AZ89" s="71">
        <v>661.86599999999999</v>
      </c>
      <c r="BA89" s="71">
        <v>684.07799999999997</v>
      </c>
      <c r="BB89" s="71">
        <v>626.92100000000005</v>
      </c>
      <c r="BC89" s="71">
        <v>677.29000000000008</v>
      </c>
      <c r="BD89" s="71">
        <v>578.70000000000005</v>
      </c>
      <c r="BE89" s="71">
        <v>498.27499999999998</v>
      </c>
      <c r="BF89" s="71">
        <v>569.5</v>
      </c>
      <c r="BG89" s="71">
        <v>-105.599</v>
      </c>
      <c r="BH89" s="71">
        <f>-0.1+56.1-13.1</f>
        <v>42.9</v>
      </c>
      <c r="BI89" s="71">
        <v>460.36800000000039</v>
      </c>
      <c r="BJ89" s="71">
        <v>451.5</v>
      </c>
      <c r="BK89" s="71">
        <v>547.70000000000005</v>
      </c>
      <c r="BL89" s="58">
        <v>544.82500000000005</v>
      </c>
      <c r="BM89" s="58">
        <v>487.005</v>
      </c>
      <c r="BN89" s="58">
        <v>482.95299999999997</v>
      </c>
      <c r="BO89" s="58">
        <v>461.23899999999998</v>
      </c>
      <c r="BP89" s="66">
        <v>549.12300000000005</v>
      </c>
      <c r="BQ89" s="71">
        <v>666.88699999999994</v>
      </c>
      <c r="BR89" s="71">
        <v>758.851</v>
      </c>
      <c r="BS89" s="71">
        <v>711.37800000000004</v>
      </c>
      <c r="BT89" s="71">
        <v>678.35299999999995</v>
      </c>
      <c r="BU89" s="71">
        <v>589.63599999999997</v>
      </c>
      <c r="BV89" s="55"/>
      <c r="BW89" s="58">
        <v>0</v>
      </c>
      <c r="BX89" s="58">
        <v>0</v>
      </c>
      <c r="BY89" s="58">
        <v>0</v>
      </c>
      <c r="BZ89" s="58">
        <v>0</v>
      </c>
      <c r="CA89" s="58">
        <v>0</v>
      </c>
      <c r="CB89" s="58">
        <v>0</v>
      </c>
      <c r="CC89" s="58">
        <v>0</v>
      </c>
      <c r="CD89" s="58">
        <v>0</v>
      </c>
      <c r="CE89" s="58">
        <v>0</v>
      </c>
      <c r="CF89" s="58">
        <v>229.1</v>
      </c>
      <c r="CG89" s="58">
        <f>AQ89</f>
        <v>262.39999999999998</v>
      </c>
      <c r="CH89" s="58">
        <f t="shared" si="65"/>
        <v>332.04300000000001</v>
      </c>
      <c r="CI89" s="58">
        <f t="shared" si="66"/>
        <v>435.67899999999997</v>
      </c>
      <c r="CJ89" s="58">
        <f t="shared" si="67"/>
        <v>677.29000000000008</v>
      </c>
      <c r="CK89" s="58">
        <f t="shared" si="68"/>
        <v>-105.599</v>
      </c>
      <c r="CL89" s="58">
        <f t="shared" si="69"/>
        <v>547.70000000000005</v>
      </c>
      <c r="CM89" s="58">
        <f t="shared" si="59"/>
        <v>461.23899999999998</v>
      </c>
      <c r="CN89" s="58">
        <f t="shared" si="64"/>
        <v>711.37800000000004</v>
      </c>
      <c r="CO89" s="206"/>
      <c r="CP89" s="6"/>
    </row>
    <row r="90" spans="1:98" s="18" customFormat="1" x14ac:dyDescent="0.35">
      <c r="A90" s="5"/>
      <c r="B90" s="25" t="str">
        <f>IF(Control!$D$5=1,"Participation of non-controlling shareholders","Participação de Acionistas não controladores")</f>
        <v>Participação de Acionistas não controladores</v>
      </c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>
        <v>0</v>
      </c>
      <c r="AP90" s="58">
        <v>0</v>
      </c>
      <c r="AQ90" s="58">
        <v>0</v>
      </c>
      <c r="AR90" s="58">
        <v>0</v>
      </c>
      <c r="AS90" s="58">
        <v>0</v>
      </c>
      <c r="AT90" s="58">
        <v>0</v>
      </c>
      <c r="AU90" s="71">
        <v>0</v>
      </c>
      <c r="AV90" s="71">
        <v>0</v>
      </c>
      <c r="AW90" s="71">
        <v>0</v>
      </c>
      <c r="AX90" s="71">
        <v>0</v>
      </c>
      <c r="AY90" s="71">
        <v>0</v>
      </c>
      <c r="AZ90" s="71">
        <v>0</v>
      </c>
      <c r="BA90" s="71">
        <v>0</v>
      </c>
      <c r="BB90" s="71">
        <v>0</v>
      </c>
      <c r="BC90" s="71">
        <v>0</v>
      </c>
      <c r="BD90" s="71">
        <v>0</v>
      </c>
      <c r="BE90" s="71">
        <v>0</v>
      </c>
      <c r="BF90" s="71">
        <v>0</v>
      </c>
      <c r="BG90" s="71">
        <v>0.2</v>
      </c>
      <c r="BH90" s="71">
        <v>-0.1</v>
      </c>
      <c r="BI90" s="71">
        <v>-0.2</v>
      </c>
      <c r="BJ90" s="71">
        <v>-0.2</v>
      </c>
      <c r="BK90" s="71">
        <v>0.2</v>
      </c>
      <c r="BL90" s="58">
        <v>0.2</v>
      </c>
      <c r="BM90" s="58">
        <v>0.23499999999999999</v>
      </c>
      <c r="BN90" s="58">
        <v>0.24199999999999999</v>
      </c>
      <c r="BO90" s="58">
        <v>0.246</v>
      </c>
      <c r="BP90" s="66">
        <v>0.248</v>
      </c>
      <c r="BQ90" s="71">
        <v>0.25600000000000001</v>
      </c>
      <c r="BR90" s="71">
        <v>0.26</v>
      </c>
      <c r="BS90" s="71">
        <v>0.26800000000000002</v>
      </c>
      <c r="BT90" s="71">
        <v>0.27300000000000002</v>
      </c>
      <c r="BU90" s="71">
        <v>0.28000000000000003</v>
      </c>
      <c r="BV90" s="55"/>
      <c r="BW90" s="58"/>
      <c r="BX90" s="58"/>
      <c r="BY90" s="58"/>
      <c r="BZ90" s="58"/>
      <c r="CA90" s="58"/>
      <c r="CB90" s="58"/>
      <c r="CC90" s="58"/>
      <c r="CD90" s="58"/>
      <c r="CE90" s="58"/>
      <c r="CF90" s="58"/>
      <c r="CG90" s="58">
        <f>AQ90</f>
        <v>0</v>
      </c>
      <c r="CH90" s="58">
        <f t="shared" si="65"/>
        <v>0</v>
      </c>
      <c r="CI90" s="58">
        <f t="shared" si="66"/>
        <v>0</v>
      </c>
      <c r="CJ90" s="58">
        <f t="shared" si="67"/>
        <v>0</v>
      </c>
      <c r="CK90" s="58">
        <f t="shared" si="68"/>
        <v>0.2</v>
      </c>
      <c r="CL90" s="58">
        <f t="shared" si="69"/>
        <v>0.2</v>
      </c>
      <c r="CM90" s="58">
        <f t="shared" si="59"/>
        <v>0.246</v>
      </c>
      <c r="CN90" s="58">
        <f t="shared" si="64"/>
        <v>0.26800000000000002</v>
      </c>
      <c r="CO90" s="206"/>
      <c r="CP90" s="6"/>
    </row>
    <row r="91" spans="1:98" s="39" customFormat="1" x14ac:dyDescent="0.35">
      <c r="A91" s="5"/>
      <c r="B91" s="42" t="str">
        <f>IF(Control!$D$5=1,"Shareholders' Equity","Patrimônio Líquido")</f>
        <v>Patrimônio Líquido</v>
      </c>
      <c r="C91" s="112">
        <f>+C82+C85+C87+C86+C89+C83+C88</f>
        <v>81.847999999999999</v>
      </c>
      <c r="D91" s="112">
        <f>+D82+D85+D87+D86+D89+D83+D88</f>
        <v>109.45399999999999</v>
      </c>
      <c r="E91" s="112" t="s">
        <v>2</v>
      </c>
      <c r="F91" s="112" t="s">
        <v>2</v>
      </c>
      <c r="G91" s="112">
        <f t="shared" ref="G91:AL91" si="70">+G82+G85+G87+G86+G89+G83+G88</f>
        <v>166.309</v>
      </c>
      <c r="H91" s="112">
        <f t="shared" si="70"/>
        <v>170.113</v>
      </c>
      <c r="I91" s="112">
        <f t="shared" si="70"/>
        <v>189.97099999999998</v>
      </c>
      <c r="J91" s="112">
        <f t="shared" si="70"/>
        <v>185.78700000000001</v>
      </c>
      <c r="K91" s="112">
        <f t="shared" si="70"/>
        <v>195.751</v>
      </c>
      <c r="L91" s="112">
        <f t="shared" si="70"/>
        <v>216.93100000000001</v>
      </c>
      <c r="M91" s="112">
        <f t="shared" si="70"/>
        <v>218.49900000000002</v>
      </c>
      <c r="N91" s="112">
        <f t="shared" si="70"/>
        <v>227.988</v>
      </c>
      <c r="O91" s="112">
        <f t="shared" si="70"/>
        <v>305.61</v>
      </c>
      <c r="P91" s="112">
        <f t="shared" si="70"/>
        <v>321.58600000000007</v>
      </c>
      <c r="Q91" s="112">
        <f t="shared" si="70"/>
        <v>329.29900000000004</v>
      </c>
      <c r="R91" s="112">
        <f t="shared" si="70"/>
        <v>627.75299999999993</v>
      </c>
      <c r="S91" s="112">
        <f t="shared" si="70"/>
        <v>643.38799999999992</v>
      </c>
      <c r="T91" s="112">
        <f t="shared" si="70"/>
        <v>709.12799999999993</v>
      </c>
      <c r="U91" s="112">
        <f t="shared" si="70"/>
        <v>755.36500000000001</v>
      </c>
      <c r="V91" s="112">
        <f t="shared" si="70"/>
        <v>801.05500000000006</v>
      </c>
      <c r="W91" s="112">
        <f t="shared" si="70"/>
        <v>849.3</v>
      </c>
      <c r="X91" s="112">
        <f t="shared" si="70"/>
        <v>912.76699999999994</v>
      </c>
      <c r="Y91" s="112">
        <f t="shared" si="70"/>
        <v>975.18099999999993</v>
      </c>
      <c r="Z91" s="112">
        <f t="shared" si="70"/>
        <v>989.63800000000003</v>
      </c>
      <c r="AA91" s="112">
        <f t="shared" si="70"/>
        <v>985.99300000000005</v>
      </c>
      <c r="AB91" s="112">
        <f t="shared" si="70"/>
        <v>1012.872</v>
      </c>
      <c r="AC91" s="112">
        <f t="shared" si="70"/>
        <v>1040.5610000000001</v>
      </c>
      <c r="AD91" s="112">
        <f t="shared" si="70"/>
        <v>1103.498</v>
      </c>
      <c r="AE91" s="112">
        <f t="shared" si="70"/>
        <v>1143.7539999999999</v>
      </c>
      <c r="AF91" s="112">
        <f t="shared" si="70"/>
        <v>1214.528</v>
      </c>
      <c r="AG91" s="112">
        <f t="shared" si="70"/>
        <v>1319.894</v>
      </c>
      <c r="AH91" s="112">
        <f t="shared" si="70"/>
        <v>1377.1100000000001</v>
      </c>
      <c r="AI91" s="112">
        <f t="shared" si="70"/>
        <v>1426.4380000000001</v>
      </c>
      <c r="AJ91" s="112">
        <f t="shared" si="70"/>
        <v>1411.704</v>
      </c>
      <c r="AK91" s="112">
        <f t="shared" si="70"/>
        <v>1376.0750000000003</v>
      </c>
      <c r="AL91" s="112">
        <f t="shared" si="70"/>
        <v>1434.7449999999999</v>
      </c>
      <c r="AM91" s="112">
        <f t="shared" ref="AM91:BK91" si="71">+AM82+AM85+AM87+AM86+AM89+AM83+AM88</f>
        <v>1360.6999999999998</v>
      </c>
      <c r="AN91" s="112">
        <f t="shared" si="71"/>
        <v>1341.4880000000001</v>
      </c>
      <c r="AO91" s="112">
        <f t="shared" si="71"/>
        <v>1375.951</v>
      </c>
      <c r="AP91" s="112">
        <f t="shared" si="71"/>
        <v>1821.009</v>
      </c>
      <c r="AQ91" s="112">
        <f t="shared" si="71"/>
        <v>1821.1000000000004</v>
      </c>
      <c r="AR91" s="112">
        <f t="shared" si="71"/>
        <v>1920.5</v>
      </c>
      <c r="AS91" s="112">
        <f t="shared" si="71"/>
        <v>2042.6</v>
      </c>
      <c r="AT91" s="112">
        <f t="shared" si="71"/>
        <v>2091.1999999999998</v>
      </c>
      <c r="AU91" s="112">
        <f t="shared" si="71"/>
        <v>2169.1150000000002</v>
      </c>
      <c r="AV91" s="112">
        <f t="shared" si="71"/>
        <v>2238.8999999999996</v>
      </c>
      <c r="AW91" s="112">
        <f t="shared" si="71"/>
        <v>2258.4639999999999</v>
      </c>
      <c r="AX91" s="112">
        <f t="shared" si="71"/>
        <v>2123.2019999999998</v>
      </c>
      <c r="AY91" s="112">
        <f t="shared" si="71"/>
        <v>2249.357</v>
      </c>
      <c r="AZ91" s="112">
        <f t="shared" si="71"/>
        <v>2587.1889999999999</v>
      </c>
      <c r="BA91" s="112">
        <f t="shared" si="71"/>
        <v>2688.5509999999999</v>
      </c>
      <c r="BB91" s="112">
        <f t="shared" si="71"/>
        <v>2761.2689999999998</v>
      </c>
      <c r="BC91" s="112">
        <f t="shared" si="71"/>
        <v>2708.7220000000002</v>
      </c>
      <c r="BD91" s="112">
        <f t="shared" si="71"/>
        <v>2699.7019999999993</v>
      </c>
      <c r="BE91" s="112">
        <f t="shared" si="71"/>
        <v>2703.2180000000003</v>
      </c>
      <c r="BF91" s="112">
        <f t="shared" si="71"/>
        <v>2872.549</v>
      </c>
      <c r="BG91" s="112">
        <f t="shared" si="71"/>
        <v>2878.982</v>
      </c>
      <c r="BH91" s="112">
        <f t="shared" si="71"/>
        <v>2801.607</v>
      </c>
      <c r="BI91" s="112">
        <f t="shared" si="71"/>
        <v>2892.3980000000001</v>
      </c>
      <c r="BJ91" s="112">
        <f t="shared" si="71"/>
        <v>3008.0019999999995</v>
      </c>
      <c r="BK91" s="112">
        <f t="shared" si="71"/>
        <v>2999.4279999999999</v>
      </c>
      <c r="BL91" s="112">
        <f t="shared" ref="BL91:BQ91" si="72">+BL82+BL85+BL87+BL86+BL89+BL83+BL88+BL84+BL90</f>
        <v>3001.9710000000005</v>
      </c>
      <c r="BM91" s="112">
        <f t="shared" si="72"/>
        <v>2949.0590000000007</v>
      </c>
      <c r="BN91" s="112">
        <f t="shared" si="72"/>
        <v>3038.6430000000005</v>
      </c>
      <c r="BO91" s="112">
        <f t="shared" si="72"/>
        <v>3087.3470000000002</v>
      </c>
      <c r="BP91" s="112">
        <f t="shared" si="72"/>
        <v>3227.4764288900001</v>
      </c>
      <c r="BQ91" s="112">
        <f t="shared" si="72"/>
        <v>3440.5529999999999</v>
      </c>
      <c r="BR91" s="112">
        <f>+BR82+BR85+BR87+BR86+BR89+BR83+BR88+BR84+BR90</f>
        <v>3553.2720000000004</v>
      </c>
      <c r="BS91" s="112">
        <f>+BS82+BS85+BS87+BS86+BS89+BS83+BS88+BS84+BS90</f>
        <v>3457.5900000000006</v>
      </c>
      <c r="BT91" s="112">
        <f>+BT82+BT85+BT87+BT86+BT89+BT83+BT88+BT84+BT90</f>
        <v>3489.1540000000005</v>
      </c>
      <c r="BU91" s="112">
        <f>+BU82+BU85+BU87+BU86+BU89+BU83+BU88+BU84+BU90</f>
        <v>3430.0360000000005</v>
      </c>
      <c r="BV91" s="55"/>
      <c r="BW91" s="112">
        <f t="shared" ref="BW91:CI91" si="73">+BW82+BW85+BW87+BW86+BW89+BW83</f>
        <v>81.847999999999999</v>
      </c>
      <c r="BX91" s="112">
        <f t="shared" si="73"/>
        <v>166.309</v>
      </c>
      <c r="BY91" s="112">
        <f t="shared" si="73"/>
        <v>195.751</v>
      </c>
      <c r="BZ91" s="112">
        <f t="shared" si="73"/>
        <v>305.61</v>
      </c>
      <c r="CA91" s="112">
        <f t="shared" si="73"/>
        <v>643.38799999999992</v>
      </c>
      <c r="CB91" s="112">
        <f t="shared" si="73"/>
        <v>849.3</v>
      </c>
      <c r="CC91" s="112">
        <f t="shared" si="73"/>
        <v>985.99300000000005</v>
      </c>
      <c r="CD91" s="112">
        <f t="shared" si="73"/>
        <v>1143.7539999999999</v>
      </c>
      <c r="CE91" s="112">
        <f t="shared" si="73"/>
        <v>1426.4380000000001</v>
      </c>
      <c r="CF91" s="112">
        <f t="shared" si="73"/>
        <v>1360.6999999999998</v>
      </c>
      <c r="CG91" s="112">
        <f t="shared" si="73"/>
        <v>1821.1000000000004</v>
      </c>
      <c r="CH91" s="112">
        <f t="shared" si="73"/>
        <v>2169.1150000000002</v>
      </c>
      <c r="CI91" s="112">
        <f t="shared" si="73"/>
        <v>2249.357</v>
      </c>
      <c r="CJ91" s="112">
        <f t="shared" si="67"/>
        <v>2708.7220000000002</v>
      </c>
      <c r="CK91" s="112">
        <f t="shared" si="68"/>
        <v>2878.982</v>
      </c>
      <c r="CL91" s="112">
        <f>BK91</f>
        <v>2999.4279999999999</v>
      </c>
      <c r="CM91" s="112">
        <f t="shared" si="59"/>
        <v>3087.3470000000002</v>
      </c>
      <c r="CN91" s="112">
        <f t="shared" si="64"/>
        <v>3457.5900000000006</v>
      </c>
      <c r="CO91" s="206"/>
      <c r="CP91" s="6"/>
    </row>
    <row r="92" spans="1:98" ht="6.75" customHeight="1" x14ac:dyDescent="0.35">
      <c r="B92" s="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55"/>
      <c r="BW92" s="110"/>
      <c r="BX92" s="110"/>
      <c r="BY92" s="110"/>
      <c r="BZ92" s="110"/>
      <c r="CA92" s="110"/>
      <c r="CB92" s="110"/>
      <c r="CC92" s="110"/>
      <c r="CD92" s="110"/>
      <c r="CE92" s="110"/>
      <c r="CF92" s="110"/>
      <c r="CG92" s="110"/>
      <c r="CH92" s="110"/>
      <c r="CI92" s="110"/>
      <c r="CJ92" s="110"/>
      <c r="CK92" s="110"/>
      <c r="CL92" s="110"/>
      <c r="CM92" s="110"/>
      <c r="CN92" s="110"/>
    </row>
    <row r="93" spans="1:98" s="6" customFormat="1" x14ac:dyDescent="0.35">
      <c r="A93" s="5"/>
      <c r="B93" s="42" t="str">
        <f>IF(Control!$D$5=1,"Total Liabilities &amp; Equity","Passivo Total &amp; Patrimônio Líquido")</f>
        <v>Passivo Total &amp; Patrimônio Líquido</v>
      </c>
      <c r="C93" s="112">
        <f>C80+C91</f>
        <v>449.45200000000006</v>
      </c>
      <c r="D93" s="112">
        <f>D80+D91</f>
        <v>800.92399999999998</v>
      </c>
      <c r="E93" s="112" t="s">
        <v>2</v>
      </c>
      <c r="F93" s="112" t="s">
        <v>2</v>
      </c>
      <c r="G93" s="112">
        <f t="shared" ref="G93:AL93" si="74">G80+G91</f>
        <v>747.62599999999998</v>
      </c>
      <c r="H93" s="112">
        <f t="shared" si="74"/>
        <v>912.13599999999997</v>
      </c>
      <c r="I93" s="112">
        <f t="shared" si="74"/>
        <v>763.9620000000001</v>
      </c>
      <c r="J93" s="112">
        <f t="shared" si="74"/>
        <v>709.14499999999998</v>
      </c>
      <c r="K93" s="112">
        <f t="shared" si="74"/>
        <v>958.81</v>
      </c>
      <c r="L93" s="112">
        <f t="shared" si="74"/>
        <v>1195.3290000000002</v>
      </c>
      <c r="M93" s="112">
        <f t="shared" si="74"/>
        <v>1121.271</v>
      </c>
      <c r="N93" s="112">
        <f t="shared" si="74"/>
        <v>1075.6610000000001</v>
      </c>
      <c r="O93" s="112">
        <f t="shared" si="74"/>
        <v>1115.1869999999999</v>
      </c>
      <c r="P93" s="112">
        <f t="shared" si="74"/>
        <v>1628.087</v>
      </c>
      <c r="Q93" s="112">
        <f t="shared" si="74"/>
        <v>1599.1669999999999</v>
      </c>
      <c r="R93" s="112">
        <f t="shared" si="74"/>
        <v>1877.6669999999999</v>
      </c>
      <c r="S93" s="112">
        <f t="shared" si="74"/>
        <v>2029.0559999999998</v>
      </c>
      <c r="T93" s="112">
        <f t="shared" si="74"/>
        <v>2440.7129999999997</v>
      </c>
      <c r="U93" s="112">
        <f t="shared" si="74"/>
        <v>2323.6819999999998</v>
      </c>
      <c r="V93" s="112">
        <f t="shared" si="74"/>
        <v>2773.0920000000001</v>
      </c>
      <c r="W93" s="112">
        <f t="shared" si="74"/>
        <v>2737.3820000000001</v>
      </c>
      <c r="X93" s="112">
        <f t="shared" si="74"/>
        <v>3170.8429999999998</v>
      </c>
      <c r="Y93" s="112">
        <f t="shared" si="74"/>
        <v>3227.6410000000001</v>
      </c>
      <c r="Z93" s="112">
        <f t="shared" si="74"/>
        <v>3083.268</v>
      </c>
      <c r="AA93" s="112">
        <f t="shared" si="74"/>
        <v>3001.799</v>
      </c>
      <c r="AB93" s="112">
        <f t="shared" si="74"/>
        <v>3401.2639999999997</v>
      </c>
      <c r="AC93" s="112">
        <f t="shared" si="74"/>
        <v>3339.511</v>
      </c>
      <c r="AD93" s="112">
        <f t="shared" si="74"/>
        <v>3450.5639999999999</v>
      </c>
      <c r="AE93" s="112">
        <f t="shared" si="74"/>
        <v>3265.7579999999998</v>
      </c>
      <c r="AF93" s="112">
        <f t="shared" si="74"/>
        <v>3819.3300000000008</v>
      </c>
      <c r="AG93" s="112">
        <f t="shared" si="74"/>
        <v>3878.0860000000002</v>
      </c>
      <c r="AH93" s="112">
        <f t="shared" si="74"/>
        <v>3794.9510000000005</v>
      </c>
      <c r="AI93" s="112">
        <f t="shared" si="74"/>
        <v>3741.8520000000008</v>
      </c>
      <c r="AJ93" s="112">
        <f t="shared" si="74"/>
        <v>3998.915</v>
      </c>
      <c r="AK93" s="112">
        <f t="shared" si="74"/>
        <v>3859.5909999999999</v>
      </c>
      <c r="AL93" s="112">
        <f t="shared" si="74"/>
        <v>3756.4909999999995</v>
      </c>
      <c r="AM93" s="112">
        <f t="shared" ref="AM93:BN93" si="75">AM80+AM91</f>
        <v>3830.6</v>
      </c>
      <c r="AN93" s="112">
        <f t="shared" si="75"/>
        <v>3944.9310000000005</v>
      </c>
      <c r="AO93" s="112">
        <f t="shared" si="75"/>
        <v>3783.0450000000001</v>
      </c>
      <c r="AP93" s="112">
        <f t="shared" si="75"/>
        <v>3669.453</v>
      </c>
      <c r="AQ93" s="112">
        <f t="shared" si="75"/>
        <v>3781.2</v>
      </c>
      <c r="AR93" s="112">
        <f t="shared" si="75"/>
        <v>4427.3999999999996</v>
      </c>
      <c r="AS93" s="112">
        <f t="shared" si="75"/>
        <v>4394.2999999999993</v>
      </c>
      <c r="AT93" s="112">
        <f t="shared" si="75"/>
        <v>4317.2</v>
      </c>
      <c r="AU93" s="112">
        <f t="shared" si="75"/>
        <v>4436.6190000000006</v>
      </c>
      <c r="AV93" s="112">
        <f t="shared" si="75"/>
        <v>5651.5999999999995</v>
      </c>
      <c r="AW93" s="112">
        <f t="shared" si="75"/>
        <v>5390.0239999999994</v>
      </c>
      <c r="AX93" s="112">
        <f t="shared" si="75"/>
        <v>5174.9429999999993</v>
      </c>
      <c r="AY93" s="112">
        <f t="shared" si="75"/>
        <v>4809.3739999999998</v>
      </c>
      <c r="AZ93" s="112">
        <f t="shared" si="75"/>
        <v>7320.1280000000006</v>
      </c>
      <c r="BA93" s="112">
        <f t="shared" si="75"/>
        <v>6566.4039999999995</v>
      </c>
      <c r="BB93" s="112">
        <f t="shared" si="75"/>
        <v>6604.18</v>
      </c>
      <c r="BC93" s="112">
        <f t="shared" si="75"/>
        <v>6166.8</v>
      </c>
      <c r="BD93" s="112">
        <f t="shared" si="75"/>
        <v>7426.4920000000002</v>
      </c>
      <c r="BE93" s="112">
        <f t="shared" si="75"/>
        <v>6690.9202407199991</v>
      </c>
      <c r="BF93" s="112">
        <f t="shared" si="75"/>
        <v>8117.9870000000001</v>
      </c>
      <c r="BG93" s="112">
        <f t="shared" si="75"/>
        <v>7930.9500000000007</v>
      </c>
      <c r="BH93" s="112">
        <f t="shared" si="75"/>
        <v>8624.875</v>
      </c>
      <c r="BI93" s="112">
        <f t="shared" si="75"/>
        <v>8511.1513665000002</v>
      </c>
      <c r="BJ93" s="112">
        <f t="shared" si="75"/>
        <v>8560.4399999999987</v>
      </c>
      <c r="BK93" s="112">
        <f t="shared" si="75"/>
        <v>9213.8870000000006</v>
      </c>
      <c r="BL93" s="112">
        <f t="shared" si="75"/>
        <v>9938.365760208766</v>
      </c>
      <c r="BM93" s="112">
        <f t="shared" si="75"/>
        <v>10533.236000000001</v>
      </c>
      <c r="BN93" s="112">
        <f t="shared" si="75"/>
        <v>10333.581</v>
      </c>
      <c r="BO93" s="112">
        <f t="shared" ref="BO93:BU93" si="76">BO80+BO91</f>
        <v>10621.36</v>
      </c>
      <c r="BP93" s="112">
        <f t="shared" si="76"/>
        <v>11655.508217162154</v>
      </c>
      <c r="BQ93" s="112">
        <f t="shared" si="76"/>
        <v>12083.225530274456</v>
      </c>
      <c r="BR93" s="112">
        <f t="shared" si="76"/>
        <v>11894.505000000001</v>
      </c>
      <c r="BS93" s="112">
        <f t="shared" si="76"/>
        <v>11106.594999999999</v>
      </c>
      <c r="BT93" s="112">
        <f t="shared" si="76"/>
        <v>12142.368</v>
      </c>
      <c r="BU93" s="112">
        <f t="shared" si="76"/>
        <v>11340.161</v>
      </c>
      <c r="BV93" s="55"/>
      <c r="BW93" s="112">
        <f t="shared" ref="BW93:CI93" si="77">BW80+BW91</f>
        <v>449.45200000000006</v>
      </c>
      <c r="BX93" s="112">
        <f t="shared" si="77"/>
        <v>747.62599999999998</v>
      </c>
      <c r="BY93" s="112">
        <f t="shared" si="77"/>
        <v>958.81</v>
      </c>
      <c r="BZ93" s="112">
        <f t="shared" si="77"/>
        <v>1115.1869999999999</v>
      </c>
      <c r="CA93" s="112">
        <f t="shared" si="77"/>
        <v>2029.0559999999998</v>
      </c>
      <c r="CB93" s="112">
        <f t="shared" si="77"/>
        <v>2737.3820000000001</v>
      </c>
      <c r="CC93" s="112">
        <f t="shared" si="77"/>
        <v>3001.799</v>
      </c>
      <c r="CD93" s="112">
        <f t="shared" si="77"/>
        <v>3265.7579999999998</v>
      </c>
      <c r="CE93" s="112">
        <f t="shared" si="77"/>
        <v>3741.8520000000008</v>
      </c>
      <c r="CF93" s="112">
        <f t="shared" si="77"/>
        <v>3830.6</v>
      </c>
      <c r="CG93" s="112">
        <f t="shared" si="77"/>
        <v>3781.2</v>
      </c>
      <c r="CH93" s="112">
        <f t="shared" si="77"/>
        <v>4436.6190000000006</v>
      </c>
      <c r="CI93" s="112">
        <f t="shared" si="77"/>
        <v>4809.3739999999998</v>
      </c>
      <c r="CJ93" s="112">
        <f>BC93</f>
        <v>6166.8</v>
      </c>
      <c r="CK93" s="112">
        <f>BG93</f>
        <v>7930.9500000000007</v>
      </c>
      <c r="CL93" s="112">
        <f>BK93</f>
        <v>9213.8870000000006</v>
      </c>
      <c r="CM93" s="112">
        <f t="shared" si="59"/>
        <v>10621.36</v>
      </c>
      <c r="CN93" s="112">
        <f>BS93</f>
        <v>11106.594999999999</v>
      </c>
    </row>
    <row r="94" spans="1:98" ht="6.75" customHeight="1" x14ac:dyDescent="0.35">
      <c r="B94" s="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55"/>
      <c r="BW94" s="110"/>
      <c r="BX94" s="110"/>
      <c r="BY94" s="110"/>
      <c r="BZ94" s="110"/>
      <c r="CA94" s="110"/>
      <c r="CB94" s="110"/>
      <c r="CC94" s="110"/>
      <c r="CD94" s="110"/>
      <c r="CE94" s="110"/>
      <c r="CF94" s="110"/>
      <c r="CG94" s="110"/>
      <c r="CH94" s="110"/>
      <c r="CI94" s="110"/>
      <c r="CJ94" s="110"/>
      <c r="CK94" s="110"/>
      <c r="CL94" s="110"/>
      <c r="CM94" s="110"/>
      <c r="CN94" s="110"/>
    </row>
    <row r="95" spans="1:98" s="6" customFormat="1" x14ac:dyDescent="0.35">
      <c r="A95" s="5"/>
      <c r="B95" s="42" t="str">
        <f>IF(Control!$D$5=1,"Total Debt","Endividamento Total")</f>
        <v>Endividamento Total</v>
      </c>
      <c r="C95" s="112">
        <f>C50+C52+C69+C71</f>
        <v>249.94299999999998</v>
      </c>
      <c r="D95" s="112">
        <f>D50+D52+D69+D71</f>
        <v>320.12</v>
      </c>
      <c r="E95" s="112" t="s">
        <v>2</v>
      </c>
      <c r="F95" s="112" t="s">
        <v>2</v>
      </c>
      <c r="G95" s="112">
        <f t="shared" ref="G95:AL95" si="78">G50+G52+G69+G71</f>
        <v>330.12800000000004</v>
      </c>
      <c r="H95" s="112">
        <f t="shared" si="78"/>
        <v>292.58199999999999</v>
      </c>
      <c r="I95" s="112">
        <f t="shared" si="78"/>
        <v>296.43399999999997</v>
      </c>
      <c r="J95" s="112">
        <f t="shared" si="78"/>
        <v>299.851</v>
      </c>
      <c r="K95" s="112">
        <f t="shared" si="78"/>
        <v>526.73199999999997</v>
      </c>
      <c r="L95" s="112">
        <f t="shared" si="78"/>
        <v>525.21900000000005</v>
      </c>
      <c r="M95" s="112">
        <f t="shared" si="78"/>
        <v>618.91799999999989</v>
      </c>
      <c r="N95" s="112">
        <f t="shared" si="78"/>
        <v>588.41899999999998</v>
      </c>
      <c r="O95" s="112">
        <f t="shared" si="78"/>
        <v>540.34400000000005</v>
      </c>
      <c r="P95" s="112">
        <f t="shared" si="78"/>
        <v>661.71699999999998</v>
      </c>
      <c r="Q95" s="112">
        <f t="shared" si="78"/>
        <v>789.37</v>
      </c>
      <c r="R95" s="112">
        <f t="shared" si="78"/>
        <v>767.66700000000003</v>
      </c>
      <c r="S95" s="112">
        <f t="shared" si="78"/>
        <v>834.85500000000002</v>
      </c>
      <c r="T95" s="112">
        <f t="shared" si="78"/>
        <v>910.04</v>
      </c>
      <c r="U95" s="112">
        <f t="shared" si="78"/>
        <v>980.91200000000003</v>
      </c>
      <c r="V95" s="112">
        <f t="shared" si="78"/>
        <v>1097.162</v>
      </c>
      <c r="W95" s="112">
        <f t="shared" si="78"/>
        <v>1054.01</v>
      </c>
      <c r="X95" s="112">
        <f t="shared" si="78"/>
        <v>1128.723</v>
      </c>
      <c r="Y95" s="112">
        <f t="shared" si="78"/>
        <v>1296.7380000000001</v>
      </c>
      <c r="Z95" s="112">
        <f t="shared" si="78"/>
        <v>1211.3389999999999</v>
      </c>
      <c r="AA95" s="112">
        <f t="shared" si="78"/>
        <v>1229.337</v>
      </c>
      <c r="AB95" s="112">
        <f t="shared" si="78"/>
        <v>1277.7449999999999</v>
      </c>
      <c r="AC95" s="112">
        <f t="shared" si="78"/>
        <v>1447.9969999999998</v>
      </c>
      <c r="AD95" s="112">
        <f t="shared" si="78"/>
        <v>1511.89</v>
      </c>
      <c r="AE95" s="112">
        <f t="shared" si="78"/>
        <v>1294.3800000000001</v>
      </c>
      <c r="AF95" s="112">
        <f t="shared" si="78"/>
        <v>1355.2849999999999</v>
      </c>
      <c r="AG95" s="112">
        <f t="shared" si="78"/>
        <v>1605.2759999999998</v>
      </c>
      <c r="AH95" s="112">
        <f t="shared" si="78"/>
        <v>1575.2350000000001</v>
      </c>
      <c r="AI95" s="112">
        <f t="shared" si="78"/>
        <v>1490.193</v>
      </c>
      <c r="AJ95" s="112">
        <f t="shared" si="78"/>
        <v>1338.8109999999999</v>
      </c>
      <c r="AK95" s="112">
        <f t="shared" si="78"/>
        <v>1613.3609999999999</v>
      </c>
      <c r="AL95" s="112">
        <f t="shared" si="78"/>
        <v>1460.623</v>
      </c>
      <c r="AM95" s="112">
        <f t="shared" ref="AM95:BN95" si="79">AM50+AM52+AM69+AM71</f>
        <v>1657.3000000000002</v>
      </c>
      <c r="AN95" s="112">
        <f t="shared" si="79"/>
        <v>1398.2179999999998</v>
      </c>
      <c r="AO95" s="112">
        <f t="shared" si="79"/>
        <v>1636.163</v>
      </c>
      <c r="AP95" s="112">
        <f t="shared" si="79"/>
        <v>1170.0050000000001</v>
      </c>
      <c r="AQ95" s="112">
        <f t="shared" si="79"/>
        <v>1285.7</v>
      </c>
      <c r="AR95" s="112">
        <f t="shared" si="79"/>
        <v>1362.4</v>
      </c>
      <c r="AS95" s="112">
        <f t="shared" si="79"/>
        <v>1494.9</v>
      </c>
      <c r="AT95" s="112">
        <f t="shared" si="79"/>
        <v>1386</v>
      </c>
      <c r="AU95" s="112">
        <f t="shared" si="79"/>
        <v>1428.8590000000002</v>
      </c>
      <c r="AV95" s="112">
        <f t="shared" si="79"/>
        <v>2022.6999999999998</v>
      </c>
      <c r="AW95" s="112">
        <f t="shared" si="79"/>
        <v>2141.8200000000002</v>
      </c>
      <c r="AX95" s="112">
        <f t="shared" si="79"/>
        <v>2052.0329999999999</v>
      </c>
      <c r="AY95" s="112">
        <f t="shared" si="79"/>
        <v>1602.894</v>
      </c>
      <c r="AZ95" s="112">
        <f t="shared" si="79"/>
        <v>3042.47</v>
      </c>
      <c r="BA95" s="112">
        <f t="shared" si="79"/>
        <v>2580.9870000000001</v>
      </c>
      <c r="BB95" s="112">
        <f t="shared" si="79"/>
        <v>2500.7539999999999</v>
      </c>
      <c r="BC95" s="112">
        <f t="shared" si="79"/>
        <v>2195.3209999999999</v>
      </c>
      <c r="BD95" s="112">
        <f t="shared" si="79"/>
        <v>2607.6589999999997</v>
      </c>
      <c r="BE95" s="112">
        <f t="shared" si="79"/>
        <v>2561.585</v>
      </c>
      <c r="BF95" s="112">
        <f t="shared" si="79"/>
        <v>3590.8980000000001</v>
      </c>
      <c r="BG95" s="112">
        <f t="shared" si="79"/>
        <v>3263.7300000000005</v>
      </c>
      <c r="BH95" s="112">
        <f t="shared" si="79"/>
        <v>3440.2660000000001</v>
      </c>
      <c r="BI95" s="112">
        <f t="shared" si="79"/>
        <v>3820.3689999999997</v>
      </c>
      <c r="BJ95" s="112">
        <f t="shared" si="79"/>
        <v>3629.1839999999997</v>
      </c>
      <c r="BK95" s="112">
        <f t="shared" si="79"/>
        <v>3982.201</v>
      </c>
      <c r="BL95" s="112">
        <f t="shared" si="79"/>
        <v>4017.8988010061698</v>
      </c>
      <c r="BM95" s="112">
        <f t="shared" si="79"/>
        <v>5062.1000000000004</v>
      </c>
      <c r="BN95" s="112">
        <f t="shared" si="79"/>
        <v>5051.7969999999996</v>
      </c>
      <c r="BO95" s="112">
        <f t="shared" ref="BO95:BU95" si="80">BO50+BO52+BO69+BO71</f>
        <v>5486.0349999999999</v>
      </c>
      <c r="BP95" s="112">
        <f t="shared" si="80"/>
        <v>5205.5887806938899</v>
      </c>
      <c r="BQ95" s="112">
        <f t="shared" si="80"/>
        <v>6269.3016056025408</v>
      </c>
      <c r="BR95" s="112">
        <f t="shared" si="80"/>
        <v>5930.0690000000004</v>
      </c>
      <c r="BS95" s="112">
        <f t="shared" si="80"/>
        <v>5237.674</v>
      </c>
      <c r="BT95" s="112">
        <f t="shared" si="80"/>
        <v>5240.9349999999995</v>
      </c>
      <c r="BU95" s="112">
        <f t="shared" si="80"/>
        <v>5376.1189999999997</v>
      </c>
      <c r="BV95" s="55"/>
      <c r="BW95" s="112">
        <f t="shared" ref="BW95:CJ95" si="81">BW50+BW52+BW69+BW71</f>
        <v>249.94299999999998</v>
      </c>
      <c r="BX95" s="112">
        <f t="shared" si="81"/>
        <v>330.12800000000004</v>
      </c>
      <c r="BY95" s="112">
        <f t="shared" si="81"/>
        <v>526.73199999999997</v>
      </c>
      <c r="BZ95" s="112">
        <f t="shared" si="81"/>
        <v>540.34400000000005</v>
      </c>
      <c r="CA95" s="112">
        <f t="shared" si="81"/>
        <v>834.85500000000002</v>
      </c>
      <c r="CB95" s="112">
        <f t="shared" si="81"/>
        <v>1054.01</v>
      </c>
      <c r="CC95" s="112">
        <f t="shared" si="81"/>
        <v>1229.337</v>
      </c>
      <c r="CD95" s="112">
        <f t="shared" si="81"/>
        <v>1294.3800000000001</v>
      </c>
      <c r="CE95" s="112">
        <f t="shared" si="81"/>
        <v>1490.193</v>
      </c>
      <c r="CF95" s="112">
        <f t="shared" si="81"/>
        <v>1657.3000000000002</v>
      </c>
      <c r="CG95" s="112">
        <f t="shared" si="81"/>
        <v>1285.7</v>
      </c>
      <c r="CH95" s="112">
        <f t="shared" si="81"/>
        <v>1428.8590000000002</v>
      </c>
      <c r="CI95" s="112">
        <f t="shared" si="81"/>
        <v>1602.894</v>
      </c>
      <c r="CJ95" s="112">
        <f t="shared" si="81"/>
        <v>2195.3209999999999</v>
      </c>
      <c r="CK95" s="112">
        <f>BG95</f>
        <v>3263.7300000000005</v>
      </c>
      <c r="CL95" s="112">
        <f>BK95</f>
        <v>3982.201</v>
      </c>
      <c r="CM95" s="112">
        <f t="shared" si="59"/>
        <v>5486.0349999999999</v>
      </c>
      <c r="CN95" s="112">
        <f>BS95</f>
        <v>5237.674</v>
      </c>
      <c r="CO95" s="206"/>
    </row>
    <row r="96" spans="1:98" x14ac:dyDescent="0.35">
      <c r="B96" s="25" t="str">
        <f>IF(Control!$D$5=1,"Net Debt","Endividamento Líquido")</f>
        <v>Endividamento Líquido</v>
      </c>
      <c r="C96" s="58">
        <f>+C95-C10-C11-C26</f>
        <v>215.154</v>
      </c>
      <c r="D96" s="58">
        <f>+D95-D10-D11-D26</f>
        <v>297.15300000000002</v>
      </c>
      <c r="E96" s="58" t="s">
        <v>2</v>
      </c>
      <c r="F96" s="58" t="s">
        <v>2</v>
      </c>
      <c r="G96" s="58">
        <f t="shared" ref="G96:AL96" si="82">+G95-G10-G11-G26</f>
        <v>236.93700000000004</v>
      </c>
      <c r="H96" s="58">
        <f t="shared" si="82"/>
        <v>174.71799999999999</v>
      </c>
      <c r="I96" s="58">
        <f t="shared" si="82"/>
        <v>206.68799999999996</v>
      </c>
      <c r="J96" s="58">
        <f t="shared" si="82"/>
        <v>181.941</v>
      </c>
      <c r="K96" s="58">
        <f t="shared" si="82"/>
        <v>269.31700000000001</v>
      </c>
      <c r="L96" s="58">
        <f t="shared" si="82"/>
        <v>309.48700000000008</v>
      </c>
      <c r="M96" s="58">
        <f t="shared" si="82"/>
        <v>380.7179999999999</v>
      </c>
      <c r="N96" s="58">
        <f t="shared" si="82"/>
        <v>347.33699999999999</v>
      </c>
      <c r="O96" s="58">
        <f t="shared" si="82"/>
        <v>340.46200000000005</v>
      </c>
      <c r="P96" s="58">
        <f t="shared" si="82"/>
        <v>537.11599999999999</v>
      </c>
      <c r="Q96" s="58">
        <f t="shared" si="82"/>
        <v>575.577</v>
      </c>
      <c r="R96" s="58">
        <f t="shared" si="82"/>
        <v>432.92199999999997</v>
      </c>
      <c r="S96" s="58">
        <f t="shared" si="82"/>
        <v>401.52100000000007</v>
      </c>
      <c r="T96" s="58">
        <f t="shared" si="82"/>
        <v>467.72499999999997</v>
      </c>
      <c r="U96" s="58">
        <f t="shared" si="82"/>
        <v>615.92099999999994</v>
      </c>
      <c r="V96" s="58">
        <f t="shared" si="82"/>
        <v>793.09400000000005</v>
      </c>
      <c r="W96" s="58">
        <f t="shared" si="82"/>
        <v>625.48599999999988</v>
      </c>
      <c r="X96" s="58">
        <f t="shared" si="82"/>
        <v>764.26499999999987</v>
      </c>
      <c r="Y96" s="58">
        <f t="shared" si="82"/>
        <v>915.255</v>
      </c>
      <c r="Z96" s="58">
        <f t="shared" si="82"/>
        <v>912.57999999999981</v>
      </c>
      <c r="AA96" s="58">
        <f t="shared" si="82"/>
        <v>893.37599999999998</v>
      </c>
      <c r="AB96" s="58">
        <f t="shared" si="82"/>
        <v>922.87</v>
      </c>
      <c r="AC96" s="58">
        <f t="shared" si="82"/>
        <v>958.8069999999999</v>
      </c>
      <c r="AD96" s="58">
        <f t="shared" si="82"/>
        <v>1068.4380000000001</v>
      </c>
      <c r="AE96" s="58">
        <f t="shared" si="82"/>
        <v>898.63599999999997</v>
      </c>
      <c r="AF96" s="58">
        <f t="shared" si="82"/>
        <v>985.92099999999982</v>
      </c>
      <c r="AG96" s="58">
        <f t="shared" si="82"/>
        <v>1148.7939999999999</v>
      </c>
      <c r="AH96" s="58">
        <f t="shared" si="82"/>
        <v>1330.4059999999999</v>
      </c>
      <c r="AI96" s="58">
        <f t="shared" si="82"/>
        <v>998.07600000000014</v>
      </c>
      <c r="AJ96" s="58">
        <f t="shared" si="82"/>
        <v>1002.669</v>
      </c>
      <c r="AK96" s="58">
        <f t="shared" si="82"/>
        <v>1260.1099999999999</v>
      </c>
      <c r="AL96" s="58">
        <f t="shared" si="82"/>
        <v>1170.3390000000002</v>
      </c>
      <c r="AM96" s="58">
        <f t="shared" ref="AM96:BM96" si="83">+AM95-AM10-AM11-AM26</f>
        <v>1014.3000000000001</v>
      </c>
      <c r="AN96" s="58">
        <f t="shared" si="83"/>
        <v>1074.3389999999997</v>
      </c>
      <c r="AO96" s="58">
        <f t="shared" si="83"/>
        <v>1214.9560000000001</v>
      </c>
      <c r="AP96" s="58">
        <f t="shared" si="83"/>
        <v>743.50500000000011</v>
      </c>
      <c r="AQ96" s="58">
        <f t="shared" si="83"/>
        <v>571.00000000000011</v>
      </c>
      <c r="AR96" s="58">
        <f t="shared" si="83"/>
        <v>604.10000000000014</v>
      </c>
      <c r="AS96" s="58">
        <f t="shared" si="83"/>
        <v>828.80000000000018</v>
      </c>
      <c r="AT96" s="58">
        <f t="shared" si="83"/>
        <v>924.6</v>
      </c>
      <c r="AU96" s="58">
        <f t="shared" si="83"/>
        <v>1032.1000000000001</v>
      </c>
      <c r="AV96" s="58">
        <f t="shared" si="83"/>
        <v>1057</v>
      </c>
      <c r="AW96" s="58">
        <f t="shared" si="83"/>
        <v>1272.7670000000003</v>
      </c>
      <c r="AX96" s="58">
        <f t="shared" si="83"/>
        <v>1565.566</v>
      </c>
      <c r="AY96" s="58">
        <f t="shared" si="83"/>
        <v>1032.8380000000002</v>
      </c>
      <c r="AZ96" s="58">
        <f t="shared" si="83"/>
        <v>1196.1749999999997</v>
      </c>
      <c r="BA96" s="58">
        <f t="shared" si="83"/>
        <v>1327.0520000000001</v>
      </c>
      <c r="BB96" s="58">
        <f t="shared" si="83"/>
        <v>1302.7139999999999</v>
      </c>
      <c r="BC96" s="58">
        <f t="shared" si="83"/>
        <v>1080.443</v>
      </c>
      <c r="BD96" s="58">
        <f t="shared" si="83"/>
        <v>1124.3119999999999</v>
      </c>
      <c r="BE96" s="58">
        <f t="shared" si="83"/>
        <v>1195.558</v>
      </c>
      <c r="BF96" s="58">
        <f t="shared" si="83"/>
        <v>1689.7240000000002</v>
      </c>
      <c r="BG96" s="58">
        <f t="shared" si="83"/>
        <v>1633.6680000000006</v>
      </c>
      <c r="BH96" s="58">
        <f t="shared" si="83"/>
        <v>2098.1219999999998</v>
      </c>
      <c r="BI96" s="58">
        <f t="shared" si="83"/>
        <v>2346.3358274699995</v>
      </c>
      <c r="BJ96" s="58">
        <f t="shared" si="83"/>
        <v>2817.1331169999999</v>
      </c>
      <c r="BK96" s="58">
        <f t="shared" si="83"/>
        <v>2742.8879999999999</v>
      </c>
      <c r="BL96" s="58">
        <f t="shared" si="83"/>
        <v>3096.7248010061703</v>
      </c>
      <c r="BM96" s="58">
        <f t="shared" si="83"/>
        <v>2983.0090000000005</v>
      </c>
      <c r="BN96" s="58">
        <f t="shared" ref="BN96:BS96" si="84">+BN95-BN10-BN11-BN26</f>
        <v>3550.7449999999994</v>
      </c>
      <c r="BO96" s="58">
        <f t="shared" si="84"/>
        <v>2670.8380000000002</v>
      </c>
      <c r="BP96" s="58">
        <f t="shared" si="84"/>
        <v>3164.14478069389</v>
      </c>
      <c r="BQ96" s="58">
        <f t="shared" si="84"/>
        <v>3606.523605602541</v>
      </c>
      <c r="BR96" s="58">
        <f t="shared" si="84"/>
        <v>4084.2360000000003</v>
      </c>
      <c r="BS96" s="58">
        <f t="shared" si="84"/>
        <v>2690.6979999999999</v>
      </c>
      <c r="BT96" s="58">
        <f t="shared" ref="BT96:BU96" si="85">+BT95-BT10-BT11-BT26</f>
        <v>3615.3779999999992</v>
      </c>
      <c r="BU96" s="58">
        <f t="shared" si="85"/>
        <v>3465.5419999999999</v>
      </c>
      <c r="BV96" s="55"/>
      <c r="BW96" s="58">
        <f t="shared" ref="BW96:CH96" si="86">+BW95-BW10-BW11-BW26</f>
        <v>215.154</v>
      </c>
      <c r="BX96" s="58">
        <f t="shared" si="86"/>
        <v>236.93700000000004</v>
      </c>
      <c r="BY96" s="58">
        <f t="shared" si="86"/>
        <v>269.31700000000001</v>
      </c>
      <c r="BZ96" s="58">
        <f t="shared" si="86"/>
        <v>340.46200000000005</v>
      </c>
      <c r="CA96" s="58">
        <f t="shared" si="86"/>
        <v>401.52100000000007</v>
      </c>
      <c r="CB96" s="58">
        <f t="shared" si="86"/>
        <v>625.48599999999988</v>
      </c>
      <c r="CC96" s="58">
        <f t="shared" si="86"/>
        <v>893.37599999999998</v>
      </c>
      <c r="CD96" s="58">
        <f t="shared" si="86"/>
        <v>898.63599999999997</v>
      </c>
      <c r="CE96" s="58">
        <f t="shared" si="86"/>
        <v>998.07600000000014</v>
      </c>
      <c r="CF96" s="58">
        <f t="shared" si="86"/>
        <v>1014.3000000000001</v>
      </c>
      <c r="CG96" s="58">
        <f t="shared" si="86"/>
        <v>571.00000000000011</v>
      </c>
      <c r="CH96" s="110">
        <f t="shared" si="86"/>
        <v>1032.1000000000001</v>
      </c>
      <c r="CI96" s="110">
        <f>AY96</f>
        <v>1032.8380000000002</v>
      </c>
      <c r="CJ96" s="110">
        <f>BC96</f>
        <v>1080.443</v>
      </c>
      <c r="CK96" s="110">
        <f>BG96</f>
        <v>1633.6680000000006</v>
      </c>
      <c r="CL96" s="110">
        <f>BK96</f>
        <v>2742.8879999999999</v>
      </c>
      <c r="CM96" s="110">
        <f t="shared" si="59"/>
        <v>2670.8380000000002</v>
      </c>
      <c r="CN96" s="110">
        <f>BS96</f>
        <v>2690.6979999999999</v>
      </c>
      <c r="CO96" s="206"/>
      <c r="CP96" s="6"/>
      <c r="CT96" s="48"/>
    </row>
    <row r="97" spans="1:98" s="6" customFormat="1" x14ac:dyDescent="0.35">
      <c r="A97" s="5"/>
      <c r="B97" s="32" t="str">
        <f>IF(Control!$D$5=1,"EBITDA LTM","EBITDA UDM")</f>
        <v>EBITDA UDM</v>
      </c>
      <c r="C97" s="106">
        <f>BW97</f>
        <v>106.78100000000001</v>
      </c>
      <c r="D97" s="106" t="s">
        <v>2</v>
      </c>
      <c r="E97" s="106" t="s">
        <v>2</v>
      </c>
      <c r="F97" s="106" t="s">
        <v>2</v>
      </c>
      <c r="G97" s="106">
        <f>SUM('P&amp;L'!G40,'P&amp;L'!F40,'P&amp;L'!E40,'P&amp;L'!D40)</f>
        <v>170.38400000000004</v>
      </c>
      <c r="H97" s="106">
        <f>SUM('P&amp;L'!H40,'P&amp;L'!G40,'P&amp;L'!F40,'P&amp;L'!E40)</f>
        <v>159.49430000000007</v>
      </c>
      <c r="I97" s="106">
        <f>SUM('P&amp;L'!I40,'P&amp;L'!H40,'P&amp;L'!G40,'P&amp;L'!F40)</f>
        <v>129.22000000000008</v>
      </c>
      <c r="J97" s="106">
        <f>SUM('P&amp;L'!J40,'P&amp;L'!I40,'P&amp;L'!H40,'P&amp;L'!G40)</f>
        <v>108.47599999999997</v>
      </c>
      <c r="K97" s="106">
        <f>SUM('P&amp;L'!K40,'P&amp;L'!J40,'P&amp;L'!I40,'P&amp;L'!H40)</f>
        <v>123.2730000000001</v>
      </c>
      <c r="L97" s="106">
        <f>SUM('P&amp;L'!L40,'P&amp;L'!K40,'P&amp;L'!J40,'P&amp;L'!I40)</f>
        <v>128.56870000000015</v>
      </c>
      <c r="M97" s="106">
        <f>SUM('P&amp;L'!M40,'P&amp;L'!L40,'P&amp;L'!K40,'P&amp;L'!J40)</f>
        <v>126.95000000000006</v>
      </c>
      <c r="N97" s="106">
        <f>SUM('P&amp;L'!N40,'P&amp;L'!M40,'P&amp;L'!L40,'P&amp;L'!K40)</f>
        <v>137.54300000000018</v>
      </c>
      <c r="O97" s="106">
        <f>SUM('P&amp;L'!O40,'P&amp;L'!N40,'P&amp;L'!M40,'P&amp;L'!L40)</f>
        <v>141.5630000000001</v>
      </c>
      <c r="P97" s="106">
        <f>SUM('P&amp;L'!P40,'P&amp;L'!O40,'P&amp;L'!N40,'P&amp;L'!M40)</f>
        <v>145.20800000000008</v>
      </c>
      <c r="Q97" s="106">
        <f>SUM('P&amp;L'!Q40,'P&amp;L'!P40,'P&amp;L'!O40,'P&amp;L'!N40)</f>
        <v>169.2560000000002</v>
      </c>
      <c r="R97" s="106">
        <f>SUM('P&amp;L'!R40,'P&amp;L'!Q40,'P&amp;L'!P40,'P&amp;L'!O40)</f>
        <v>191.51400000000012</v>
      </c>
      <c r="S97" s="106">
        <f>SUM('P&amp;L'!S40,'P&amp;L'!R40,'P&amp;L'!Q40,'P&amp;L'!P40)</f>
        <v>209.0540000000002</v>
      </c>
      <c r="T97" s="106">
        <f>SUM('P&amp;L'!T40,'P&amp;L'!S40,'P&amp;L'!R40,'P&amp;L'!Q40)</f>
        <v>235.2230000000003</v>
      </c>
      <c r="U97" s="106">
        <f>SUM('P&amp;L'!U40,'P&amp;L'!T40,'P&amp;L'!S40,'P&amp;L'!R40)</f>
        <v>253.20100000000019</v>
      </c>
      <c r="V97" s="106">
        <f>SUM('P&amp;L'!V40,'P&amp;L'!U40,'P&amp;L'!T40,'P&amp;L'!S40)</f>
        <v>289.58000000000015</v>
      </c>
      <c r="W97" s="106">
        <f>SUM('P&amp;L'!W40,'P&amp;L'!V40,'P&amp;L'!U40,'P&amp;L'!T40)</f>
        <v>314.95799999999997</v>
      </c>
      <c r="X97" s="106">
        <f>SUM('P&amp;L'!X40,'P&amp;L'!W40,'P&amp;L'!V40,'P&amp;L'!U40)</f>
        <v>348.42099999999982</v>
      </c>
      <c r="Y97" s="106">
        <f>SUM('P&amp;L'!Y40,'P&amp;L'!X40,'P&amp;L'!W40,'P&amp;L'!V40)</f>
        <v>367.61599999999999</v>
      </c>
      <c r="Z97" s="106">
        <f>SUM('P&amp;L'!Z40,'P&amp;L'!Y40,'P&amp;L'!X40,'P&amp;L'!W40)</f>
        <v>360.98800000000006</v>
      </c>
      <c r="AA97" s="106">
        <f>SUM('P&amp;L'!AA40,'P&amp;L'!Z40,'P&amp;L'!Y40,'P&amp;L'!X40)</f>
        <v>375.3209999999998</v>
      </c>
      <c r="AB97" s="106">
        <f>SUM('P&amp;L'!AB40,'P&amp;L'!AA40,'P&amp;L'!Z40,'P&amp;L'!Y40)</f>
        <v>372.4729999999999</v>
      </c>
      <c r="AC97" s="106">
        <f>SUM('P&amp;L'!AC40,'P&amp;L'!AB40,'P&amp;L'!AA40,'P&amp;L'!Z40)</f>
        <v>370.86599999999953</v>
      </c>
      <c r="AD97" s="106">
        <f>SUM('P&amp;L'!AD40,'P&amp;L'!AC40,'P&amp;L'!AB40,'P&amp;L'!AA40)</f>
        <v>377.32999999999936</v>
      </c>
      <c r="AE97" s="106">
        <f>SUM('P&amp;L'!AE40,'P&amp;L'!AD40,'P&amp;L'!AC40,'P&amp;L'!AB40)</f>
        <v>361.28700000000038</v>
      </c>
      <c r="AF97" s="106">
        <f>SUM('P&amp;L'!AF40,'P&amp;L'!AE40,'P&amp;L'!AD40,'P&amp;L'!AC40)</f>
        <v>360.25200000000035</v>
      </c>
      <c r="AG97" s="106">
        <f>SUM('P&amp;L'!AG40,'P&amp;L'!AF40,'P&amp;L'!AE40,'P&amp;L'!AD40)</f>
        <v>374.8050000000004</v>
      </c>
      <c r="AH97" s="106">
        <f>SUM('P&amp;L'!AH40,'P&amp;L'!AG40,'P&amp;L'!AF40,'P&amp;L'!AE40)</f>
        <v>394.26200000000085</v>
      </c>
      <c r="AI97" s="106">
        <f>SUM('P&amp;L'!AI40,'P&amp;L'!AH40,'P&amp;L'!AG40,'P&amp;L'!AF40)</f>
        <v>422.91099999999983</v>
      </c>
      <c r="AJ97" s="106">
        <f>SUM('P&amp;L'!AJ40,'P&amp;L'!AI40,'P&amp;L'!AH40,'P&amp;L'!AG40)</f>
        <v>446.37599999999998</v>
      </c>
      <c r="AK97" s="106">
        <f>SUM('P&amp;L'!AK40,'P&amp;L'!AJ40,'P&amp;L'!AI40,'P&amp;L'!AH40)</f>
        <v>517.83999999999992</v>
      </c>
      <c r="AL97" s="106">
        <f>SUM('P&amp;L'!AL40,'P&amp;L'!AK40,'P&amp;L'!AJ40,'P&amp;L'!AI40)</f>
        <v>554.52099999999973</v>
      </c>
      <c r="AM97" s="106">
        <f>SUM('P&amp;L'!AM40,'P&amp;L'!AL40,'P&amp;L'!AK40,'P&amp;L'!AJ40)</f>
        <v>546.99099999999999</v>
      </c>
      <c r="AN97" s="106">
        <f>SUM('P&amp;L'!AN40,'P&amp;L'!AM40,'P&amp;L'!AL40,'P&amp;L'!AK40)</f>
        <v>547.87999999999988</v>
      </c>
      <c r="AO97" s="106">
        <f>SUM('P&amp;L'!AO40,'P&amp;L'!AN40,'P&amp;L'!AM40,'P&amp;L'!AL40)</f>
        <v>485.1909999999998</v>
      </c>
      <c r="AP97" s="106">
        <f>SUM('P&amp;L'!AP40,'P&amp;L'!AO40,'P&amp;L'!AN40,'P&amp;L'!AM40)</f>
        <v>468.3399999999998</v>
      </c>
      <c r="AQ97" s="106">
        <f>SUM('P&amp;L'!AQ40,'P&amp;L'!AP40,'P&amp;L'!AO40,'P&amp;L'!AN40)</f>
        <v>489.8000000000003</v>
      </c>
      <c r="AR97" s="106">
        <f>SUM('P&amp;L'!AR40,'P&amp;L'!AQ40,'P&amp;L'!AP40,'P&amp;L'!AO40)</f>
        <v>444.45600000000013</v>
      </c>
      <c r="AS97" s="106">
        <f>SUM('P&amp;L'!AS40,'P&amp;L'!AR40,'P&amp;L'!AQ40,'P&amp;L'!AP40)</f>
        <v>464.80100000000027</v>
      </c>
      <c r="AT97" s="106">
        <f>SUM('P&amp;L'!AT40,'P&amp;L'!AS40,'P&amp;L'!AR40,'P&amp;L'!AQ40)</f>
        <v>487.32500000000022</v>
      </c>
      <c r="AU97" s="106">
        <f>SUM('P&amp;L'!AU40,'P&amp;L'!AT40,'P&amp;L'!AS40,'P&amp;L'!AR40)</f>
        <v>483.2</v>
      </c>
      <c r="AV97" s="106">
        <f>SUM('P&amp;L'!AV40,'P&amp;L'!AU40,'P&amp;L'!AT40,'P&amp;L'!AS40)</f>
        <v>484.20000000000005</v>
      </c>
      <c r="AW97" s="106">
        <f>SUM('P&amp;L'!AW40,'P&amp;L'!AV40,'P&amp;L'!AU40,'P&amp;L'!AT40)</f>
        <v>438.33200000000033</v>
      </c>
      <c r="AX97" s="106">
        <f>SUM('P&amp;L'!AX40,'P&amp;L'!AW40,'P&amp;L'!AV40,'P&amp;L'!AU40)</f>
        <v>419.91299999999984</v>
      </c>
      <c r="AY97" s="106">
        <f>SUM('P&amp;L'!AY40,'P&amp;L'!AX40,'P&amp;L'!AW40,'P&amp;L'!AV40)</f>
        <v>441.77499999999947</v>
      </c>
      <c r="AZ97" s="106">
        <f>SUM('P&amp;L'!AZ40,'P&amp;L'!AY40,'P&amp;L'!AX40,'P&amp;L'!AW40)</f>
        <v>555.41599999999937</v>
      </c>
      <c r="BA97" s="106">
        <f>SUM('P&amp;L'!BA40,'P&amp;L'!AZ40,'P&amp;L'!AY40,'P&amp;L'!AX40)</f>
        <v>674.13899999999933</v>
      </c>
      <c r="BB97" s="106">
        <f>SUM('P&amp;L'!BB40,'P&amp;L'!BA40,'P&amp;L'!AZ40,'P&amp;L'!AY40)</f>
        <v>778.12892097999998</v>
      </c>
      <c r="BC97" s="106">
        <f>SUM('P&amp;L'!BC40,'P&amp;L'!BB40,'P&amp;L'!BA40,'P&amp;L'!AZ40)</f>
        <v>787.02892097999995</v>
      </c>
      <c r="BD97" s="106">
        <f>SUM('P&amp;L'!BD40,'P&amp;L'!BC40,'P&amp;L'!BB40,'P&amp;L'!BA40)</f>
        <v>774.27892098000041</v>
      </c>
      <c r="BE97" s="106">
        <f>SUM('P&amp;L'!BE40,'P&amp;L'!BD40,'P&amp;L'!BC40,'P&amp;L'!BB40)</f>
        <v>757.89792098000009</v>
      </c>
      <c r="BF97" s="106">
        <f>SUM('P&amp;L'!BC40:BF40)</f>
        <v>721.60899999999981</v>
      </c>
      <c r="BG97" s="106">
        <f>SUM('P&amp;L'!BD40:BG40)</f>
        <v>809.78100000000029</v>
      </c>
      <c r="BH97" s="106">
        <f>SUM('P&amp;L'!BE40:BH40)</f>
        <v>870.49900000000071</v>
      </c>
      <c r="BI97" s="106">
        <f>SUM('P&amp;L'!BF40:BI40)</f>
        <v>887.88500000000067</v>
      </c>
      <c r="BJ97" s="106">
        <f>SUM('P&amp;L'!BG40:BJ40)</f>
        <v>996.99700000000064</v>
      </c>
      <c r="BK97" s="106">
        <f>SUM('P&amp;L'!BH40:BK40)</f>
        <v>919.82799999999986</v>
      </c>
      <c r="BL97" s="109">
        <f>SUM('P&amp;L'!BI40:BL40)</f>
        <v>873.72194813599708</v>
      </c>
      <c r="BM97" s="109">
        <f>SUM('P&amp;L'!BJ40:BM40)</f>
        <v>877.64012443801744</v>
      </c>
      <c r="BN97" s="109">
        <f>SUM('P&amp;L'!BK40:BN40)</f>
        <v>817.12612443801765</v>
      </c>
      <c r="BO97" s="109">
        <f>SUM('P&amp;L'!BL40:BO40)</f>
        <v>914.00067063640631</v>
      </c>
      <c r="BP97" s="109">
        <f>SUM('P&amp;L'!BM40:BP40)</f>
        <v>970.01212198778535</v>
      </c>
      <c r="BQ97" s="109">
        <f>SUM('P&amp;L'!BN40:BQ40)</f>
        <v>1045.1889456857652</v>
      </c>
      <c r="BR97" s="109">
        <f>SUM('P&amp;L'!BO40:BR40)</f>
        <v>967.28694568576475</v>
      </c>
      <c r="BS97" s="109">
        <f>SUM('P&amp;L'!BP40:BS40)</f>
        <v>907.30439948737626</v>
      </c>
      <c r="BT97" s="109">
        <f>SUM('P&amp;L'!BQ40:BT40)</f>
        <v>885.88499999999965</v>
      </c>
      <c r="BU97" s="109">
        <f>SUM('P&amp;L'!BR40:BU40)</f>
        <v>848.91199999999969</v>
      </c>
      <c r="BV97" s="55"/>
      <c r="BW97" s="106">
        <f>'P&amp;L'!BW40</f>
        <v>106.78100000000001</v>
      </c>
      <c r="BX97" s="106">
        <f>'P&amp;L'!BX40</f>
        <v>168.59200000000001</v>
      </c>
      <c r="BY97" s="106">
        <f>'P&amp;L'!BY40</f>
        <v>123.2729999999999</v>
      </c>
      <c r="BZ97" s="106">
        <f>'P&amp;L'!BZ40</f>
        <v>141.5630000000001</v>
      </c>
      <c r="CA97" s="106">
        <f>'P&amp;L'!CA40</f>
        <v>209.05400000000012</v>
      </c>
      <c r="CB97" s="106">
        <f>'P&amp;L'!CB40</f>
        <v>314.95799999999986</v>
      </c>
      <c r="CC97" s="106">
        <f>'P&amp;L'!CC40</f>
        <v>375.32099999999986</v>
      </c>
      <c r="CD97" s="106">
        <f>'P&amp;L'!CD40</f>
        <v>361.28700000000003</v>
      </c>
      <c r="CE97" s="106">
        <f>'P&amp;L'!CE40</f>
        <v>422.91100000000029</v>
      </c>
      <c r="CF97" s="106">
        <f>'P&amp;L'!CF40</f>
        <v>547.05199999999923</v>
      </c>
      <c r="CG97" s="106">
        <f>'P&amp;L'!CG40</f>
        <v>489.80000000000092</v>
      </c>
      <c r="CH97" s="106">
        <f>'P&amp;L'!CH40</f>
        <v>483.19999999999948</v>
      </c>
      <c r="CI97" s="106">
        <f>'P&amp;L'!CI40</f>
        <v>441.77499999999964</v>
      </c>
      <c r="CJ97" s="106">
        <f>BC97</f>
        <v>787.02892097999995</v>
      </c>
      <c r="CK97" s="106">
        <f>BG97</f>
        <v>809.78100000000029</v>
      </c>
      <c r="CL97" s="106">
        <f>BK97</f>
        <v>919.82799999999986</v>
      </c>
      <c r="CM97" s="106">
        <f t="shared" si="59"/>
        <v>914.00067063640631</v>
      </c>
      <c r="CN97" s="106">
        <f>BS97</f>
        <v>907.30439948737626</v>
      </c>
      <c r="CO97" s="206"/>
    </row>
    <row r="98" spans="1:98" ht="9.75" customHeight="1" x14ac:dyDescent="0.35">
      <c r="BT98" s="153"/>
      <c r="BU98" s="153"/>
      <c r="BV98" s="55"/>
      <c r="BX98" s="153"/>
      <c r="BY98" s="153"/>
      <c r="BZ98" s="153"/>
      <c r="CA98" s="153"/>
    </row>
    <row r="99" spans="1:98" x14ac:dyDescent="0.35">
      <c r="B99" s="34" t="str">
        <f>IF(Control!$D$5=1,"Total Debt/EBITDA","Endividamento Bruto/EBITDA")</f>
        <v>Endividamento Bruto/EBITDA</v>
      </c>
      <c r="C99" s="211">
        <f>+C95/C97</f>
        <v>2.3407066800273455</v>
      </c>
      <c r="D99" s="211" t="s">
        <v>2</v>
      </c>
      <c r="E99" s="211" t="s">
        <v>2</v>
      </c>
      <c r="F99" s="211" t="s">
        <v>2</v>
      </c>
      <c r="G99" s="211">
        <f t="shared" ref="G99:AL99" si="87">+G95/G97</f>
        <v>1.9375528218612075</v>
      </c>
      <c r="H99" s="211">
        <f t="shared" si="87"/>
        <v>1.8344354625839285</v>
      </c>
      <c r="I99" s="211">
        <f t="shared" si="87"/>
        <v>2.29402569261724</v>
      </c>
      <c r="J99" s="211">
        <f t="shared" si="87"/>
        <v>2.7642151259264729</v>
      </c>
      <c r="K99" s="211">
        <f t="shared" si="87"/>
        <v>4.2728902517177287</v>
      </c>
      <c r="L99" s="211">
        <f t="shared" si="87"/>
        <v>4.0851233620624576</v>
      </c>
      <c r="M99" s="211">
        <f t="shared" si="87"/>
        <v>4.8752894840488352</v>
      </c>
      <c r="N99" s="211">
        <f t="shared" si="87"/>
        <v>4.2780730389768964</v>
      </c>
      <c r="O99" s="211">
        <f t="shared" si="87"/>
        <v>3.8169860768703661</v>
      </c>
      <c r="P99" s="211">
        <f t="shared" si="87"/>
        <v>4.5570285383725384</v>
      </c>
      <c r="Q99" s="211">
        <f t="shared" si="87"/>
        <v>4.6637637661294082</v>
      </c>
      <c r="R99" s="211">
        <f t="shared" si="87"/>
        <v>4.0084119176665913</v>
      </c>
      <c r="S99" s="211">
        <f t="shared" si="87"/>
        <v>3.9934897203593294</v>
      </c>
      <c r="T99" s="211">
        <f t="shared" si="87"/>
        <v>3.8688393566955561</v>
      </c>
      <c r="U99" s="211">
        <f t="shared" si="87"/>
        <v>3.8740447312609323</v>
      </c>
      <c r="V99" s="211">
        <f t="shared" si="87"/>
        <v>3.7888044754471975</v>
      </c>
      <c r="W99" s="211">
        <f t="shared" si="87"/>
        <v>3.34650969335594</v>
      </c>
      <c r="X99" s="211">
        <f t="shared" si="87"/>
        <v>3.2395378005344124</v>
      </c>
      <c r="Y99" s="211">
        <f t="shared" si="87"/>
        <v>3.5274253568941507</v>
      </c>
      <c r="Z99" s="211">
        <f t="shared" si="87"/>
        <v>3.3556212394871845</v>
      </c>
      <c r="AA99" s="211">
        <f t="shared" si="87"/>
        <v>3.2754282334321836</v>
      </c>
      <c r="AB99" s="211">
        <f t="shared" si="87"/>
        <v>3.4304365685566478</v>
      </c>
      <c r="AC99" s="211">
        <f t="shared" si="87"/>
        <v>3.9043670759789295</v>
      </c>
      <c r="AD99" s="211">
        <f t="shared" si="87"/>
        <v>4.0068110142315811</v>
      </c>
      <c r="AE99" s="211">
        <f t="shared" si="87"/>
        <v>3.5826918765413613</v>
      </c>
      <c r="AF99" s="211">
        <f t="shared" si="87"/>
        <v>3.7620471225697525</v>
      </c>
      <c r="AG99" s="211">
        <f t="shared" si="87"/>
        <v>4.2829631408332283</v>
      </c>
      <c r="AH99" s="211">
        <f t="shared" si="87"/>
        <v>3.9954015350198517</v>
      </c>
      <c r="AI99" s="211">
        <f t="shared" si="87"/>
        <v>3.5236562775619471</v>
      </c>
      <c r="AJ99" s="211">
        <f t="shared" si="87"/>
        <v>2.9992898363711311</v>
      </c>
      <c r="AK99" s="211">
        <f t="shared" si="87"/>
        <v>3.1155588598794997</v>
      </c>
      <c r="AL99" s="211">
        <f t="shared" si="87"/>
        <v>2.6340264841187273</v>
      </c>
      <c r="AM99" s="211">
        <f t="shared" ref="AM99:BL99" si="88">+AM95/AM97</f>
        <v>3.029848754367074</v>
      </c>
      <c r="AN99" s="211">
        <f t="shared" si="88"/>
        <v>2.5520515441337523</v>
      </c>
      <c r="AO99" s="211">
        <f t="shared" si="88"/>
        <v>3.372203936181835</v>
      </c>
      <c r="AP99" s="211">
        <f t="shared" si="88"/>
        <v>2.4981957552205674</v>
      </c>
      <c r="AQ99" s="211">
        <f t="shared" si="88"/>
        <v>2.6249489587586754</v>
      </c>
      <c r="AR99" s="211">
        <f t="shared" si="88"/>
        <v>3.065320301672156</v>
      </c>
      <c r="AS99" s="211">
        <f t="shared" si="88"/>
        <v>3.2162151114132698</v>
      </c>
      <c r="AT99" s="211">
        <f t="shared" si="88"/>
        <v>2.8440978812907183</v>
      </c>
      <c r="AU99" s="211">
        <f t="shared" si="88"/>
        <v>2.9570757450331131</v>
      </c>
      <c r="AV99" s="211">
        <f t="shared" si="88"/>
        <v>4.1774060305658809</v>
      </c>
      <c r="AW99" s="211">
        <f t="shared" si="88"/>
        <v>4.8862962320797898</v>
      </c>
      <c r="AX99" s="211">
        <f t="shared" si="88"/>
        <v>4.8868051239185277</v>
      </c>
      <c r="AY99" s="211">
        <f t="shared" si="88"/>
        <v>3.6283040009054428</v>
      </c>
      <c r="AZ99" s="211">
        <f t="shared" si="88"/>
        <v>5.4778220288936641</v>
      </c>
      <c r="BA99" s="211">
        <f t="shared" si="88"/>
        <v>3.8285679956210852</v>
      </c>
      <c r="BB99" s="211">
        <f t="shared" si="88"/>
        <v>3.2138042072134678</v>
      </c>
      <c r="BC99" s="211">
        <f t="shared" si="88"/>
        <v>2.7893777998226672</v>
      </c>
      <c r="BD99" s="211">
        <f t="shared" si="88"/>
        <v>3.3678548251055322</v>
      </c>
      <c r="BE99" s="211">
        <f t="shared" si="88"/>
        <v>3.3798548974613123</v>
      </c>
      <c r="BF99" s="211">
        <f t="shared" si="88"/>
        <v>4.97623782408479</v>
      </c>
      <c r="BG99" s="211">
        <f t="shared" si="88"/>
        <v>4.0303859932500261</v>
      </c>
      <c r="BH99" s="211">
        <f t="shared" si="88"/>
        <v>3.9520619782446587</v>
      </c>
      <c r="BI99" s="211">
        <f t="shared" si="88"/>
        <v>4.3027745710311551</v>
      </c>
      <c r="BJ99" s="211">
        <f t="shared" si="88"/>
        <v>3.6401152661442286</v>
      </c>
      <c r="BK99" s="211">
        <f t="shared" si="88"/>
        <v>4.3292887365898851</v>
      </c>
      <c r="BL99" s="211">
        <f t="shared" si="88"/>
        <v>4.5986012021078055</v>
      </c>
      <c r="BM99" s="211">
        <f t="shared" ref="BM99:BS99" si="89">+BM95/BM97</f>
        <v>5.7678538834370565</v>
      </c>
      <c r="BN99" s="211">
        <f t="shared" si="89"/>
        <v>6.1823956533936508</v>
      </c>
      <c r="BO99" s="211">
        <f t="shared" si="89"/>
        <v>6.0022220729664761</v>
      </c>
      <c r="BP99" s="211">
        <f t="shared" si="89"/>
        <v>5.3665193070230934</v>
      </c>
      <c r="BQ99" s="211">
        <f t="shared" si="89"/>
        <v>5.9982471413234775</v>
      </c>
      <c r="BR99" s="211">
        <f t="shared" si="89"/>
        <v>6.130620315356202</v>
      </c>
      <c r="BS99" s="211">
        <f t="shared" si="89"/>
        <v>5.7727858510983383</v>
      </c>
      <c r="BT99" s="87">
        <f>+BT95/BT97</f>
        <v>5.9160444075698333</v>
      </c>
      <c r="BU99" s="87">
        <f>+BU95/BU97</f>
        <v>6.3329520609910119</v>
      </c>
      <c r="BV99" s="55"/>
      <c r="BW99" s="113">
        <f t="shared" ref="BW99:CI99" si="90">+BW95/BW97</f>
        <v>2.3407066800273455</v>
      </c>
      <c r="BX99" s="113">
        <f t="shared" si="90"/>
        <v>1.9581474803074881</v>
      </c>
      <c r="BY99" s="113">
        <f t="shared" si="90"/>
        <v>4.2728902517177358</v>
      </c>
      <c r="BZ99" s="113">
        <f t="shared" si="90"/>
        <v>3.8169860768703661</v>
      </c>
      <c r="CA99" s="113">
        <f t="shared" si="90"/>
        <v>3.9934897203593307</v>
      </c>
      <c r="CB99" s="113">
        <f t="shared" si="90"/>
        <v>3.3465096933559408</v>
      </c>
      <c r="CC99" s="113">
        <f t="shared" si="90"/>
        <v>3.2754282334321831</v>
      </c>
      <c r="CD99" s="113">
        <f t="shared" si="90"/>
        <v>3.5826918765413645</v>
      </c>
      <c r="CE99" s="113">
        <f t="shared" si="90"/>
        <v>3.5236562775619431</v>
      </c>
      <c r="CF99" s="113">
        <f t="shared" si="90"/>
        <v>3.029510905727431</v>
      </c>
      <c r="CG99" s="113">
        <f t="shared" si="90"/>
        <v>2.6249489587586723</v>
      </c>
      <c r="CH99" s="113">
        <f t="shared" si="90"/>
        <v>2.9570757450331162</v>
      </c>
      <c r="CI99" s="113">
        <f t="shared" si="90"/>
        <v>3.6283040009054415</v>
      </c>
      <c r="CJ99" s="113">
        <f>BC99</f>
        <v>2.7893777998226672</v>
      </c>
      <c r="CK99" s="113">
        <f>BG99</f>
        <v>4.0303859932500261</v>
      </c>
      <c r="CL99" s="113">
        <f>BK99</f>
        <v>4.3292887365898851</v>
      </c>
      <c r="CM99" s="113">
        <f t="shared" si="59"/>
        <v>6.0022220729664761</v>
      </c>
      <c r="CN99" s="113">
        <f>BS99</f>
        <v>5.7727858510983383</v>
      </c>
      <c r="CO99" s="206"/>
      <c r="CP99" s="6"/>
    </row>
    <row r="100" spans="1:98" x14ac:dyDescent="0.35">
      <c r="B100" s="142" t="str">
        <f>IF(Control!$D$5=1,"Net Debt/EBITDA","Endividamento Liquido/EBITDA")</f>
        <v>Endividamento Liquido/EBITDA</v>
      </c>
      <c r="C100" s="210">
        <f>C96/C97</f>
        <v>2.0149090193948358</v>
      </c>
      <c r="D100" s="210" t="s">
        <v>2</v>
      </c>
      <c r="E100" s="210" t="s">
        <v>2</v>
      </c>
      <c r="F100" s="210" t="s">
        <v>2</v>
      </c>
      <c r="G100" s="210">
        <f t="shared" ref="G100:AL100" si="91">G96/G97</f>
        <v>1.3906059254390082</v>
      </c>
      <c r="H100" s="210">
        <f t="shared" si="91"/>
        <v>1.0954498060432249</v>
      </c>
      <c r="I100" s="210">
        <f t="shared" si="91"/>
        <v>1.5995047206314799</v>
      </c>
      <c r="J100" s="210">
        <f t="shared" si="91"/>
        <v>1.6772465798886393</v>
      </c>
      <c r="K100" s="210">
        <f t="shared" si="91"/>
        <v>2.1847200928021531</v>
      </c>
      <c r="L100" s="210">
        <f t="shared" si="91"/>
        <v>2.4071721966543933</v>
      </c>
      <c r="M100" s="210">
        <f t="shared" si="91"/>
        <v>2.9989602205592734</v>
      </c>
      <c r="N100" s="210">
        <f t="shared" si="91"/>
        <v>2.5252975433137239</v>
      </c>
      <c r="O100" s="210">
        <f t="shared" si="91"/>
        <v>2.4050210860182379</v>
      </c>
      <c r="P100" s="210">
        <f t="shared" si="91"/>
        <v>3.6989422070409321</v>
      </c>
      <c r="Q100" s="210">
        <f t="shared" si="91"/>
        <v>3.4006298151911856</v>
      </c>
      <c r="R100" s="210">
        <f t="shared" si="91"/>
        <v>2.26052403479641</v>
      </c>
      <c r="S100" s="210">
        <f t="shared" si="91"/>
        <v>1.9206568637768218</v>
      </c>
      <c r="T100" s="210">
        <f t="shared" si="91"/>
        <v>1.9884322536486627</v>
      </c>
      <c r="U100" s="210">
        <f t="shared" si="91"/>
        <v>2.4325377861856765</v>
      </c>
      <c r="V100" s="210">
        <f t="shared" si="91"/>
        <v>2.7387733959527578</v>
      </c>
      <c r="W100" s="210">
        <f t="shared" si="91"/>
        <v>1.9859346325541816</v>
      </c>
      <c r="X100" s="210">
        <f t="shared" si="91"/>
        <v>2.1935101500770626</v>
      </c>
      <c r="Y100" s="210">
        <f t="shared" si="91"/>
        <v>2.4897039301880222</v>
      </c>
      <c r="Z100" s="210">
        <f t="shared" si="91"/>
        <v>2.5280064711292334</v>
      </c>
      <c r="AA100" s="210">
        <f t="shared" si="91"/>
        <v>2.380298464514377</v>
      </c>
      <c r="AB100" s="210">
        <f t="shared" si="91"/>
        <v>2.4776829461464329</v>
      </c>
      <c r="AC100" s="210">
        <f t="shared" si="91"/>
        <v>2.5853192258120212</v>
      </c>
      <c r="AD100" s="210">
        <f t="shared" si="91"/>
        <v>2.8315744838735375</v>
      </c>
      <c r="AE100" s="210">
        <f t="shared" si="91"/>
        <v>2.487318945879589</v>
      </c>
      <c r="AF100" s="210">
        <f t="shared" si="91"/>
        <v>2.7367537168426512</v>
      </c>
      <c r="AG100" s="210">
        <f t="shared" si="91"/>
        <v>3.0650444898013598</v>
      </c>
      <c r="AH100" s="210">
        <f t="shared" si="91"/>
        <v>3.3744210702527688</v>
      </c>
      <c r="AI100" s="210">
        <f t="shared" si="91"/>
        <v>2.3600142819647645</v>
      </c>
      <c r="AJ100" s="210">
        <f t="shared" si="91"/>
        <v>2.2462430775848166</v>
      </c>
      <c r="AK100" s="210">
        <f t="shared" si="91"/>
        <v>2.4333964158813535</v>
      </c>
      <c r="AL100" s="210">
        <f t="shared" si="91"/>
        <v>2.1105404484230545</v>
      </c>
      <c r="AM100" s="210">
        <f t="shared" ref="AM100:BL100" si="92">AM96/AM97</f>
        <v>1.8543266708227377</v>
      </c>
      <c r="AN100" s="210">
        <f t="shared" si="92"/>
        <v>1.9609020223406584</v>
      </c>
      <c r="AO100" s="210">
        <f t="shared" si="92"/>
        <v>2.5040777755564316</v>
      </c>
      <c r="AP100" s="210">
        <f t="shared" si="92"/>
        <v>1.5875325618140677</v>
      </c>
      <c r="AQ100" s="210">
        <f t="shared" si="92"/>
        <v>1.1657819518170678</v>
      </c>
      <c r="AR100" s="210">
        <f t="shared" si="92"/>
        <v>1.3591896610688121</v>
      </c>
      <c r="AS100" s="210">
        <f t="shared" si="92"/>
        <v>1.7831286937850817</v>
      </c>
      <c r="AT100" s="210">
        <f t="shared" si="92"/>
        <v>1.8972964653978344</v>
      </c>
      <c r="AU100" s="210">
        <f t="shared" si="92"/>
        <v>2.1359685430463577</v>
      </c>
      <c r="AV100" s="210">
        <f t="shared" si="92"/>
        <v>2.1829822387443203</v>
      </c>
      <c r="AW100" s="210">
        <f t="shared" si="92"/>
        <v>2.9036597829955362</v>
      </c>
      <c r="AX100" s="210">
        <f t="shared" si="92"/>
        <v>3.7283103881042039</v>
      </c>
      <c r="AY100" s="210">
        <f t="shared" si="92"/>
        <v>2.3379276781166918</v>
      </c>
      <c r="AZ100" s="210">
        <f t="shared" si="92"/>
        <v>2.1536559983867969</v>
      </c>
      <c r="BA100" s="210">
        <f t="shared" si="92"/>
        <v>1.9685139118193746</v>
      </c>
      <c r="BB100" s="210">
        <f t="shared" si="92"/>
        <v>1.6741621662890014</v>
      </c>
      <c r="BC100" s="210">
        <f t="shared" si="92"/>
        <v>1.3728123213752348</v>
      </c>
      <c r="BD100" s="210">
        <f t="shared" si="92"/>
        <v>1.4520762086315933</v>
      </c>
      <c r="BE100" s="210">
        <f t="shared" si="92"/>
        <v>1.5774657337152784</v>
      </c>
      <c r="BF100" s="210">
        <f t="shared" si="92"/>
        <v>2.3416060498136813</v>
      </c>
      <c r="BG100" s="210">
        <f t="shared" si="92"/>
        <v>2.0174195245381159</v>
      </c>
      <c r="BH100" s="210">
        <f t="shared" si="92"/>
        <v>2.4102520508352083</v>
      </c>
      <c r="BI100" s="210">
        <f t="shared" si="92"/>
        <v>2.6426123061770359</v>
      </c>
      <c r="BJ100" s="210">
        <f t="shared" si="92"/>
        <v>2.8256184492029544</v>
      </c>
      <c r="BK100" s="210">
        <f t="shared" si="92"/>
        <v>2.9819574964015017</v>
      </c>
      <c r="BL100" s="210">
        <f t="shared" si="92"/>
        <v>3.5442909584825459</v>
      </c>
      <c r="BM100" s="210">
        <f t="shared" ref="BM100:BS100" si="93">BM96/BM97</f>
        <v>3.3988976995669171</v>
      </c>
      <c r="BN100" s="210">
        <f t="shared" si="93"/>
        <v>4.345406288952077</v>
      </c>
      <c r="BO100" s="210">
        <f t="shared" si="93"/>
        <v>2.9221400878626618</v>
      </c>
      <c r="BP100" s="210">
        <f t="shared" si="93"/>
        <v>3.2619641641279755</v>
      </c>
      <c r="BQ100" s="210">
        <f t="shared" si="93"/>
        <v>3.4505948618086877</v>
      </c>
      <c r="BR100" s="210">
        <f t="shared" si="93"/>
        <v>4.2223623695287786</v>
      </c>
      <c r="BS100" s="210">
        <f t="shared" si="93"/>
        <v>2.9655956716623821</v>
      </c>
      <c r="BT100" s="240">
        <f>BT96/BT97</f>
        <v>4.0810917895663668</v>
      </c>
      <c r="BU100" s="240">
        <f>BU96/BU97</f>
        <v>4.0823336223307027</v>
      </c>
      <c r="BV100" s="55"/>
      <c r="BW100" s="143">
        <f t="shared" ref="BW100:CI100" si="94">BW96/BW97</f>
        <v>2.0149090193948358</v>
      </c>
      <c r="BX100" s="143">
        <f t="shared" si="94"/>
        <v>1.4053869697257284</v>
      </c>
      <c r="BY100" s="143">
        <f t="shared" si="94"/>
        <v>2.1847200928021566</v>
      </c>
      <c r="BZ100" s="143">
        <f t="shared" si="94"/>
        <v>2.4050210860182379</v>
      </c>
      <c r="CA100" s="143">
        <f t="shared" si="94"/>
        <v>1.9206568637768224</v>
      </c>
      <c r="CB100" s="143">
        <f t="shared" si="94"/>
        <v>1.9859346325541822</v>
      </c>
      <c r="CC100" s="143">
        <f t="shared" si="94"/>
        <v>2.3802984645143765</v>
      </c>
      <c r="CD100" s="143">
        <f t="shared" si="94"/>
        <v>2.4873189458795912</v>
      </c>
      <c r="CE100" s="143">
        <f t="shared" si="94"/>
        <v>2.3600142819647618</v>
      </c>
      <c r="CF100" s="143">
        <f t="shared" si="94"/>
        <v>1.854119900850379</v>
      </c>
      <c r="CG100" s="143">
        <f t="shared" si="94"/>
        <v>1.1657819518170662</v>
      </c>
      <c r="CH100" s="143">
        <f t="shared" si="94"/>
        <v>2.1359685430463604</v>
      </c>
      <c r="CI100" s="143">
        <f t="shared" si="94"/>
        <v>2.3379276781166909</v>
      </c>
      <c r="CJ100" s="143">
        <f>BC100</f>
        <v>1.3728123213752348</v>
      </c>
      <c r="CK100" s="143">
        <f>BG100</f>
        <v>2.0174195245381159</v>
      </c>
      <c r="CL100" s="143">
        <f>BK100</f>
        <v>2.9819574964015017</v>
      </c>
      <c r="CM100" s="143">
        <f t="shared" si="59"/>
        <v>2.9221400878626618</v>
      </c>
      <c r="CN100" s="143">
        <f>BS100</f>
        <v>2.9655956716623821</v>
      </c>
      <c r="CO100" s="206"/>
      <c r="CP100" s="6"/>
    </row>
    <row r="101" spans="1:98" x14ac:dyDescent="0.35">
      <c r="BT101" s="153"/>
      <c r="BU101" s="153"/>
      <c r="BV101" s="55"/>
    </row>
    <row r="102" spans="1:98" s="6" customFormat="1" x14ac:dyDescent="0.35">
      <c r="A102" s="5"/>
      <c r="B102" s="42" t="str">
        <f>IF(Control!$D$5=1,"Working Capital","Capital de Giro")</f>
        <v>Capital de Giro</v>
      </c>
      <c r="C102" s="131">
        <f>+C108+C110+C106+C114-C112-C115</f>
        <v>172.67700000000002</v>
      </c>
      <c r="D102" s="154" t="s">
        <v>2</v>
      </c>
      <c r="E102" s="154" t="s">
        <v>2</v>
      </c>
      <c r="F102" s="154" t="s">
        <v>2</v>
      </c>
      <c r="G102" s="131">
        <f t="shared" ref="G102:AP102" si="95">+G108+G110+G106+G114-G112-G115</f>
        <v>226.24299999999999</v>
      </c>
      <c r="H102" s="131">
        <f t="shared" si="95"/>
        <v>178.49100000000004</v>
      </c>
      <c r="I102" s="131">
        <f t="shared" si="95"/>
        <v>226.09299999999996</v>
      </c>
      <c r="J102" s="131">
        <f t="shared" si="95"/>
        <v>183.40399999999997</v>
      </c>
      <c r="K102" s="131">
        <f t="shared" si="95"/>
        <v>224.34599999999998</v>
      </c>
      <c r="L102" s="131">
        <f t="shared" si="95"/>
        <v>268.714</v>
      </c>
      <c r="M102" s="131">
        <f t="shared" si="95"/>
        <v>330.52000000000004</v>
      </c>
      <c r="N102" s="131">
        <f t="shared" si="95"/>
        <v>300.18</v>
      </c>
      <c r="O102" s="131">
        <f t="shared" si="95"/>
        <v>250.6160000000001</v>
      </c>
      <c r="P102" s="131">
        <f t="shared" si="95"/>
        <v>393.55000000000018</v>
      </c>
      <c r="Q102" s="131">
        <f t="shared" si="95"/>
        <v>465.38599999999997</v>
      </c>
      <c r="R102" s="131">
        <f t="shared" si="95"/>
        <v>471.22699999999998</v>
      </c>
      <c r="S102" s="131">
        <f t="shared" si="95"/>
        <v>447.90300000000002</v>
      </c>
      <c r="T102" s="131">
        <f t="shared" si="95"/>
        <v>530.58400000000006</v>
      </c>
      <c r="U102" s="131">
        <f t="shared" si="95"/>
        <v>713.15299999999979</v>
      </c>
      <c r="V102" s="131">
        <f t="shared" si="95"/>
        <v>699.976</v>
      </c>
      <c r="W102" s="131">
        <f t="shared" si="95"/>
        <v>524.6160000000001</v>
      </c>
      <c r="X102" s="131">
        <f t="shared" si="95"/>
        <v>680.08199999999988</v>
      </c>
      <c r="Y102" s="131">
        <f t="shared" si="95"/>
        <v>860.01199999999994</v>
      </c>
      <c r="Z102" s="131">
        <f t="shared" si="95"/>
        <v>803.4369999999999</v>
      </c>
      <c r="AA102" s="131">
        <f t="shared" si="95"/>
        <v>739.88400000000001</v>
      </c>
      <c r="AB102" s="131">
        <f t="shared" si="95"/>
        <v>813.10900000000004</v>
      </c>
      <c r="AC102" s="131">
        <f t="shared" si="95"/>
        <v>916.29300000000012</v>
      </c>
      <c r="AD102" s="131">
        <f t="shared" si="95"/>
        <v>933.98800000000006</v>
      </c>
      <c r="AE102" s="131">
        <f t="shared" si="95"/>
        <v>764.077</v>
      </c>
      <c r="AF102" s="131">
        <f t="shared" si="95"/>
        <v>898.89799999999991</v>
      </c>
      <c r="AG102" s="131">
        <f t="shared" si="95"/>
        <v>1077.123</v>
      </c>
      <c r="AH102" s="131">
        <f t="shared" si="95"/>
        <v>1315.0249999999999</v>
      </c>
      <c r="AI102" s="131">
        <f t="shared" si="95"/>
        <v>1049.01</v>
      </c>
      <c r="AJ102" s="131">
        <f t="shared" si="95"/>
        <v>1079.8220000000001</v>
      </c>
      <c r="AK102" s="131">
        <f t="shared" si="95"/>
        <v>1376.6309999999999</v>
      </c>
      <c r="AL102" s="131">
        <f t="shared" si="95"/>
        <v>1341.5530000000001</v>
      </c>
      <c r="AM102" s="131">
        <f t="shared" si="95"/>
        <v>1149.0000000000002</v>
      </c>
      <c r="AN102" s="131">
        <f t="shared" si="95"/>
        <v>1191.7999999999997</v>
      </c>
      <c r="AO102" s="131">
        <f t="shared" si="95"/>
        <v>1390.2869999999998</v>
      </c>
      <c r="AP102" s="131">
        <f t="shared" si="95"/>
        <v>1339.5179999999998</v>
      </c>
      <c r="AQ102" s="131">
        <f t="shared" ref="AQ102:AV102" si="96">+AQ108+AQ110+AQ106+AQ114-AQ112-AQ115</f>
        <v>1127.8</v>
      </c>
      <c r="AR102" s="131">
        <f t="shared" si="96"/>
        <v>1188.3999999999996</v>
      </c>
      <c r="AS102" s="131">
        <f t="shared" si="96"/>
        <v>1469.3000000000004</v>
      </c>
      <c r="AT102" s="131">
        <f t="shared" si="96"/>
        <v>1686.7</v>
      </c>
      <c r="AU102" s="131">
        <f t="shared" si="96"/>
        <v>1518.0240000000003</v>
      </c>
      <c r="AV102" s="131">
        <f t="shared" si="96"/>
        <v>1546.0410000000002</v>
      </c>
      <c r="AW102" s="131">
        <f>+AW108+AW110+AW106+AW114-AW112-AW115</f>
        <v>1738.866</v>
      </c>
      <c r="AX102" s="131">
        <f t="shared" ref="AX102:BE102" si="97">+AX108+AX110+AX106+AX114-AX112-AX115</f>
        <v>1932.8129999999996</v>
      </c>
      <c r="AY102" s="131">
        <f t="shared" si="97"/>
        <v>1502.606</v>
      </c>
      <c r="AZ102" s="131">
        <f t="shared" si="97"/>
        <v>1921.7120000000004</v>
      </c>
      <c r="BA102" s="131">
        <f t="shared" si="97"/>
        <v>2141.2640000000001</v>
      </c>
      <c r="BB102" s="131">
        <f t="shared" si="97"/>
        <v>2170.3900000000003</v>
      </c>
      <c r="BC102" s="131">
        <f t="shared" si="97"/>
        <v>1825.4109999999996</v>
      </c>
      <c r="BD102" s="131">
        <f t="shared" si="97"/>
        <v>1875.4549999999992</v>
      </c>
      <c r="BE102" s="131">
        <f t="shared" si="97"/>
        <v>1987.2109999999996</v>
      </c>
      <c r="BF102" s="131">
        <f>+BF108+BF110+BF106+BF114-BF112-BF115</f>
        <v>2019.3260000000005</v>
      </c>
      <c r="BG102" s="131">
        <f t="shared" ref="BG102:BN102" si="98">+BG108+BG110+BG106+BG114-BG112-BG115</f>
        <v>1878.7339999999997</v>
      </c>
      <c r="BH102" s="131">
        <f t="shared" si="98"/>
        <v>2232.4160000000002</v>
      </c>
      <c r="BI102" s="131">
        <f t="shared" si="98"/>
        <v>2427.065461319999</v>
      </c>
      <c r="BJ102" s="131">
        <f t="shared" si="98"/>
        <v>2693.4943259604061</v>
      </c>
      <c r="BK102" s="131">
        <f t="shared" si="98"/>
        <v>2490.2129999999997</v>
      </c>
      <c r="BL102" s="131">
        <f t="shared" si="98"/>
        <v>2841.1214938436492</v>
      </c>
      <c r="BM102" s="131">
        <f t="shared" si="98"/>
        <v>2661.3338188703842</v>
      </c>
      <c r="BN102" s="131">
        <f t="shared" si="98"/>
        <v>3212.2020000000011</v>
      </c>
      <c r="BO102" s="131">
        <f t="shared" ref="BO102:BS102" si="99">+BO108+BO110+BO106+BO114-BO112-BO115</f>
        <v>2328.3180000000002</v>
      </c>
      <c r="BP102" s="131">
        <f t="shared" si="99"/>
        <v>2894.4615982589689</v>
      </c>
      <c r="BQ102" s="131">
        <f t="shared" si="99"/>
        <v>3472.978000000001</v>
      </c>
      <c r="BR102" s="131">
        <f t="shared" si="99"/>
        <v>3696.7809999999995</v>
      </c>
      <c r="BS102" s="131">
        <f t="shared" si="99"/>
        <v>2072.6050000000005</v>
      </c>
      <c r="BT102" s="131">
        <f>+BT108+BT110+BT106+BT114-BT112-BT115</f>
        <v>2962.7210000000005</v>
      </c>
      <c r="BU102" s="131">
        <f>+BU108+BU110+BU106+BU114-BU112-BU115</f>
        <v>2728.855</v>
      </c>
      <c r="BV102" s="55"/>
      <c r="BW102" s="131">
        <f t="shared" ref="BW102:CE102" si="100">+BW108+BW110+BW106+BW114-BW112-BW115</f>
        <v>172.67700000000002</v>
      </c>
      <c r="BX102" s="131">
        <f t="shared" si="100"/>
        <v>226.24299999999999</v>
      </c>
      <c r="BY102" s="131">
        <f t="shared" si="100"/>
        <v>224.34599999999998</v>
      </c>
      <c r="BZ102" s="131">
        <f t="shared" si="100"/>
        <v>250.6160000000001</v>
      </c>
      <c r="CA102" s="131">
        <f t="shared" si="100"/>
        <v>447.90300000000002</v>
      </c>
      <c r="CB102" s="131">
        <f t="shared" si="100"/>
        <v>524.6160000000001</v>
      </c>
      <c r="CC102" s="131">
        <f t="shared" si="100"/>
        <v>739.88400000000001</v>
      </c>
      <c r="CD102" s="131">
        <f t="shared" si="100"/>
        <v>764.077</v>
      </c>
      <c r="CE102" s="131">
        <f t="shared" si="100"/>
        <v>1049.01</v>
      </c>
      <c r="CF102" s="131">
        <f>+CF108+CF110+CF106+CF114-CF112-CF115</f>
        <v>1149.0000000000002</v>
      </c>
      <c r="CG102" s="131">
        <f>+CG108+CG110+CG106+CG114-CG112-CG115</f>
        <v>1127.8</v>
      </c>
      <c r="CH102" s="131">
        <f>+CH108+CH110+CH106+CH114-CH112-CH115</f>
        <v>1518.0240000000003</v>
      </c>
      <c r="CI102" s="131">
        <f>+CI108+CI110+CI106+CI114-CI112-CI115</f>
        <v>1502.606</v>
      </c>
      <c r="CJ102" s="131">
        <f t="shared" ref="CJ102:CJ115" si="101">BC102</f>
        <v>1825.4109999999996</v>
      </c>
      <c r="CK102" s="131">
        <f t="shared" ref="CK102:CK115" si="102">BG102</f>
        <v>1878.7339999999997</v>
      </c>
      <c r="CL102" s="131">
        <f t="shared" ref="CL102:CL115" si="103">BK102</f>
        <v>2490.2129999999997</v>
      </c>
      <c r="CM102" s="131">
        <f t="shared" si="59"/>
        <v>2328.3180000000002</v>
      </c>
      <c r="CN102" s="131">
        <f t="shared" ref="CN102:CN115" si="104">BS102</f>
        <v>2072.6050000000005</v>
      </c>
      <c r="CO102" s="206"/>
    </row>
    <row r="103" spans="1:98" s="6" customFormat="1" x14ac:dyDescent="0.35">
      <c r="A103" s="161"/>
      <c r="B103" s="32" t="str">
        <f>IF(Control!$D$5=1,"Days","Dias")</f>
        <v>Dias</v>
      </c>
      <c r="C103" s="132">
        <f>+C102/C104*365</f>
        <v>72.922042836581412</v>
      </c>
      <c r="D103" s="155" t="s">
        <v>2</v>
      </c>
      <c r="E103" s="155" t="s">
        <v>2</v>
      </c>
      <c r="F103" s="155" t="s">
        <v>2</v>
      </c>
      <c r="G103" s="132">
        <f>+G102/G104*365</f>
        <v>54.571470393286901</v>
      </c>
      <c r="H103" s="132">
        <f t="shared" ref="H103:BN103" si="105">+H102/H104*365</f>
        <v>41.393595891977625</v>
      </c>
      <c r="I103" s="132">
        <f t="shared" si="105"/>
        <v>55.514483394213357</v>
      </c>
      <c r="J103" s="132">
        <f t="shared" si="105"/>
        <v>49.673623488660958</v>
      </c>
      <c r="K103" s="132">
        <f t="shared" si="105"/>
        <v>62.35862440800792</v>
      </c>
      <c r="L103" s="132">
        <f t="shared" si="105"/>
        <v>74.992973275508774</v>
      </c>
      <c r="M103" s="132">
        <f t="shared" si="105"/>
        <v>89.651559244143371</v>
      </c>
      <c r="N103" s="132">
        <f t="shared" si="105"/>
        <v>77.876172239825664</v>
      </c>
      <c r="O103" s="132">
        <f t="shared" si="105"/>
        <v>65.027318985948838</v>
      </c>
      <c r="P103" s="132">
        <f t="shared" si="105"/>
        <v>101.06090709156894</v>
      </c>
      <c r="Q103" s="132">
        <f t="shared" si="105"/>
        <v>114.42872165063736</v>
      </c>
      <c r="R103" s="132">
        <f t="shared" si="105"/>
        <v>106.43003530179789</v>
      </c>
      <c r="S103" s="132">
        <f t="shared" si="105"/>
        <v>91.652807194778603</v>
      </c>
      <c r="T103" s="132">
        <f t="shared" si="105"/>
        <v>96.917545863180635</v>
      </c>
      <c r="U103" s="132">
        <f t="shared" si="105"/>
        <v>119.63520572776387</v>
      </c>
      <c r="V103" s="132">
        <f t="shared" si="105"/>
        <v>102.24086853694504</v>
      </c>
      <c r="W103" s="132">
        <f t="shared" si="105"/>
        <v>68.973297116183659</v>
      </c>
      <c r="X103" s="132">
        <f t="shared" si="105"/>
        <v>81.546184824711617</v>
      </c>
      <c r="Y103" s="132">
        <f t="shared" si="105"/>
        <v>94.167481383507692</v>
      </c>
      <c r="Z103" s="132">
        <f t="shared" si="105"/>
        <v>85.451150374813736</v>
      </c>
      <c r="AA103" s="132">
        <f t="shared" si="105"/>
        <v>75.402180556366034</v>
      </c>
      <c r="AB103" s="132">
        <f t="shared" si="105"/>
        <v>81.230070516132997</v>
      </c>
      <c r="AC103" s="132">
        <f t="shared" si="105"/>
        <v>91.475320720409272</v>
      </c>
      <c r="AD103" s="132">
        <f t="shared" si="105"/>
        <v>92.829589304595586</v>
      </c>
      <c r="AE103" s="132">
        <f t="shared" si="105"/>
        <v>75.871775039977905</v>
      </c>
      <c r="AF103" s="132">
        <f t="shared" si="105"/>
        <v>88.379622284314948</v>
      </c>
      <c r="AG103" s="132">
        <f t="shared" si="105"/>
        <v>102.34278085571241</v>
      </c>
      <c r="AH103" s="132">
        <f t="shared" si="105"/>
        <v>118.37955838031672</v>
      </c>
      <c r="AI103" s="132">
        <f t="shared" si="105"/>
        <v>90.539907196799959</v>
      </c>
      <c r="AJ103" s="132">
        <f t="shared" si="105"/>
        <v>89.506490858023199</v>
      </c>
      <c r="AK103" s="132">
        <f t="shared" si="105"/>
        <v>108.01121125876497</v>
      </c>
      <c r="AL103" s="132">
        <f t="shared" si="105"/>
        <v>102.34770750276007</v>
      </c>
      <c r="AM103" s="132">
        <f t="shared" si="105"/>
        <v>84.763113589464282</v>
      </c>
      <c r="AN103" s="132">
        <f t="shared" si="105"/>
        <v>86.361084376002552</v>
      </c>
      <c r="AO103" s="132">
        <f t="shared" si="105"/>
        <v>103.0179657020077</v>
      </c>
      <c r="AP103" s="132">
        <f t="shared" si="105"/>
        <v>101.67030747255566</v>
      </c>
      <c r="AQ103" s="132">
        <f t="shared" si="105"/>
        <v>88.279433840874972</v>
      </c>
      <c r="AR103" s="132">
        <f t="shared" si="105"/>
        <v>97.654553596132757</v>
      </c>
      <c r="AS103" s="132">
        <f t="shared" si="105"/>
        <v>121.18127078269943</v>
      </c>
      <c r="AT103" s="132">
        <f t="shared" si="105"/>
        <v>135.80835847933233</v>
      </c>
      <c r="AU103" s="132">
        <f t="shared" si="105"/>
        <v>116.67763645552563</v>
      </c>
      <c r="AV103" s="132">
        <f t="shared" si="105"/>
        <v>113.28012947907258</v>
      </c>
      <c r="AW103" s="132">
        <f t="shared" si="105"/>
        <v>125.44554502411822</v>
      </c>
      <c r="AX103" s="132">
        <f t="shared" si="105"/>
        <v>134.73159836093745</v>
      </c>
      <c r="AY103" s="132">
        <f t="shared" si="105"/>
        <v>101.63872325954837</v>
      </c>
      <c r="AZ103" s="132">
        <f t="shared" si="105"/>
        <v>119.12849405287295</v>
      </c>
      <c r="BA103" s="132">
        <f t="shared" si="105"/>
        <v>118.83210364812527</v>
      </c>
      <c r="BB103" s="132">
        <f t="shared" si="105"/>
        <v>111.14849815252836</v>
      </c>
      <c r="BC103" s="132">
        <f t="shared" si="105"/>
        <v>89.241480862973461</v>
      </c>
      <c r="BD103" s="132">
        <f t="shared" si="105"/>
        <v>85.63017736160252</v>
      </c>
      <c r="BE103" s="132">
        <f t="shared" si="105"/>
        <v>87.388621102106868</v>
      </c>
      <c r="BF103" s="132">
        <f t="shared" si="105"/>
        <v>85.91162870338546</v>
      </c>
      <c r="BG103" s="132">
        <f t="shared" si="105"/>
        <v>76.059160928715627</v>
      </c>
      <c r="BH103" s="132">
        <f t="shared" si="105"/>
        <v>89.000990900146292</v>
      </c>
      <c r="BI103" s="132">
        <f t="shared" si="105"/>
        <v>91.960093556941061</v>
      </c>
      <c r="BJ103" s="132">
        <f t="shared" si="105"/>
        <v>98.702863370754471</v>
      </c>
      <c r="BK103" s="132">
        <f t="shared" si="105"/>
        <v>89.062609132416142</v>
      </c>
      <c r="BL103" s="132">
        <f t="shared" si="105"/>
        <v>99.113050868424352</v>
      </c>
      <c r="BM103" s="132">
        <f t="shared" si="105"/>
        <v>90.986930144279768</v>
      </c>
      <c r="BN103" s="132">
        <f t="shared" si="105"/>
        <v>105.82133494680008</v>
      </c>
      <c r="BO103" s="132">
        <f t="shared" ref="BO103:BT103" si="106">+BO102/BO104*365</f>
        <v>75.543344177563441</v>
      </c>
      <c r="BP103" s="132">
        <f t="shared" si="106"/>
        <v>91.905750365173986</v>
      </c>
      <c r="BQ103" s="132">
        <f t="shared" si="106"/>
        <v>107.00005817316061</v>
      </c>
      <c r="BR103" s="132">
        <f t="shared" si="106"/>
        <v>112.93196930716674</v>
      </c>
      <c r="BS103" s="132">
        <f t="shared" si="106"/>
        <v>61.69000670191614</v>
      </c>
      <c r="BT103" s="132">
        <f t="shared" si="106"/>
        <v>89.737435020027192</v>
      </c>
      <c r="BU103" s="132">
        <f t="shared" ref="BU103" si="107">+BU102/BU104*365</f>
        <v>84.63367671180545</v>
      </c>
      <c r="BV103" s="55"/>
      <c r="BW103" s="132">
        <f>+BW102/BW104*365</f>
        <v>72.922042836581412</v>
      </c>
      <c r="BX103" s="132">
        <f t="shared" ref="BX103:CL103" si="108">+BX102/BX104*365</f>
        <v>54.571470393286901</v>
      </c>
      <c r="BY103" s="132">
        <f t="shared" si="108"/>
        <v>62.35862440800792</v>
      </c>
      <c r="BZ103" s="132">
        <f t="shared" si="108"/>
        <v>65.027318985948824</v>
      </c>
      <c r="CA103" s="132">
        <f t="shared" si="108"/>
        <v>91.652807194778603</v>
      </c>
      <c r="CB103" s="132">
        <f t="shared" si="108"/>
        <v>68.973297116183659</v>
      </c>
      <c r="CC103" s="132">
        <f t="shared" si="108"/>
        <v>75.402180556366034</v>
      </c>
      <c r="CD103" s="132">
        <f t="shared" si="108"/>
        <v>75.871775039977905</v>
      </c>
      <c r="CE103" s="132">
        <f t="shared" si="108"/>
        <v>90.539907196799959</v>
      </c>
      <c r="CF103" s="132">
        <f t="shared" si="108"/>
        <v>84.762068567568875</v>
      </c>
      <c r="CG103" s="132">
        <f t="shared" si="108"/>
        <v>88.279433840874958</v>
      </c>
      <c r="CH103" s="132">
        <f t="shared" si="108"/>
        <v>116.67763645552564</v>
      </c>
      <c r="CI103" s="132">
        <f t="shared" si="108"/>
        <v>101.63872325954837</v>
      </c>
      <c r="CJ103" s="132">
        <f t="shared" si="108"/>
        <v>89.241480862973461</v>
      </c>
      <c r="CK103" s="132">
        <f t="shared" si="108"/>
        <v>76.059160928715627</v>
      </c>
      <c r="CL103" s="132">
        <f t="shared" si="108"/>
        <v>89.062609132416142</v>
      </c>
      <c r="CM103" s="132">
        <f t="shared" si="59"/>
        <v>75.543344177563441</v>
      </c>
      <c r="CN103" s="132">
        <f t="shared" si="104"/>
        <v>61.69000670191614</v>
      </c>
      <c r="CO103" s="206"/>
    </row>
    <row r="104" spans="1:98" x14ac:dyDescent="0.35">
      <c r="B104" s="40" t="str">
        <f>IF(Control!$D$5=1,"Net Revenues LTM","Receita Líquida UDM")</f>
        <v>Receita Líquida UDM</v>
      </c>
      <c r="C104" s="133">
        <f>BW104</f>
        <v>864.30799999999999</v>
      </c>
      <c r="D104" s="156" t="s">
        <v>2</v>
      </c>
      <c r="E104" s="156" t="s">
        <v>2</v>
      </c>
      <c r="F104" s="156" t="s">
        <v>2</v>
      </c>
      <c r="G104" s="133">
        <f>SUM('P&amp;L'!D13:G13)</f>
        <v>1513.221</v>
      </c>
      <c r="H104" s="133">
        <f>SUM('P&amp;L'!E13:H13)</f>
        <v>1573.896</v>
      </c>
      <c r="I104" s="133">
        <f>SUM('P&amp;L'!F13:I13)</f>
        <v>1486.53</v>
      </c>
      <c r="J104" s="133">
        <f>SUM('P&amp;L'!G13:J13)</f>
        <v>1347.646</v>
      </c>
      <c r="K104" s="133">
        <f>SUM('P&amp;L'!H13:K13)</f>
        <v>1313.1509999999998</v>
      </c>
      <c r="L104" s="133">
        <f>SUM('P&amp;L'!I13:L13)</f>
        <v>1307.864</v>
      </c>
      <c r="M104" s="133">
        <f>SUM('P&amp;L'!J13:M13)</f>
        <v>1345.652</v>
      </c>
      <c r="N104" s="133">
        <f>SUM('P&amp;L'!K13:N13)</f>
        <v>1406.922</v>
      </c>
      <c r="O104" s="133">
        <f>SUM('P&amp;L'!L13:O13)</f>
        <v>1406.7139999999999</v>
      </c>
      <c r="P104" s="133">
        <f>SUM('P&amp;L'!M13:P13)</f>
        <v>1421.3780000000002</v>
      </c>
      <c r="Q104" s="133">
        <f>SUM('P&amp;L'!N13:Q13)</f>
        <v>1484.4690000000001</v>
      </c>
      <c r="R104" s="133">
        <f>SUM('P&amp;L'!O13:R13)</f>
        <v>1616.0649999999998</v>
      </c>
      <c r="S104" s="133">
        <f>SUM('P&amp;L'!P13:S13)</f>
        <v>1783.7380000000001</v>
      </c>
      <c r="T104" s="133">
        <f>SUM('P&amp;L'!Q13:T13)</f>
        <v>1998.2260000000001</v>
      </c>
      <c r="U104" s="133">
        <f>SUM('P&amp;L'!R13:U13)</f>
        <v>2175.788</v>
      </c>
      <c r="V104" s="133">
        <f>SUM('P&amp;L'!S13:V13)</f>
        <v>2498.915</v>
      </c>
      <c r="W104" s="133">
        <f>SUM('P&amp;L'!T13:W13)</f>
        <v>2776.2169999999996</v>
      </c>
      <c r="X104" s="133">
        <f>SUM('P&amp;L'!U13:X13)</f>
        <v>3044.0409999999997</v>
      </c>
      <c r="Y104" s="133">
        <f>SUM('P&amp;L'!V13:Y13)</f>
        <v>3333.4689999999996</v>
      </c>
      <c r="Z104" s="133">
        <f>SUM('P&amp;L'!W13:Z13)</f>
        <v>3431.8379999999997</v>
      </c>
      <c r="AA104" s="133">
        <f>SUM('P&amp;L'!X13:AA13)</f>
        <v>3581.5629999999996</v>
      </c>
      <c r="AB104" s="133">
        <f>SUM('P&amp;L'!Y13:AB13)</f>
        <v>3653.6319999999996</v>
      </c>
      <c r="AC104" s="133">
        <f>SUM('P&amp;L'!Z13:AC13)</f>
        <v>3656.1439999999998</v>
      </c>
      <c r="AD104" s="133">
        <f>SUM('P&amp;L'!AA13:AD13)</f>
        <v>3672.3809999999999</v>
      </c>
      <c r="AE104" s="133">
        <f>SUM('P&amp;L'!AB13:AE13)</f>
        <v>3675.7819999999997</v>
      </c>
      <c r="AF104" s="133">
        <f>SUM('P&amp;L'!AC13:AF13)</f>
        <v>3712.3689999999997</v>
      </c>
      <c r="AG104" s="133">
        <f>SUM('P&amp;L'!AD13:AG13)</f>
        <v>3841.5009999999997</v>
      </c>
      <c r="AH104" s="133">
        <f>SUM('P&amp;L'!AE13:AH13)</f>
        <v>4054.6200000000008</v>
      </c>
      <c r="AI104" s="133">
        <f>SUM('P&amp;L'!AF13:AI13)</f>
        <v>4228.9490000000005</v>
      </c>
      <c r="AJ104" s="133">
        <f>SUM('P&amp;L'!AG13:AJ13)</f>
        <v>4403.4240000000009</v>
      </c>
      <c r="AK104" s="133">
        <f>SUM('P&amp;L'!AH13:AK13)</f>
        <v>4652.0200000000004</v>
      </c>
      <c r="AL104" s="133">
        <f>SUM('P&amp;L'!AI13:AL13)</f>
        <v>4784.3459999999995</v>
      </c>
      <c r="AM104" s="133">
        <f>SUM('P&amp;L'!AJ13:AM13)</f>
        <v>4947.7299999999996</v>
      </c>
      <c r="AN104" s="133">
        <f>SUM('P&amp;L'!AK13:AN13)</f>
        <v>5037.0719999999992</v>
      </c>
      <c r="AO104" s="133">
        <f>SUM('P&amp;L'!AL13:AO13)</f>
        <v>4925.8860000000004</v>
      </c>
      <c r="AP104" s="133">
        <f>SUM('P&amp;L'!AM13:AP13)</f>
        <v>4808.9169999999995</v>
      </c>
      <c r="AQ104" s="133">
        <f>SUM('P&amp;L'!AN13:AQ13)</f>
        <v>4663</v>
      </c>
      <c r="AR104" s="133">
        <f>SUM('P&amp;L'!AO13:AR13)</f>
        <v>4441.8409999999994</v>
      </c>
      <c r="AS104" s="133">
        <f>SUM('P&amp;L'!AP13:AS13)</f>
        <v>4425.5560000000005</v>
      </c>
      <c r="AT104" s="133">
        <f>SUM('P&amp;L'!AQ13:AT13)</f>
        <v>4533.1930000000002</v>
      </c>
      <c r="AU104" s="133">
        <f>SUM('P&amp;L'!AR13:AU13)</f>
        <v>4748.8</v>
      </c>
      <c r="AV104" s="133">
        <f>SUM('P&amp;L'!AS13:AV13)</f>
        <v>4981.5</v>
      </c>
      <c r="AW104" s="133">
        <f>SUM('P&amp;L'!AT13:AW13)</f>
        <v>5059.4549999999999</v>
      </c>
      <c r="AX104" s="133">
        <f>SUM('P&amp;L'!AU13:AX13)</f>
        <v>5236.1640000000007</v>
      </c>
      <c r="AY104" s="133">
        <f>SUM('P&amp;L'!AV13:AY13)</f>
        <v>5396.0849999999991</v>
      </c>
      <c r="AZ104" s="133">
        <f>SUM('P&amp;L'!AW13:AZ13)</f>
        <v>5887.9689999999991</v>
      </c>
      <c r="BA104" s="133">
        <f>SUM('P&amp;L'!AX13:BA13)</f>
        <v>6577.021999999999</v>
      </c>
      <c r="BB104" s="133">
        <f>SUM('P&amp;L'!AY13:BB13)</f>
        <v>7127.3329209800004</v>
      </c>
      <c r="BC104" s="133">
        <f>SUM('P&amp;L'!AZ13:BC13)</f>
        <v>7465.9789209800001</v>
      </c>
      <c r="BD104" s="133">
        <f>SUM('P&amp;L'!BA13:BD13)</f>
        <v>7994.15692098</v>
      </c>
      <c r="BE104" s="133">
        <f>SUM('P&amp;L'!BB13:BE13)</f>
        <v>8300.0739209800013</v>
      </c>
      <c r="BF104" s="133">
        <f>SUM('P&amp;L'!BC13:BF13)</f>
        <v>8579.2109999999993</v>
      </c>
      <c r="BG104" s="133">
        <f>SUM('P&amp;L'!BD13:BG13)</f>
        <v>9015.8490000000002</v>
      </c>
      <c r="BH104" s="133">
        <f>SUM('P&amp;L'!BE13:BH13)</f>
        <v>9155.3119999999999</v>
      </c>
      <c r="BI104" s="133">
        <f>SUM('P&amp;L'!BF13:BI13)</f>
        <v>9633.2970000000005</v>
      </c>
      <c r="BJ104" s="133">
        <f>SUM('P&amp;L'!BG13:BJ13)</f>
        <v>9960.4549999999999</v>
      </c>
      <c r="BK104" s="133">
        <f>SUM('P&amp;L'!BH13:BK13)</f>
        <v>10205.492</v>
      </c>
      <c r="BL104" s="133">
        <f>SUM('P&amp;L'!BI13:BL13)</f>
        <v>10462.894</v>
      </c>
      <c r="BM104" s="133">
        <f>SUM('P&amp;L'!BJ13:BM13)</f>
        <v>10676.11405668202</v>
      </c>
      <c r="BN104" s="133">
        <f>SUM('P&amp;L'!BK13:BN13)</f>
        <v>11079.559056682019</v>
      </c>
      <c r="BO104" s="133">
        <f>SUM('P&amp;L'!BL13:BO13)</f>
        <v>11249.648519695842</v>
      </c>
      <c r="BP104" s="133">
        <f>SUM('P&amp;L'!BM13:BP13)</f>
        <v>11495.238101715742</v>
      </c>
      <c r="BQ104" s="133">
        <f>SUM('P&amp;L'!BN13:BQ13)</f>
        <v>11847.06804503372</v>
      </c>
      <c r="BR104" s="133">
        <f>SUM('P&amp;L'!BO13:BR13)</f>
        <v>11948.123045033721</v>
      </c>
      <c r="BS104" s="133">
        <f>SUM('P&amp;L'!BP13:BS13)</f>
        <v>12262.939582019897</v>
      </c>
      <c r="BT104" s="133">
        <f>SUM('P&amp;L'!BQ13:BT13)</f>
        <v>12050.635999999999</v>
      </c>
      <c r="BU104" s="133">
        <f>SUM('P&amp;L'!BR13:BU13)</f>
        <v>11768.743999999999</v>
      </c>
      <c r="BV104" s="55"/>
      <c r="BW104" s="133">
        <f>'P&amp;L'!BW13</f>
        <v>864.30799999999999</v>
      </c>
      <c r="BX104" s="133">
        <f>'P&amp;L'!BX13</f>
        <v>1513.221</v>
      </c>
      <c r="BY104" s="133">
        <f>'P&amp;L'!BY13</f>
        <v>1313.1509999999998</v>
      </c>
      <c r="BZ104" s="133">
        <f>'P&amp;L'!BZ13</f>
        <v>1406.7140000000002</v>
      </c>
      <c r="CA104" s="133">
        <f>'P&amp;L'!CA13</f>
        <v>1783.7380000000001</v>
      </c>
      <c r="CB104" s="133">
        <f>'P&amp;L'!CB13</f>
        <v>2776.2169999999996</v>
      </c>
      <c r="CC104" s="133">
        <f>'P&amp;L'!CC13</f>
        <v>3581.5630000000001</v>
      </c>
      <c r="CD104" s="133">
        <f>'P&amp;L'!CD13</f>
        <v>3675.7819999999997</v>
      </c>
      <c r="CE104" s="133">
        <f>'P&amp;L'!CE13</f>
        <v>4228.9490000000005</v>
      </c>
      <c r="CF104" s="133">
        <f>'P&amp;L'!CF13</f>
        <v>4947.7909999999993</v>
      </c>
      <c r="CG104" s="133">
        <f>'P&amp;L'!CG13</f>
        <v>4663.0000000000009</v>
      </c>
      <c r="CH104" s="110">
        <f>'P&amp;L'!CH13</f>
        <v>4748.7999999999993</v>
      </c>
      <c r="CI104" s="110">
        <f>AY104</f>
        <v>5396.0849999999991</v>
      </c>
      <c r="CJ104" s="110">
        <f t="shared" si="101"/>
        <v>7465.9789209800001</v>
      </c>
      <c r="CK104" s="110">
        <f t="shared" si="102"/>
        <v>9015.8490000000002</v>
      </c>
      <c r="CL104" s="110">
        <f t="shared" si="103"/>
        <v>10205.492</v>
      </c>
      <c r="CM104" s="110">
        <f t="shared" si="59"/>
        <v>11249.648519695842</v>
      </c>
      <c r="CN104" s="110">
        <f t="shared" si="104"/>
        <v>12262.939582019897</v>
      </c>
      <c r="CO104" s="206"/>
      <c r="CP104" s="6"/>
      <c r="CT104" s="48"/>
    </row>
    <row r="105" spans="1:98" x14ac:dyDescent="0.35">
      <c r="B105" s="165" t="str">
        <f>IF(Control!$D$5=1,"Cost of Sales and Services LTM","Custo das Vendas e Serviços UDM")</f>
        <v>Custo das Vendas e Serviços UDM</v>
      </c>
      <c r="C105" s="166">
        <f>BW105</f>
        <v>-633.28499999999997</v>
      </c>
      <c r="D105" s="167" t="s">
        <v>2</v>
      </c>
      <c r="E105" s="167" t="s">
        <v>2</v>
      </c>
      <c r="F105" s="167" t="s">
        <v>2</v>
      </c>
      <c r="G105" s="166">
        <f>SUM('P&amp;L'!D14:G14)</f>
        <v>-1166.135</v>
      </c>
      <c r="H105" s="166">
        <f>SUM('P&amp;L'!E14:H14)</f>
        <v>-1229.5729999999999</v>
      </c>
      <c r="I105" s="166">
        <f>SUM('P&amp;L'!F14:I14)</f>
        <v>-1168.895</v>
      </c>
      <c r="J105" s="166">
        <f>SUM('P&amp;L'!G14:J14)</f>
        <v>-1049.6759999999999</v>
      </c>
      <c r="K105" s="166">
        <f>SUM('P&amp;L'!H14:K14)</f>
        <v>-1013.9349999999999</v>
      </c>
      <c r="L105" s="166">
        <f>SUM('P&amp;L'!I14:L14)</f>
        <v>-1006.434</v>
      </c>
      <c r="M105" s="166">
        <f>SUM('P&amp;L'!J14:M14)</f>
        <v>-1031.546</v>
      </c>
      <c r="N105" s="166">
        <f>SUM('P&amp;L'!K14:N14)</f>
        <v>-1073.328</v>
      </c>
      <c r="O105" s="166">
        <f>SUM('P&amp;L'!L14:O14)</f>
        <v>-1065.7</v>
      </c>
      <c r="P105" s="166">
        <f>SUM('P&amp;L'!M14:P14)</f>
        <v>-1063.3519999999999</v>
      </c>
      <c r="Q105" s="166">
        <f>SUM('P&amp;L'!N14:Q14)</f>
        <v>-1087.8029999999999</v>
      </c>
      <c r="R105" s="166">
        <f>SUM('P&amp;L'!O14:R14)</f>
        <v>-1181.0439999999999</v>
      </c>
      <c r="S105" s="166">
        <f>SUM('P&amp;L'!P14:S14)</f>
        <v>-1299.4839999999999</v>
      </c>
      <c r="T105" s="166">
        <f>SUM('P&amp;L'!Q14:T14)</f>
        <v>-1477.807</v>
      </c>
      <c r="U105" s="166">
        <f>SUM('P&amp;L'!R14:U14)</f>
        <v>-1633.9159999999999</v>
      </c>
      <c r="V105" s="166">
        <f>SUM('P&amp;L'!S14:V14)</f>
        <v>-1890.8239999999998</v>
      </c>
      <c r="W105" s="166">
        <f>SUM('P&amp;L'!T14:W14)</f>
        <v>-2107.8359999999993</v>
      </c>
      <c r="X105" s="166">
        <f>SUM('P&amp;L'!U14:X14)</f>
        <v>-2278.2809999999999</v>
      </c>
      <c r="Y105" s="166">
        <f>SUM('P&amp;L'!V14:Y14)</f>
        <v>-2490.9109999999996</v>
      </c>
      <c r="Z105" s="166">
        <f>SUM('P&amp;L'!W14:Z14)</f>
        <v>-2581.58</v>
      </c>
      <c r="AA105" s="166">
        <f>SUM('P&amp;L'!X14:AA14)</f>
        <v>-2702.4540000000002</v>
      </c>
      <c r="AB105" s="166">
        <f>SUM('P&amp;L'!Y14:AB14)</f>
        <v>-2779.7330000000002</v>
      </c>
      <c r="AC105" s="166">
        <f>SUM('P&amp;L'!Z14:AC14)</f>
        <v>-2789.5140000000001</v>
      </c>
      <c r="AD105" s="166">
        <f>SUM('P&amp;L'!AA14:AD14)</f>
        <v>-2796.9150000000009</v>
      </c>
      <c r="AE105" s="166">
        <f>SUM('P&amp;L'!AB14:AE14)</f>
        <v>-2824.3649999999998</v>
      </c>
      <c r="AF105" s="166">
        <f>SUM('P&amp;L'!AC14:AF14)</f>
        <v>-2863.7069999999999</v>
      </c>
      <c r="AG105" s="166">
        <f>SUM('P&amp;L'!AD14:AG14)</f>
        <v>-2962.3079999999995</v>
      </c>
      <c r="AH105" s="166">
        <f>SUM('P&amp;L'!AE14:AH14)</f>
        <v>-3103.8489999999993</v>
      </c>
      <c r="AI105" s="166">
        <f>SUM('P&amp;L'!AF14:AI14)</f>
        <v>-3194.8</v>
      </c>
      <c r="AJ105" s="166">
        <f>SUM('P&amp;L'!AG14:AJ14)</f>
        <v>-3309.1340000000005</v>
      </c>
      <c r="AK105" s="166">
        <f>SUM('P&amp;L'!AH14:AK14)</f>
        <v>-3452.4220000000005</v>
      </c>
      <c r="AL105" s="166">
        <f>SUM('P&amp;L'!AI14:AL14)</f>
        <v>-3569.4090000000001</v>
      </c>
      <c r="AM105" s="166">
        <f>SUM('P&amp;L'!AJ14:AM14)</f>
        <v>-3726.5920000000001</v>
      </c>
      <c r="AN105" s="166">
        <f>SUM('P&amp;L'!AK14:AN14)</f>
        <v>-3812.3919999999998</v>
      </c>
      <c r="AO105" s="166">
        <f>SUM('P&amp;L'!AL14:AO14)</f>
        <v>-3771.877</v>
      </c>
      <c r="AP105" s="166">
        <f>SUM('P&amp;L'!AM14:AP14)</f>
        <v>-3662.9119999999998</v>
      </c>
      <c r="AQ105" s="166">
        <f>SUM('P&amp;L'!AN14:AQ14)</f>
        <v>-3512.5</v>
      </c>
      <c r="AR105" s="166">
        <f>SUM('P&amp;L'!AO14:AR14)</f>
        <v>-3325.4409999999998</v>
      </c>
      <c r="AS105" s="166">
        <f>SUM('P&amp;L'!AP14:AS14)</f>
        <v>-3275.3109999999997</v>
      </c>
      <c r="AT105" s="166">
        <f>SUM('P&amp;L'!AQ14:AT14)</f>
        <v>-3348.99</v>
      </c>
      <c r="AU105" s="166">
        <f>SUM('P&amp;L'!AR14:AU14)</f>
        <v>-3527.1</v>
      </c>
      <c r="AV105" s="166">
        <f>SUM('P&amp;L'!AS14:AV14)</f>
        <v>-3736.3</v>
      </c>
      <c r="AW105" s="166">
        <f>SUM('P&amp;L'!AT14:AW14)</f>
        <v>-3846.6950000000002</v>
      </c>
      <c r="AX105" s="166">
        <f>SUM('P&amp;L'!AU14:AX14)</f>
        <v>-4000.6040000000003</v>
      </c>
      <c r="AY105" s="166">
        <f>SUM('P&amp;L'!AV14:AY14)</f>
        <v>-4145.2559999999994</v>
      </c>
      <c r="AZ105" s="166">
        <f>SUM('P&amp;L'!AW14:AZ14)</f>
        <v>-4510.3469999999998</v>
      </c>
      <c r="BA105" s="166">
        <f>SUM('P&amp;L'!AX14:BA14)</f>
        <v>-5048.59</v>
      </c>
      <c r="BB105" s="166">
        <f>SUM('P&amp;L'!AY14:BB14)</f>
        <v>-5472.4989999999998</v>
      </c>
      <c r="BC105" s="166">
        <f>SUM('P&amp;L'!AZ14:BC14)</f>
        <v>-5804.9940000000006</v>
      </c>
      <c r="BD105" s="166">
        <f>SUM('P&amp;L'!BA14:BD14)</f>
        <v>-6299.13</v>
      </c>
      <c r="BE105" s="166">
        <f>SUM('P&amp;L'!BB14:BE14)</f>
        <v>-6606.5690000000004</v>
      </c>
      <c r="BF105" s="166">
        <f>SUM('P&amp;L'!BC14:BF14)</f>
        <v>-6883.1010000000006</v>
      </c>
      <c r="BG105" s="166">
        <f>SUM('P&amp;L'!BD14:BG14)</f>
        <v>-7237.7020000000002</v>
      </c>
      <c r="BH105" s="166">
        <f>SUM('P&amp;L'!BE14:BH14)</f>
        <v>-7277.41</v>
      </c>
      <c r="BI105" s="166">
        <f>SUM('P&amp;L'!BF14:BI14)</f>
        <v>-7617.2099999999991</v>
      </c>
      <c r="BJ105" s="166">
        <f>SUM('P&amp;L'!BG14:BJ14)</f>
        <v>-7895.4259999999995</v>
      </c>
      <c r="BK105" s="166">
        <f>SUM('P&amp;L'!BH14:BK14)</f>
        <v>-8085.625</v>
      </c>
      <c r="BL105" s="166">
        <f>SUM('P&amp;L'!BI14:BL14)</f>
        <v>-8340.4260518640021</v>
      </c>
      <c r="BM105" s="166">
        <f>SUM('P&amp;L'!BJ14:BM14)</f>
        <v>-8551.1129322440011</v>
      </c>
      <c r="BN105" s="166">
        <f>SUM('P&amp;L'!BK14:BN14)</f>
        <v>-8895.4809322440015</v>
      </c>
      <c r="BO105" s="166">
        <f>SUM('P&amp;L'!BL14:BO14)</f>
        <v>-8973.6869322440016</v>
      </c>
      <c r="BP105" s="166">
        <f>SUM('P&amp;L'!BM14:BP14)</f>
        <v>-9143.2971058939256</v>
      </c>
      <c r="BQ105" s="166">
        <f>SUM('P&amp;L'!BN14:BQ14)</f>
        <v>-9370.5292255139248</v>
      </c>
      <c r="BR105" s="166">
        <f>SUM('P&amp;L'!BO14:BR14)</f>
        <v>-9517.0752255139269</v>
      </c>
      <c r="BS105" s="166">
        <f>SUM('P&amp;L'!BP14:BS14)</f>
        <v>-9872.9912255139243</v>
      </c>
      <c r="BT105" s="166">
        <f>SUM('P&amp;L'!BQ14:BT14)</f>
        <v>-9680.5879999999997</v>
      </c>
      <c r="BU105" s="166">
        <f>SUM('P&amp;L'!BR14:BU14)</f>
        <v>-9423.1790000000001</v>
      </c>
      <c r="BV105" s="55"/>
      <c r="BW105" s="166">
        <f>'P&amp;L'!BW14</f>
        <v>-633.28499999999997</v>
      </c>
      <c r="BX105" s="166">
        <f>'P&amp;L'!BX14</f>
        <v>-1166.135</v>
      </c>
      <c r="BY105" s="166">
        <f>'P&amp;L'!BY14</f>
        <v>-1013.9349999999999</v>
      </c>
      <c r="BZ105" s="166">
        <f>'P&amp;L'!BZ14</f>
        <v>-1065.7</v>
      </c>
      <c r="CA105" s="166">
        <f>'P&amp;L'!CA14</f>
        <v>-1299.4839999999999</v>
      </c>
      <c r="CB105" s="166">
        <f>'P&amp;L'!CB14</f>
        <v>-2107.8359999999998</v>
      </c>
      <c r="CC105" s="166">
        <f>'P&amp;L'!CC14</f>
        <v>-2702.4540000000002</v>
      </c>
      <c r="CD105" s="166">
        <f>'P&amp;L'!CD14</f>
        <v>-2824.3649999999998</v>
      </c>
      <c r="CE105" s="166">
        <f>'P&amp;L'!CE14</f>
        <v>-3194.8</v>
      </c>
      <c r="CF105" s="166">
        <f>'P&amp;L'!CF14</f>
        <v>-3726.5920000000001</v>
      </c>
      <c r="CG105" s="166">
        <f>'P&amp;L'!CG14</f>
        <v>-3512.5</v>
      </c>
      <c r="CH105" s="110">
        <f>'P&amp;L'!CH14</f>
        <v>-3527.1</v>
      </c>
      <c r="CI105" s="110">
        <f>AY105</f>
        <v>-4145.2559999999994</v>
      </c>
      <c r="CJ105" s="110">
        <f t="shared" si="101"/>
        <v>-5804.9940000000006</v>
      </c>
      <c r="CK105" s="110">
        <f t="shared" si="102"/>
        <v>-7237.7020000000002</v>
      </c>
      <c r="CL105" s="110">
        <f t="shared" si="103"/>
        <v>-8085.625</v>
      </c>
      <c r="CM105" s="110">
        <f t="shared" si="59"/>
        <v>-8973.6869322440016</v>
      </c>
      <c r="CN105" s="110">
        <f t="shared" si="104"/>
        <v>-9872.9912255139243</v>
      </c>
      <c r="CO105" s="206"/>
      <c r="CP105" s="6"/>
      <c r="CT105" s="48"/>
    </row>
    <row r="106" spans="1:98" x14ac:dyDescent="0.35">
      <c r="B106" s="168" t="str">
        <f>B12</f>
        <v>Contas a Receber</v>
      </c>
      <c r="C106" s="169">
        <f>C12</f>
        <v>112.723</v>
      </c>
      <c r="D106" s="170" t="s">
        <v>2</v>
      </c>
      <c r="E106" s="170" t="s">
        <v>2</v>
      </c>
      <c r="F106" s="170" t="s">
        <v>2</v>
      </c>
      <c r="G106" s="169">
        <f t="shared" ref="G106:AL106" si="109">G12</f>
        <v>171.84899999999999</v>
      </c>
      <c r="H106" s="169">
        <f t="shared" si="109"/>
        <v>167.245</v>
      </c>
      <c r="I106" s="169">
        <f t="shared" si="109"/>
        <v>137.10400000000001</v>
      </c>
      <c r="J106" s="169">
        <f t="shared" si="109"/>
        <v>127.252</v>
      </c>
      <c r="K106" s="169">
        <f t="shared" si="109"/>
        <v>174.07499999999999</v>
      </c>
      <c r="L106" s="169">
        <f t="shared" si="109"/>
        <v>213.68799999999999</v>
      </c>
      <c r="M106" s="169">
        <f t="shared" si="109"/>
        <v>179.3</v>
      </c>
      <c r="N106" s="169">
        <f t="shared" si="109"/>
        <v>183.12899999999999</v>
      </c>
      <c r="O106" s="169">
        <f t="shared" si="109"/>
        <v>179.20500000000001</v>
      </c>
      <c r="P106" s="169">
        <f t="shared" si="109"/>
        <v>234.24799999999999</v>
      </c>
      <c r="Q106" s="169">
        <f t="shared" si="109"/>
        <v>206.55799999999999</v>
      </c>
      <c r="R106" s="169">
        <f t="shared" si="109"/>
        <v>272.65300000000002</v>
      </c>
      <c r="S106" s="169">
        <f t="shared" si="109"/>
        <v>308.935</v>
      </c>
      <c r="T106" s="169">
        <f t="shared" si="109"/>
        <v>300.98399999999998</v>
      </c>
      <c r="U106" s="169">
        <f t="shared" si="109"/>
        <v>352.15800000000002</v>
      </c>
      <c r="V106" s="169">
        <f t="shared" si="109"/>
        <v>459.78</v>
      </c>
      <c r="W106" s="169">
        <f t="shared" si="109"/>
        <v>439.63499999999999</v>
      </c>
      <c r="X106" s="169">
        <f t="shared" si="109"/>
        <v>440.86099999999999</v>
      </c>
      <c r="Y106" s="169">
        <f t="shared" si="109"/>
        <v>490.5</v>
      </c>
      <c r="Z106" s="169">
        <f t="shared" si="109"/>
        <v>476.37</v>
      </c>
      <c r="AA106" s="169">
        <f t="shared" si="109"/>
        <v>526.65</v>
      </c>
      <c r="AB106" s="169">
        <f t="shared" si="109"/>
        <v>498.77699999999999</v>
      </c>
      <c r="AC106" s="169">
        <f t="shared" si="109"/>
        <v>492.125</v>
      </c>
      <c r="AD106" s="169">
        <f t="shared" si="109"/>
        <v>584.255</v>
      </c>
      <c r="AE106" s="169">
        <f t="shared" si="109"/>
        <v>575.32600000000002</v>
      </c>
      <c r="AF106" s="169">
        <f t="shared" si="109"/>
        <v>559.46400000000006</v>
      </c>
      <c r="AG106" s="169">
        <f t="shared" si="109"/>
        <v>585.77800000000002</v>
      </c>
      <c r="AH106" s="169">
        <f t="shared" si="109"/>
        <v>687.29100000000005</v>
      </c>
      <c r="AI106" s="169">
        <f t="shared" si="109"/>
        <v>615.03800000000001</v>
      </c>
      <c r="AJ106" s="169">
        <f t="shared" si="109"/>
        <v>588.03499999999997</v>
      </c>
      <c r="AK106" s="169">
        <f t="shared" si="109"/>
        <v>585.81299999999999</v>
      </c>
      <c r="AL106" s="169">
        <f t="shared" si="109"/>
        <v>625.04200000000003</v>
      </c>
      <c r="AM106" s="169">
        <f t="shared" ref="AM106:BL106" si="110">AM12</f>
        <v>676.7</v>
      </c>
      <c r="AN106" s="169">
        <f t="shared" si="110"/>
        <v>602.90700000000004</v>
      </c>
      <c r="AO106" s="169">
        <f t="shared" si="110"/>
        <v>579.69000000000005</v>
      </c>
      <c r="AP106" s="169">
        <f t="shared" si="110"/>
        <v>601.83199999999999</v>
      </c>
      <c r="AQ106" s="169">
        <f t="shared" si="110"/>
        <v>609.5</v>
      </c>
      <c r="AR106" s="169">
        <f t="shared" si="110"/>
        <v>560.29999999999995</v>
      </c>
      <c r="AS106" s="169">
        <f t="shared" si="110"/>
        <v>590.30000000000007</v>
      </c>
      <c r="AT106" s="169">
        <f t="shared" si="110"/>
        <v>678.5</v>
      </c>
      <c r="AU106" s="169">
        <f t="shared" si="110"/>
        <v>690.53599999999994</v>
      </c>
      <c r="AV106" s="169">
        <f t="shared" si="110"/>
        <v>665.4</v>
      </c>
      <c r="AW106" s="169">
        <f t="shared" si="110"/>
        <v>634.72799999999995</v>
      </c>
      <c r="AX106" s="169">
        <f t="shared" si="110"/>
        <v>909.00300000000004</v>
      </c>
      <c r="AY106" s="169">
        <f t="shared" si="110"/>
        <v>725.26199999999994</v>
      </c>
      <c r="AZ106" s="169">
        <f t="shared" si="110"/>
        <v>863.67899999999997</v>
      </c>
      <c r="BA106" s="169">
        <f t="shared" si="110"/>
        <v>978.226</v>
      </c>
      <c r="BB106" s="169">
        <f t="shared" si="110"/>
        <v>962.42700000000002</v>
      </c>
      <c r="BC106" s="169">
        <f t="shared" si="110"/>
        <v>945.12</v>
      </c>
      <c r="BD106" s="169">
        <f t="shared" si="110"/>
        <v>1191.3</v>
      </c>
      <c r="BE106" s="169">
        <f t="shared" si="110"/>
        <v>1040.2260000000001</v>
      </c>
      <c r="BF106" s="169">
        <f t="shared" si="110"/>
        <v>1212.8869999999999</v>
      </c>
      <c r="BG106" s="169">
        <f t="shared" si="110"/>
        <v>1212.386</v>
      </c>
      <c r="BH106" s="169">
        <f t="shared" si="110"/>
        <v>1415.4749999999999</v>
      </c>
      <c r="BI106" s="169">
        <f t="shared" si="110"/>
        <v>1319.7719999999999</v>
      </c>
      <c r="BJ106" s="169">
        <f t="shared" si="110"/>
        <v>1520.9749999999999</v>
      </c>
      <c r="BK106" s="169">
        <f t="shared" si="110"/>
        <v>1331.654</v>
      </c>
      <c r="BL106" s="207">
        <f t="shared" si="110"/>
        <v>1379.327</v>
      </c>
      <c r="BM106" s="207">
        <f t="shared" ref="BM106:BS106" si="111">BM12</f>
        <v>1346.1638188703839</v>
      </c>
      <c r="BN106" s="207">
        <f t="shared" si="111"/>
        <v>1885.93</v>
      </c>
      <c r="BO106" s="207">
        <f t="shared" si="111"/>
        <v>1359.367</v>
      </c>
      <c r="BP106" s="207">
        <f t="shared" si="111"/>
        <v>1920.067</v>
      </c>
      <c r="BQ106" s="207">
        <f t="shared" si="111"/>
        <v>1746.8309999999999</v>
      </c>
      <c r="BR106" s="207">
        <f t="shared" si="111"/>
        <v>1977.453</v>
      </c>
      <c r="BS106" s="207">
        <f t="shared" si="111"/>
        <v>1153.9929999999999</v>
      </c>
      <c r="BT106" s="207">
        <f t="shared" ref="BT106" si="112">BT12</f>
        <v>1850.1890000000001</v>
      </c>
      <c r="BU106" s="207">
        <f t="shared" ref="BU106" si="113">BU12</f>
        <v>1444.549</v>
      </c>
      <c r="BV106" s="164"/>
      <c r="BW106" s="169">
        <f t="shared" ref="BW106:CH106" si="114">BW12</f>
        <v>112.723</v>
      </c>
      <c r="BX106" s="169">
        <f t="shared" si="114"/>
        <v>171.84899999999999</v>
      </c>
      <c r="BY106" s="169">
        <f t="shared" si="114"/>
        <v>174.07499999999999</v>
      </c>
      <c r="BZ106" s="169">
        <f t="shared" si="114"/>
        <v>179.20500000000001</v>
      </c>
      <c r="CA106" s="169">
        <f t="shared" si="114"/>
        <v>308.935</v>
      </c>
      <c r="CB106" s="169">
        <f t="shared" si="114"/>
        <v>439.63499999999999</v>
      </c>
      <c r="CC106" s="169">
        <f t="shared" si="114"/>
        <v>526.65</v>
      </c>
      <c r="CD106" s="169">
        <f t="shared" si="114"/>
        <v>575.32600000000002</v>
      </c>
      <c r="CE106" s="169">
        <f t="shared" si="114"/>
        <v>615.03800000000001</v>
      </c>
      <c r="CF106" s="169">
        <f t="shared" si="114"/>
        <v>676.7</v>
      </c>
      <c r="CG106" s="169">
        <f t="shared" si="114"/>
        <v>609.5</v>
      </c>
      <c r="CH106" s="169">
        <f t="shared" si="114"/>
        <v>690.53599999999994</v>
      </c>
      <c r="CI106" s="169">
        <f>AY106</f>
        <v>725.26199999999994</v>
      </c>
      <c r="CJ106" s="169">
        <f t="shared" si="101"/>
        <v>945.12</v>
      </c>
      <c r="CK106" s="169">
        <f t="shared" si="102"/>
        <v>1212.386</v>
      </c>
      <c r="CL106" s="169">
        <f t="shared" si="103"/>
        <v>1331.654</v>
      </c>
      <c r="CM106" s="169">
        <f t="shared" si="59"/>
        <v>1359.367</v>
      </c>
      <c r="CN106" s="169">
        <f t="shared" si="104"/>
        <v>1153.9929999999999</v>
      </c>
      <c r="CO106" s="206"/>
      <c r="CP106" s="6"/>
      <c r="CT106" s="48"/>
    </row>
    <row r="107" spans="1:98" s="127" customFormat="1" x14ac:dyDescent="0.35">
      <c r="A107" s="5"/>
      <c r="B107" s="171" t="str">
        <f>IF(Control!$D$5=1,"Days","Dias")</f>
        <v>Dias</v>
      </c>
      <c r="C107" s="172">
        <f t="shared" ref="C107:BL107" si="115">+C106/C104*365</f>
        <v>47.603279155116006</v>
      </c>
      <c r="D107" s="172" t="s">
        <v>2</v>
      </c>
      <c r="E107" s="172" t="s">
        <v>2</v>
      </c>
      <c r="F107" s="172" t="s">
        <v>2</v>
      </c>
      <c r="G107" s="172">
        <f t="shared" si="115"/>
        <v>41.451238781380901</v>
      </c>
      <c r="H107" s="172">
        <f t="shared" si="115"/>
        <v>38.785551904318964</v>
      </c>
      <c r="I107" s="172">
        <f t="shared" si="115"/>
        <v>33.664278554755036</v>
      </c>
      <c r="J107" s="172">
        <f t="shared" si="115"/>
        <v>34.465267585107661</v>
      </c>
      <c r="K107" s="172">
        <f t="shared" si="115"/>
        <v>48.385429398446945</v>
      </c>
      <c r="L107" s="172">
        <f t="shared" si="115"/>
        <v>59.636261874323324</v>
      </c>
      <c r="M107" s="172">
        <f t="shared" si="115"/>
        <v>48.634045057711802</v>
      </c>
      <c r="N107" s="172">
        <f t="shared" si="115"/>
        <v>47.50944615266517</v>
      </c>
      <c r="O107" s="172">
        <f t="shared" si="115"/>
        <v>46.498310957309023</v>
      </c>
      <c r="P107" s="172">
        <f t="shared" si="115"/>
        <v>60.153259724014298</v>
      </c>
      <c r="Q107" s="172">
        <f t="shared" si="115"/>
        <v>50.788308816149069</v>
      </c>
      <c r="R107" s="172">
        <f t="shared" si="115"/>
        <v>61.580657337421464</v>
      </c>
      <c r="S107" s="172">
        <f t="shared" si="115"/>
        <v>63.216276717769091</v>
      </c>
      <c r="T107" s="172">
        <f t="shared" si="115"/>
        <v>54.97834579271813</v>
      </c>
      <c r="U107" s="172">
        <f t="shared" si="115"/>
        <v>59.076376007221299</v>
      </c>
      <c r="V107" s="172">
        <f t="shared" si="115"/>
        <v>67.157026149348809</v>
      </c>
      <c r="W107" s="172">
        <f t="shared" si="115"/>
        <v>57.800515953904188</v>
      </c>
      <c r="X107" s="172">
        <f t="shared" si="115"/>
        <v>52.862055734466132</v>
      </c>
      <c r="Y107" s="172">
        <f t="shared" si="115"/>
        <v>53.707564102141049</v>
      </c>
      <c r="Z107" s="172">
        <f t="shared" si="115"/>
        <v>50.665284899811709</v>
      </c>
      <c r="AA107" s="172">
        <f t="shared" si="115"/>
        <v>53.671330086892233</v>
      </c>
      <c r="AB107" s="172">
        <f t="shared" si="115"/>
        <v>49.828117610093194</v>
      </c>
      <c r="AC107" s="172">
        <f t="shared" si="115"/>
        <v>49.129800412675209</v>
      </c>
      <c r="AD107" s="172">
        <f t="shared" si="115"/>
        <v>58.069430976796795</v>
      </c>
      <c r="AE107" s="172">
        <f t="shared" si="115"/>
        <v>57.129065325419198</v>
      </c>
      <c r="AF107" s="172">
        <f t="shared" si="115"/>
        <v>55.006482383620821</v>
      </c>
      <c r="AG107" s="172">
        <f t="shared" si="115"/>
        <v>55.657663501844731</v>
      </c>
      <c r="AH107" s="172">
        <f t="shared" si="115"/>
        <v>61.870462583423354</v>
      </c>
      <c r="AI107" s="172">
        <f t="shared" si="115"/>
        <v>53.08384423647577</v>
      </c>
      <c r="AJ107" s="172">
        <f t="shared" si="115"/>
        <v>48.742245806899348</v>
      </c>
      <c r="AK107" s="172">
        <f t="shared" si="115"/>
        <v>45.963204156473957</v>
      </c>
      <c r="AL107" s="172">
        <f t="shared" si="115"/>
        <v>47.684747298794861</v>
      </c>
      <c r="AM107" s="172">
        <f t="shared" si="115"/>
        <v>49.92097386074019</v>
      </c>
      <c r="AN107" s="172">
        <f t="shared" si="115"/>
        <v>43.688288553350048</v>
      </c>
      <c r="AO107" s="172">
        <f t="shared" si="115"/>
        <v>42.954069582609101</v>
      </c>
      <c r="AP107" s="172">
        <f t="shared" si="115"/>
        <v>45.679449239818446</v>
      </c>
      <c r="AQ107" s="172">
        <f t="shared" si="115"/>
        <v>47.709092858674673</v>
      </c>
      <c r="AR107" s="172">
        <f t="shared" si="115"/>
        <v>46.041607522646579</v>
      </c>
      <c r="AS107" s="172">
        <f t="shared" si="115"/>
        <v>48.685295135797631</v>
      </c>
      <c r="AT107" s="172">
        <f t="shared" si="115"/>
        <v>54.630919089480628</v>
      </c>
      <c r="AU107" s="172">
        <f t="shared" si="115"/>
        <v>53.075648584905657</v>
      </c>
      <c r="AV107" s="172">
        <f t="shared" si="115"/>
        <v>48.754591990364347</v>
      </c>
      <c r="AW107" s="172">
        <f t="shared" si="115"/>
        <v>45.790647411628328</v>
      </c>
      <c r="AX107" s="172">
        <f t="shared" si="115"/>
        <v>63.36434363018423</v>
      </c>
      <c r="AY107" s="172">
        <f t="shared" si="115"/>
        <v>49.057905870645108</v>
      </c>
      <c r="AZ107" s="172">
        <f t="shared" si="115"/>
        <v>53.540165547746604</v>
      </c>
      <c r="BA107" s="172">
        <f t="shared" si="115"/>
        <v>54.287866149755928</v>
      </c>
      <c r="BB107" s="172">
        <f t="shared" si="115"/>
        <v>49.287139929433607</v>
      </c>
      <c r="BC107" s="172">
        <f t="shared" si="115"/>
        <v>46.205434498429938</v>
      </c>
      <c r="BD107" s="172">
        <f t="shared" si="115"/>
        <v>54.392790171386217</v>
      </c>
      <c r="BE107" s="172">
        <f t="shared" si="115"/>
        <v>45.744470906491692</v>
      </c>
      <c r="BF107" s="172">
        <f t="shared" si="115"/>
        <v>51.601919453898503</v>
      </c>
      <c r="BG107" s="172">
        <f t="shared" si="115"/>
        <v>49.082553401238194</v>
      </c>
      <c r="BH107" s="172">
        <f t="shared" si="115"/>
        <v>56.431542147334795</v>
      </c>
      <c r="BI107" s="172">
        <f t="shared" si="115"/>
        <v>50.005390677771061</v>
      </c>
      <c r="BJ107" s="172">
        <f t="shared" si="115"/>
        <v>55.735995494181736</v>
      </c>
      <c r="BK107" s="172">
        <f t="shared" si="115"/>
        <v>47.626680810685066</v>
      </c>
      <c r="BL107" s="208">
        <f t="shared" si="115"/>
        <v>48.118078516326364</v>
      </c>
      <c r="BM107" s="208">
        <f t="shared" ref="BM107:BS107" si="116">+BM106/BM104*365</f>
        <v>46.023280687991686</v>
      </c>
      <c r="BN107" s="208">
        <f t="shared" si="116"/>
        <v>62.129227930316539</v>
      </c>
      <c r="BO107" s="208">
        <f t="shared" si="116"/>
        <v>44.105285079023517</v>
      </c>
      <c r="BP107" s="208">
        <f t="shared" si="116"/>
        <v>60.96650185048339</v>
      </c>
      <c r="BQ107" s="208">
        <f t="shared" si="116"/>
        <v>53.818658977592222</v>
      </c>
      <c r="BR107" s="208">
        <f t="shared" si="116"/>
        <v>60.408680282214398</v>
      </c>
      <c r="BS107" s="208">
        <f t="shared" si="116"/>
        <v>34.347999693122567</v>
      </c>
      <c r="BT107" s="208">
        <f t="shared" ref="BT107" si="117">+BT106/BT104*365</f>
        <v>56.040111492870594</v>
      </c>
      <c r="BU107" s="208">
        <f t="shared" ref="BU107" si="118">+BU106/BU104*365</f>
        <v>44.801754970623882</v>
      </c>
      <c r="BV107" s="55"/>
      <c r="BW107" s="172">
        <f>+BW106/BW104*365</f>
        <v>47.603279155116006</v>
      </c>
      <c r="BX107" s="172">
        <f t="shared" ref="BX107:CL107" si="119">+BX106/BX104*365</f>
        <v>41.451238781380901</v>
      </c>
      <c r="BY107" s="172">
        <f t="shared" si="119"/>
        <v>48.385429398446945</v>
      </c>
      <c r="BZ107" s="172">
        <f t="shared" si="119"/>
        <v>46.498310957309023</v>
      </c>
      <c r="CA107" s="172">
        <f t="shared" si="119"/>
        <v>63.216276717769091</v>
      </c>
      <c r="CB107" s="172">
        <f t="shared" si="119"/>
        <v>57.800515953904188</v>
      </c>
      <c r="CC107" s="172">
        <f t="shared" si="119"/>
        <v>53.671330086892226</v>
      </c>
      <c r="CD107" s="172">
        <f t="shared" si="119"/>
        <v>57.129065325419198</v>
      </c>
      <c r="CE107" s="172">
        <f t="shared" si="119"/>
        <v>53.08384423647577</v>
      </c>
      <c r="CF107" s="172">
        <f t="shared" si="119"/>
        <v>49.920358398323621</v>
      </c>
      <c r="CG107" s="172">
        <f t="shared" si="119"/>
        <v>47.709092858674666</v>
      </c>
      <c r="CH107" s="172">
        <f t="shared" si="119"/>
        <v>53.075648584905665</v>
      </c>
      <c r="CI107" s="172">
        <f t="shared" si="119"/>
        <v>49.057905870645108</v>
      </c>
      <c r="CJ107" s="172">
        <f t="shared" si="119"/>
        <v>46.205434498429938</v>
      </c>
      <c r="CK107" s="172">
        <f t="shared" si="119"/>
        <v>49.082553401238194</v>
      </c>
      <c r="CL107" s="172">
        <f t="shared" si="119"/>
        <v>47.626680810685066</v>
      </c>
      <c r="CM107" s="172">
        <f t="shared" si="59"/>
        <v>44.105285079023517</v>
      </c>
      <c r="CN107" s="172">
        <f t="shared" si="104"/>
        <v>34.347999693122567</v>
      </c>
      <c r="CO107" s="206"/>
      <c r="CP107" s="6"/>
      <c r="CQ107" s="128"/>
      <c r="CR107" s="128"/>
      <c r="CS107" s="128"/>
      <c r="CT107" s="130"/>
    </row>
    <row r="108" spans="1:98" x14ac:dyDescent="0.35">
      <c r="B108" s="168" t="str">
        <f>B14</f>
        <v>Estoques</v>
      </c>
      <c r="C108" s="169">
        <f>C14+C28</f>
        <v>67.320999999999998</v>
      </c>
      <c r="D108" s="170" t="s">
        <v>2</v>
      </c>
      <c r="E108" s="170" t="s">
        <v>2</v>
      </c>
      <c r="F108" s="170" t="s">
        <v>2</v>
      </c>
      <c r="G108" s="169">
        <f t="shared" ref="G108:AL108" si="120">G14+G28</f>
        <v>136.24700000000001</v>
      </c>
      <c r="H108" s="169">
        <f t="shared" si="120"/>
        <v>340.62099999999998</v>
      </c>
      <c r="I108" s="169">
        <f t="shared" si="120"/>
        <v>249.49799999999999</v>
      </c>
      <c r="J108" s="169">
        <f t="shared" si="120"/>
        <v>154.71899999999999</v>
      </c>
      <c r="K108" s="169">
        <f t="shared" si="120"/>
        <v>117.34099999999999</v>
      </c>
      <c r="L108" s="169">
        <f t="shared" si="120"/>
        <v>342.34199999999998</v>
      </c>
      <c r="M108" s="169">
        <f t="shared" si="120"/>
        <v>279.34100000000001</v>
      </c>
      <c r="N108" s="169">
        <f t="shared" si="120"/>
        <v>75.147999999999996</v>
      </c>
      <c r="O108" s="169">
        <f t="shared" si="120"/>
        <v>107.623</v>
      </c>
      <c r="P108" s="169">
        <f t="shared" si="120"/>
        <v>458.31400000000002</v>
      </c>
      <c r="Q108" s="169">
        <f t="shared" si="120"/>
        <v>394.96</v>
      </c>
      <c r="R108" s="169">
        <f t="shared" si="120"/>
        <v>291.20800000000003</v>
      </c>
      <c r="S108" s="169">
        <f t="shared" si="120"/>
        <v>239.80099999999999</v>
      </c>
      <c r="T108" s="169">
        <f t="shared" si="120"/>
        <v>596.25099999999998</v>
      </c>
      <c r="U108" s="169">
        <f t="shared" si="120"/>
        <v>534.03399999999999</v>
      </c>
      <c r="V108" s="169">
        <f t="shared" si="120"/>
        <v>459.36099999999999</v>
      </c>
      <c r="W108" s="169">
        <f t="shared" si="120"/>
        <v>326.02199999999999</v>
      </c>
      <c r="X108" s="169">
        <f t="shared" si="120"/>
        <v>767.005</v>
      </c>
      <c r="Y108" s="169">
        <f t="shared" si="120"/>
        <v>773.63599999999997</v>
      </c>
      <c r="Z108" s="169">
        <f t="shared" si="120"/>
        <v>603.69000000000005</v>
      </c>
      <c r="AA108" s="169">
        <f t="shared" si="120"/>
        <v>436.51400000000001</v>
      </c>
      <c r="AB108" s="169">
        <f t="shared" si="120"/>
        <v>850.56299999999999</v>
      </c>
      <c r="AC108" s="169">
        <f t="shared" si="120"/>
        <v>709.60299999999995</v>
      </c>
      <c r="AD108" s="169">
        <f t="shared" si="120"/>
        <v>581.92499999999995</v>
      </c>
      <c r="AE108" s="169">
        <f t="shared" si="120"/>
        <v>414.28699999999998</v>
      </c>
      <c r="AF108" s="169">
        <f t="shared" si="120"/>
        <v>988.20500000000004</v>
      </c>
      <c r="AG108" s="169">
        <f t="shared" si="120"/>
        <v>920.28200000000004</v>
      </c>
      <c r="AH108" s="169">
        <f t="shared" si="120"/>
        <v>792.17899999999997</v>
      </c>
      <c r="AI108" s="169">
        <f t="shared" si="120"/>
        <v>574.89499999999998</v>
      </c>
      <c r="AJ108" s="169">
        <f t="shared" si="120"/>
        <v>1090.4180000000001</v>
      </c>
      <c r="AK108" s="169">
        <f t="shared" si="120"/>
        <v>1049.442</v>
      </c>
      <c r="AL108" s="169">
        <f t="shared" si="120"/>
        <v>937.38200000000006</v>
      </c>
      <c r="AM108" s="169">
        <f t="shared" ref="AM108:BL108" si="121">AM14+AM28</f>
        <v>633.5</v>
      </c>
      <c r="AN108" s="169">
        <f t="shared" si="121"/>
        <v>1139.585</v>
      </c>
      <c r="AO108" s="169">
        <f t="shared" si="121"/>
        <v>1029.5749999999998</v>
      </c>
      <c r="AP108" s="169">
        <f t="shared" si="121"/>
        <v>817.07300000000009</v>
      </c>
      <c r="AQ108" s="169">
        <f t="shared" si="121"/>
        <v>558</v>
      </c>
      <c r="AR108" s="169">
        <f t="shared" si="121"/>
        <v>1103.1999999999998</v>
      </c>
      <c r="AS108" s="169">
        <f t="shared" si="121"/>
        <v>1142.8</v>
      </c>
      <c r="AT108" s="169">
        <f t="shared" si="121"/>
        <v>1003.9000000000001</v>
      </c>
      <c r="AU108" s="169">
        <f t="shared" si="121"/>
        <v>721.94500000000005</v>
      </c>
      <c r="AV108" s="169">
        <f t="shared" si="121"/>
        <v>1325.7329999999999</v>
      </c>
      <c r="AW108" s="169">
        <f t="shared" si="121"/>
        <v>1221.74</v>
      </c>
      <c r="AX108" s="169">
        <f t="shared" si="121"/>
        <v>1010.021</v>
      </c>
      <c r="AY108" s="169">
        <f t="shared" si="121"/>
        <v>714.33500000000004</v>
      </c>
      <c r="AZ108" s="169">
        <f t="shared" si="121"/>
        <v>1574.3320000000001</v>
      </c>
      <c r="BA108" s="169">
        <f t="shared" si="121"/>
        <v>1423.5920000000001</v>
      </c>
      <c r="BB108" s="169">
        <f t="shared" si="121"/>
        <v>1391.9269999999999</v>
      </c>
      <c r="BC108" s="169">
        <f t="shared" si="121"/>
        <v>986.99200000000008</v>
      </c>
      <c r="BD108" s="169">
        <f t="shared" si="121"/>
        <v>1721.2529999999999</v>
      </c>
      <c r="BE108" s="169">
        <f t="shared" si="121"/>
        <v>1427.2239999999999</v>
      </c>
      <c r="BF108" s="169">
        <f t="shared" si="121"/>
        <v>1350.4610000000002</v>
      </c>
      <c r="BG108" s="169">
        <f t="shared" si="121"/>
        <v>1137.9369999999999</v>
      </c>
      <c r="BH108" s="169">
        <f t="shared" si="121"/>
        <v>1846.771</v>
      </c>
      <c r="BI108" s="169">
        <f t="shared" si="121"/>
        <v>1648.9989999999998</v>
      </c>
      <c r="BJ108" s="169">
        <f t="shared" si="121"/>
        <v>1570.1613259604067</v>
      </c>
      <c r="BK108" s="169">
        <f t="shared" si="121"/>
        <v>1568.681</v>
      </c>
      <c r="BL108" s="207">
        <f t="shared" si="121"/>
        <v>2493.56</v>
      </c>
      <c r="BM108" s="207">
        <f t="shared" ref="BM108:BS108" si="122">BM14+BM28</f>
        <v>2215.0630000000001</v>
      </c>
      <c r="BN108" s="207">
        <f t="shared" si="122"/>
        <v>1928.933</v>
      </c>
      <c r="BO108" s="207">
        <f t="shared" si="122"/>
        <v>1411.982</v>
      </c>
      <c r="BP108" s="207">
        <f t="shared" si="122"/>
        <v>2469.9650000000001</v>
      </c>
      <c r="BQ108" s="207">
        <f t="shared" si="122"/>
        <v>2450.547</v>
      </c>
      <c r="BR108" s="207">
        <f t="shared" si="122"/>
        <v>2234.453</v>
      </c>
      <c r="BS108" s="207">
        <f t="shared" si="122"/>
        <v>1551.6519999999998</v>
      </c>
      <c r="BT108" s="207">
        <f t="shared" ref="BT108" si="123">BT14+BT28</f>
        <v>2772.422</v>
      </c>
      <c r="BU108" s="207">
        <f t="shared" ref="BU108" si="124">BU14+BU28</f>
        <v>2261.2640000000001</v>
      </c>
      <c r="BV108" s="164"/>
      <c r="BW108" s="169">
        <f t="shared" ref="BW108:CH108" si="125">BW14+BW28</f>
        <v>67.320999999999998</v>
      </c>
      <c r="BX108" s="169">
        <f t="shared" si="125"/>
        <v>136.24700000000001</v>
      </c>
      <c r="BY108" s="169">
        <f t="shared" si="125"/>
        <v>117.34099999999999</v>
      </c>
      <c r="BZ108" s="169">
        <f t="shared" si="125"/>
        <v>107.623</v>
      </c>
      <c r="CA108" s="169">
        <f t="shared" si="125"/>
        <v>239.80099999999999</v>
      </c>
      <c r="CB108" s="169">
        <f t="shared" si="125"/>
        <v>326.02199999999999</v>
      </c>
      <c r="CC108" s="169">
        <f t="shared" si="125"/>
        <v>436.51400000000001</v>
      </c>
      <c r="CD108" s="169">
        <f t="shared" si="125"/>
        <v>414.28699999999998</v>
      </c>
      <c r="CE108" s="169">
        <f t="shared" si="125"/>
        <v>574.89499999999998</v>
      </c>
      <c r="CF108" s="169">
        <f t="shared" si="125"/>
        <v>633.5</v>
      </c>
      <c r="CG108" s="169">
        <f t="shared" si="125"/>
        <v>558</v>
      </c>
      <c r="CH108" s="169">
        <f t="shared" si="125"/>
        <v>721.94500000000005</v>
      </c>
      <c r="CI108" s="169">
        <f>AY108</f>
        <v>714.33500000000004</v>
      </c>
      <c r="CJ108" s="169">
        <f t="shared" si="101"/>
        <v>986.99200000000008</v>
      </c>
      <c r="CK108" s="169">
        <f t="shared" si="102"/>
        <v>1137.9369999999999</v>
      </c>
      <c r="CL108" s="169">
        <f t="shared" si="103"/>
        <v>1568.681</v>
      </c>
      <c r="CM108" s="169">
        <f t="shared" si="59"/>
        <v>1411.982</v>
      </c>
      <c r="CN108" s="169">
        <f t="shared" si="104"/>
        <v>1551.6519999999998</v>
      </c>
      <c r="CO108" s="206"/>
      <c r="CP108" s="6"/>
      <c r="CT108" s="48"/>
    </row>
    <row r="109" spans="1:98" s="127" customFormat="1" x14ac:dyDescent="0.35">
      <c r="A109" s="5"/>
      <c r="B109" s="171" t="str">
        <f>IF(Control!$D$5=1,"Days","Dias")</f>
        <v>Dias</v>
      </c>
      <c r="C109" s="172">
        <f>+C108/-C105*365</f>
        <v>38.801116400988498</v>
      </c>
      <c r="D109" s="172" t="s">
        <v>2</v>
      </c>
      <c r="E109" s="172" t="s">
        <v>2</v>
      </c>
      <c r="F109" s="172" t="s">
        <v>2</v>
      </c>
      <c r="G109" s="172">
        <f>+G108/-G105*365</f>
        <v>42.64528120672135</v>
      </c>
      <c r="H109" s="172">
        <f t="shared" ref="H109:BN109" si="126">+H108/-H105*365</f>
        <v>101.11369150103329</v>
      </c>
      <c r="I109" s="172">
        <f t="shared" si="126"/>
        <v>77.90842633427296</v>
      </c>
      <c r="J109" s="172">
        <f t="shared" si="126"/>
        <v>53.799872532095613</v>
      </c>
      <c r="K109" s="172">
        <f t="shared" si="126"/>
        <v>42.240838909792046</v>
      </c>
      <c r="L109" s="172">
        <f t="shared" si="126"/>
        <v>124.15601023017902</v>
      </c>
      <c r="M109" s="172">
        <f t="shared" si="126"/>
        <v>98.841413761480339</v>
      </c>
      <c r="N109" s="172">
        <f t="shared" si="126"/>
        <v>25.555114559575451</v>
      </c>
      <c r="O109" s="172">
        <f t="shared" si="126"/>
        <v>36.860650276813367</v>
      </c>
      <c r="P109" s="172">
        <f t="shared" si="126"/>
        <v>157.31818814465956</v>
      </c>
      <c r="Q109" s="172">
        <f t="shared" si="126"/>
        <v>132.5243633268156</v>
      </c>
      <c r="R109" s="172">
        <f t="shared" si="126"/>
        <v>89.997426006143726</v>
      </c>
      <c r="S109" s="172">
        <f t="shared" si="126"/>
        <v>67.355477250970381</v>
      </c>
      <c r="T109" s="172">
        <f t="shared" si="126"/>
        <v>147.26660179576899</v>
      </c>
      <c r="U109" s="172">
        <f t="shared" si="126"/>
        <v>119.29769339427486</v>
      </c>
      <c r="V109" s="172">
        <f t="shared" si="126"/>
        <v>88.673914124212516</v>
      </c>
      <c r="W109" s="172">
        <f t="shared" si="126"/>
        <v>56.455070508331787</v>
      </c>
      <c r="X109" s="172">
        <f t="shared" si="126"/>
        <v>122.88072674090685</v>
      </c>
      <c r="Y109" s="172">
        <f t="shared" si="126"/>
        <v>113.36299851740991</v>
      </c>
      <c r="Z109" s="172">
        <f t="shared" si="126"/>
        <v>85.353485075031585</v>
      </c>
      <c r="AA109" s="172">
        <f t="shared" si="126"/>
        <v>58.956640890094704</v>
      </c>
      <c r="AB109" s="172">
        <f t="shared" si="126"/>
        <v>111.68536510520974</v>
      </c>
      <c r="AC109" s="172">
        <f t="shared" si="126"/>
        <v>92.849541174555853</v>
      </c>
      <c r="AD109" s="172">
        <f t="shared" si="126"/>
        <v>75.941751894498012</v>
      </c>
      <c r="AE109" s="172">
        <f t="shared" si="126"/>
        <v>53.539381418478136</v>
      </c>
      <c r="AF109" s="172">
        <f t="shared" si="126"/>
        <v>125.95381615507452</v>
      </c>
      <c r="AG109" s="172">
        <f t="shared" si="126"/>
        <v>113.39230424385312</v>
      </c>
      <c r="AH109" s="172">
        <f t="shared" si="126"/>
        <v>93.157023746967099</v>
      </c>
      <c r="AI109" s="172">
        <f t="shared" si="126"/>
        <v>65.680692062100903</v>
      </c>
      <c r="AJ109" s="172">
        <f t="shared" si="126"/>
        <v>120.27393571852939</v>
      </c>
      <c r="AK109" s="172">
        <f t="shared" si="126"/>
        <v>110.95003160100357</v>
      </c>
      <c r="AL109" s="172">
        <f t="shared" si="126"/>
        <v>95.854644284249858</v>
      </c>
      <c r="AM109" s="172">
        <f t="shared" si="126"/>
        <v>62.04797842103455</v>
      </c>
      <c r="AN109" s="172">
        <f t="shared" si="126"/>
        <v>109.10434315254047</v>
      </c>
      <c r="AO109" s="172">
        <f t="shared" si="126"/>
        <v>99.630734247166572</v>
      </c>
      <c r="AP109" s="172">
        <f t="shared" si="126"/>
        <v>81.419276520975671</v>
      </c>
      <c r="AQ109" s="172">
        <f t="shared" si="126"/>
        <v>57.984341637010672</v>
      </c>
      <c r="AR109" s="172">
        <f t="shared" si="126"/>
        <v>121.0870979217493</v>
      </c>
      <c r="AS109" s="172">
        <f t="shared" si="126"/>
        <v>127.35340247078827</v>
      </c>
      <c r="AT109" s="172">
        <f t="shared" si="126"/>
        <v>109.41313649786953</v>
      </c>
      <c r="AU109" s="172">
        <f t="shared" si="126"/>
        <v>74.710080519406887</v>
      </c>
      <c r="AV109" s="172">
        <f t="shared" si="126"/>
        <v>129.51115943580547</v>
      </c>
      <c r="AW109" s="172">
        <f t="shared" si="126"/>
        <v>115.92681509711583</v>
      </c>
      <c r="AX109" s="172">
        <f t="shared" si="126"/>
        <v>92.150501524269828</v>
      </c>
      <c r="AY109" s="172">
        <f t="shared" si="126"/>
        <v>62.89895605964989</v>
      </c>
      <c r="AZ109" s="172">
        <f t="shared" si="126"/>
        <v>127.40287609800311</v>
      </c>
      <c r="BA109" s="172">
        <f t="shared" si="126"/>
        <v>102.92201981147213</v>
      </c>
      <c r="BB109" s="172">
        <f t="shared" si="126"/>
        <v>92.837541861588264</v>
      </c>
      <c r="BC109" s="172">
        <f t="shared" si="126"/>
        <v>62.058992653566911</v>
      </c>
      <c r="BD109" s="172">
        <f t="shared" si="126"/>
        <v>99.737161322277842</v>
      </c>
      <c r="BE109" s="172">
        <f t="shared" si="126"/>
        <v>78.851331152372722</v>
      </c>
      <c r="BF109" s="172">
        <f t="shared" si="126"/>
        <v>71.612818844297067</v>
      </c>
      <c r="BG109" s="172">
        <f t="shared" si="126"/>
        <v>57.386585548838561</v>
      </c>
      <c r="BH109" s="172">
        <f t="shared" si="126"/>
        <v>92.625180524389862</v>
      </c>
      <c r="BI109" s="172">
        <f t="shared" si="126"/>
        <v>79.016416115611875</v>
      </c>
      <c r="BJ109" s="172">
        <f t="shared" si="126"/>
        <v>72.587455569281317</v>
      </c>
      <c r="BK109" s="172">
        <f t="shared" si="126"/>
        <v>70.813148643425833</v>
      </c>
      <c r="BL109" s="172">
        <f t="shared" si="126"/>
        <v>109.12504880929801</v>
      </c>
      <c r="BM109" s="172">
        <f t="shared" si="126"/>
        <v>94.548861815561636</v>
      </c>
      <c r="BN109" s="172">
        <f t="shared" si="126"/>
        <v>79.148114684608913</v>
      </c>
      <c r="BO109" s="172">
        <f t="shared" ref="BO109:BT109" si="127">+BO108/-BO105*365</f>
        <v>57.43162580679904</v>
      </c>
      <c r="BP109" s="172">
        <f t="shared" si="127"/>
        <v>98.600889215210316</v>
      </c>
      <c r="BQ109" s="172">
        <f t="shared" si="127"/>
        <v>95.453483306429163</v>
      </c>
      <c r="BR109" s="172">
        <f t="shared" si="127"/>
        <v>85.696006984746575</v>
      </c>
      <c r="BS109" s="172">
        <f t="shared" si="127"/>
        <v>57.363869476195063</v>
      </c>
      <c r="BT109" s="172">
        <f t="shared" si="127"/>
        <v>104.53228977413357</v>
      </c>
      <c r="BU109" s="172">
        <f t="shared" ref="BU109" si="128">+BU108/-BU105*365</f>
        <v>87.588420001360475</v>
      </c>
      <c r="BV109" s="55"/>
      <c r="BW109" s="172">
        <f>+BW108/-BW105*365</f>
        <v>38.801116400988498</v>
      </c>
      <c r="BX109" s="172">
        <f t="shared" ref="BX109:CL109" si="129">+BX108/-BX105*365</f>
        <v>42.64528120672135</v>
      </c>
      <c r="BY109" s="172">
        <f t="shared" si="129"/>
        <v>42.240838909792046</v>
      </c>
      <c r="BZ109" s="172">
        <f t="shared" si="129"/>
        <v>36.860650276813367</v>
      </c>
      <c r="CA109" s="172">
        <f t="shared" si="129"/>
        <v>67.355477250970381</v>
      </c>
      <c r="CB109" s="172">
        <f t="shared" si="129"/>
        <v>56.455070508331765</v>
      </c>
      <c r="CC109" s="172">
        <f t="shared" si="129"/>
        <v>58.956640890094704</v>
      </c>
      <c r="CD109" s="172">
        <f t="shared" si="129"/>
        <v>53.539381418478136</v>
      </c>
      <c r="CE109" s="172">
        <f t="shared" si="129"/>
        <v>65.680692062100903</v>
      </c>
      <c r="CF109" s="172">
        <f t="shared" si="129"/>
        <v>62.04797842103455</v>
      </c>
      <c r="CG109" s="172">
        <f t="shared" si="129"/>
        <v>57.984341637010672</v>
      </c>
      <c r="CH109" s="172">
        <f t="shared" si="129"/>
        <v>74.710080519406887</v>
      </c>
      <c r="CI109" s="172">
        <f t="shared" si="129"/>
        <v>62.89895605964989</v>
      </c>
      <c r="CJ109" s="172">
        <f t="shared" si="129"/>
        <v>62.058992653566911</v>
      </c>
      <c r="CK109" s="172">
        <f t="shared" si="129"/>
        <v>57.386585548838561</v>
      </c>
      <c r="CL109" s="172">
        <f t="shared" si="129"/>
        <v>70.813148643425833</v>
      </c>
      <c r="CM109" s="172">
        <f t="shared" si="59"/>
        <v>57.43162580679904</v>
      </c>
      <c r="CN109" s="172">
        <f t="shared" si="104"/>
        <v>57.363869476195063</v>
      </c>
      <c r="CO109" s="206"/>
      <c r="CP109" s="6"/>
      <c r="CQ109" s="128"/>
      <c r="CR109" s="128"/>
      <c r="CS109" s="128"/>
      <c r="CT109" s="130"/>
    </row>
    <row r="110" spans="1:98" x14ac:dyDescent="0.35">
      <c r="B110" s="168" t="str">
        <f>B15</f>
        <v>Adiantamentos a Produtores</v>
      </c>
      <c r="C110" s="169">
        <f>C15+C16+C29+C30</f>
        <v>52.995000000000005</v>
      </c>
      <c r="D110" s="170" t="s">
        <v>2</v>
      </c>
      <c r="E110" s="170" t="s">
        <v>2</v>
      </c>
      <c r="F110" s="170" t="s">
        <v>2</v>
      </c>
      <c r="G110" s="169">
        <f t="shared" ref="G110:AL110" si="130">G15+G16+G29+G30</f>
        <v>78.738</v>
      </c>
      <c r="H110" s="169">
        <f t="shared" si="130"/>
        <v>38.356000000000002</v>
      </c>
      <c r="I110" s="169">
        <f t="shared" si="130"/>
        <v>43.591999999999999</v>
      </c>
      <c r="J110" s="169">
        <f t="shared" si="130"/>
        <v>59.664999999999999</v>
      </c>
      <c r="K110" s="169">
        <f t="shared" si="130"/>
        <v>86.123000000000005</v>
      </c>
      <c r="L110" s="169">
        <f t="shared" si="130"/>
        <v>80.977999999999994</v>
      </c>
      <c r="M110" s="169">
        <f t="shared" si="130"/>
        <v>70.262</v>
      </c>
      <c r="N110" s="169">
        <f t="shared" si="130"/>
        <v>38.113</v>
      </c>
      <c r="O110" s="169">
        <f t="shared" si="130"/>
        <v>96.665000000000006</v>
      </c>
      <c r="P110" s="169">
        <f t="shared" si="130"/>
        <v>75.076999999999998</v>
      </c>
      <c r="Q110" s="169">
        <f t="shared" si="130"/>
        <v>40.814</v>
      </c>
      <c r="R110" s="169">
        <f t="shared" si="130"/>
        <v>74.945999999999998</v>
      </c>
      <c r="S110" s="169">
        <f t="shared" si="130"/>
        <v>123.878</v>
      </c>
      <c r="T110" s="169">
        <f t="shared" si="130"/>
        <v>119.535</v>
      </c>
      <c r="U110" s="169">
        <f t="shared" si="130"/>
        <v>79.938999999999993</v>
      </c>
      <c r="V110" s="169">
        <f t="shared" si="130"/>
        <v>109.60899999999999</v>
      </c>
      <c r="W110" s="169">
        <f t="shared" si="130"/>
        <v>134.113</v>
      </c>
      <c r="X110" s="169">
        <f t="shared" si="130"/>
        <v>127.37</v>
      </c>
      <c r="Y110" s="169">
        <f t="shared" si="130"/>
        <v>98.766999999999996</v>
      </c>
      <c r="Z110" s="169">
        <f t="shared" si="130"/>
        <v>189.518</v>
      </c>
      <c r="AA110" s="169">
        <f t="shared" si="130"/>
        <v>191.4</v>
      </c>
      <c r="AB110" s="169">
        <f t="shared" si="130"/>
        <v>176.89099999999999</v>
      </c>
      <c r="AC110" s="169">
        <f t="shared" si="130"/>
        <v>129.89500000000001</v>
      </c>
      <c r="AD110" s="169">
        <f t="shared" si="130"/>
        <v>221.84700000000001</v>
      </c>
      <c r="AE110" s="169">
        <f t="shared" si="130"/>
        <v>230.68799999999999</v>
      </c>
      <c r="AF110" s="169">
        <f t="shared" si="130"/>
        <v>200.05600000000001</v>
      </c>
      <c r="AG110" s="169">
        <f t="shared" si="130"/>
        <v>160.83799999999999</v>
      </c>
      <c r="AH110" s="169">
        <f t="shared" si="130"/>
        <v>304.42899999999997</v>
      </c>
      <c r="AI110" s="169">
        <f t="shared" si="130"/>
        <v>299.73599999999999</v>
      </c>
      <c r="AJ110" s="169">
        <f t="shared" si="130"/>
        <v>280.82499999999999</v>
      </c>
      <c r="AK110" s="169">
        <f t="shared" si="130"/>
        <v>292.43400000000003</v>
      </c>
      <c r="AL110" s="169">
        <f t="shared" si="130"/>
        <v>324.85599999999999</v>
      </c>
      <c r="AM110" s="169">
        <f t="shared" ref="AM110:BP110" si="131">AM15+AM16+AM29+AM30</f>
        <v>330.1</v>
      </c>
      <c r="AN110" s="169">
        <f t="shared" si="131"/>
        <v>306.82900000000001</v>
      </c>
      <c r="AO110" s="169">
        <f t="shared" si="131"/>
        <v>215.81700000000001</v>
      </c>
      <c r="AP110" s="169">
        <f t="shared" si="131"/>
        <v>283.40499999999997</v>
      </c>
      <c r="AQ110" s="169">
        <f t="shared" si="131"/>
        <v>316.60000000000002</v>
      </c>
      <c r="AR110" s="169">
        <f t="shared" si="131"/>
        <v>320.39999999999998</v>
      </c>
      <c r="AS110" s="169">
        <f t="shared" si="131"/>
        <v>265.20000000000005</v>
      </c>
      <c r="AT110" s="169">
        <f t="shared" si="131"/>
        <v>336.99999999999994</v>
      </c>
      <c r="AU110" s="169">
        <f t="shared" si="131"/>
        <v>432.52800000000002</v>
      </c>
      <c r="AV110" s="169">
        <f t="shared" si="131"/>
        <v>387.26700000000005</v>
      </c>
      <c r="AW110" s="169">
        <f t="shared" si="131"/>
        <v>347.09100000000001</v>
      </c>
      <c r="AX110" s="169">
        <f t="shared" si="131"/>
        <v>466.29</v>
      </c>
      <c r="AY110" s="169">
        <f t="shared" si="131"/>
        <v>502.226</v>
      </c>
      <c r="AZ110" s="169">
        <f t="shared" si="131"/>
        <v>582.60299999999995</v>
      </c>
      <c r="BA110" s="169">
        <f t="shared" si="131"/>
        <v>501.12</v>
      </c>
      <c r="BB110" s="169">
        <f t="shared" si="131"/>
        <v>538.39700000000005</v>
      </c>
      <c r="BC110" s="169">
        <f t="shared" si="131"/>
        <v>529.68399999999997</v>
      </c>
      <c r="BD110" s="169">
        <f t="shared" si="131"/>
        <v>454.13800000000003</v>
      </c>
      <c r="BE110" s="169">
        <f t="shared" si="131"/>
        <v>323.70499999999998</v>
      </c>
      <c r="BF110" s="169">
        <f t="shared" si="131"/>
        <v>445.04499999999996</v>
      </c>
      <c r="BG110" s="169">
        <f t="shared" si="131"/>
        <v>577.69799999999998</v>
      </c>
      <c r="BH110" s="169">
        <f t="shared" si="131"/>
        <v>564.72300000000007</v>
      </c>
      <c r="BI110" s="169">
        <f t="shared" si="131"/>
        <v>498.61099999999999</v>
      </c>
      <c r="BJ110" s="169">
        <f t="shared" si="131"/>
        <v>634.3889999999999</v>
      </c>
      <c r="BK110" s="169">
        <f t="shared" si="131"/>
        <v>701.827</v>
      </c>
      <c r="BL110" s="207">
        <f t="shared" si="131"/>
        <v>719.02800000000002</v>
      </c>
      <c r="BM110" s="207">
        <f t="shared" si="131"/>
        <v>489.13100000000003</v>
      </c>
      <c r="BN110" s="207">
        <f t="shared" si="131"/>
        <v>582.89400000000001</v>
      </c>
      <c r="BO110" s="207">
        <f t="shared" si="131"/>
        <v>562.00300000000004</v>
      </c>
      <c r="BP110" s="207">
        <f t="shared" si="131"/>
        <v>641.149</v>
      </c>
      <c r="BQ110" s="207">
        <f>BQ15+BQ16+BQ29+BQ30</f>
        <v>562.00300000000004</v>
      </c>
      <c r="BR110" s="207">
        <f>BR15+BR16+BR29+BR30</f>
        <v>727.625</v>
      </c>
      <c r="BS110" s="207">
        <f>BS15+BS16+BS29+BS30</f>
        <v>726.65200000000004</v>
      </c>
      <c r="BT110" s="207">
        <f>BT15+BT16+BT29+BT30</f>
        <v>650.28899999999999</v>
      </c>
      <c r="BU110" s="207">
        <f>BU15+BU16+BU29+BU30</f>
        <v>414.005</v>
      </c>
      <c r="BV110" s="164"/>
      <c r="BW110" s="169">
        <f t="shared" ref="BW110:CH110" si="132">BW15+BW16+BW29+BW30</f>
        <v>52.995000000000005</v>
      </c>
      <c r="BX110" s="169">
        <f t="shared" si="132"/>
        <v>78.738</v>
      </c>
      <c r="BY110" s="169">
        <f t="shared" si="132"/>
        <v>86.123000000000005</v>
      </c>
      <c r="BZ110" s="169">
        <f t="shared" si="132"/>
        <v>96.665000000000006</v>
      </c>
      <c r="CA110" s="169">
        <f t="shared" si="132"/>
        <v>123.878</v>
      </c>
      <c r="CB110" s="169">
        <f t="shared" si="132"/>
        <v>134.113</v>
      </c>
      <c r="CC110" s="169">
        <f t="shared" si="132"/>
        <v>191.4</v>
      </c>
      <c r="CD110" s="169">
        <f t="shared" si="132"/>
        <v>230.68799999999999</v>
      </c>
      <c r="CE110" s="169">
        <f t="shared" si="132"/>
        <v>299.73599999999999</v>
      </c>
      <c r="CF110" s="169">
        <f t="shared" si="132"/>
        <v>330.1</v>
      </c>
      <c r="CG110" s="169">
        <f t="shared" si="132"/>
        <v>316.60000000000002</v>
      </c>
      <c r="CH110" s="169">
        <f t="shared" si="132"/>
        <v>432.52800000000002</v>
      </c>
      <c r="CI110" s="169">
        <f>AY110</f>
        <v>502.226</v>
      </c>
      <c r="CJ110" s="169">
        <f t="shared" si="101"/>
        <v>529.68399999999997</v>
      </c>
      <c r="CK110" s="169">
        <f t="shared" si="102"/>
        <v>577.69799999999998</v>
      </c>
      <c r="CL110" s="169">
        <f t="shared" si="103"/>
        <v>701.827</v>
      </c>
      <c r="CM110" s="169">
        <f t="shared" si="59"/>
        <v>562.00300000000004</v>
      </c>
      <c r="CN110" s="169">
        <f t="shared" si="104"/>
        <v>726.65200000000004</v>
      </c>
      <c r="CO110" s="206"/>
      <c r="CP110" s="6"/>
      <c r="CT110" s="48"/>
    </row>
    <row r="111" spans="1:98" s="127" customFormat="1" x14ac:dyDescent="0.35">
      <c r="A111" s="5"/>
      <c r="B111" s="171" t="str">
        <f>IF(Control!$D$5=1,"Days","Dias")</f>
        <v>Dias</v>
      </c>
      <c r="C111" s="172">
        <f t="shared" ref="C111" si="133">+C110/-C105*365</f>
        <v>30.544186266846683</v>
      </c>
      <c r="D111" s="172" t="s">
        <v>2</v>
      </c>
      <c r="E111" s="172" t="s">
        <v>2</v>
      </c>
      <c r="F111" s="172" t="s">
        <v>2</v>
      </c>
      <c r="G111" s="172">
        <f t="shared" ref="G111:BR111" si="134">+G110/-G105*365</f>
        <v>24.644976782276498</v>
      </c>
      <c r="H111" s="172">
        <f t="shared" si="134"/>
        <v>11.386017747624583</v>
      </c>
      <c r="I111" s="172">
        <f t="shared" si="134"/>
        <v>13.612069518647953</v>
      </c>
      <c r="J111" s="172">
        <f t="shared" si="134"/>
        <v>20.7470924361422</v>
      </c>
      <c r="K111" s="172">
        <f t="shared" si="134"/>
        <v>31.002870006459982</v>
      </c>
      <c r="L111" s="172">
        <f t="shared" si="134"/>
        <v>29.368016183872957</v>
      </c>
      <c r="M111" s="172">
        <f t="shared" si="134"/>
        <v>24.861353735073376</v>
      </c>
      <c r="N111" s="172">
        <f t="shared" si="134"/>
        <v>12.960851668828168</v>
      </c>
      <c r="O111" s="172">
        <f t="shared" si="134"/>
        <v>33.107558412311157</v>
      </c>
      <c r="P111" s="172">
        <f t="shared" si="134"/>
        <v>25.770492743701052</v>
      </c>
      <c r="Q111" s="172">
        <f t="shared" si="134"/>
        <v>13.694676333858245</v>
      </c>
      <c r="R111" s="172">
        <f t="shared" si="134"/>
        <v>23.161956709487537</v>
      </c>
      <c r="S111" s="172">
        <f t="shared" si="134"/>
        <v>34.794941684545556</v>
      </c>
      <c r="T111" s="172">
        <f t="shared" si="134"/>
        <v>29.523662426825695</v>
      </c>
      <c r="U111" s="172">
        <f t="shared" si="134"/>
        <v>17.857548980486143</v>
      </c>
      <c r="V111" s="172">
        <f t="shared" si="134"/>
        <v>21.158650937369107</v>
      </c>
      <c r="W111" s="172">
        <f t="shared" si="134"/>
        <v>23.223459984552886</v>
      </c>
      <c r="X111" s="172">
        <f t="shared" si="134"/>
        <v>20.405757674316735</v>
      </c>
      <c r="Y111" s="172">
        <f t="shared" si="134"/>
        <v>14.472598579395251</v>
      </c>
      <c r="Z111" s="172">
        <f t="shared" si="134"/>
        <v>26.795245547300489</v>
      </c>
      <c r="AA111" s="172">
        <f t="shared" si="134"/>
        <v>25.850948804308974</v>
      </c>
      <c r="AB111" s="172">
        <f t="shared" si="134"/>
        <v>23.22712828893998</v>
      </c>
      <c r="AC111" s="172">
        <f t="shared" si="134"/>
        <v>16.996392561571657</v>
      </c>
      <c r="AD111" s="172">
        <f t="shared" si="134"/>
        <v>28.951239133116303</v>
      </c>
      <c r="AE111" s="172">
        <f t="shared" si="134"/>
        <v>29.81240739068782</v>
      </c>
      <c r="AF111" s="172">
        <f t="shared" si="134"/>
        <v>25.498572305057749</v>
      </c>
      <c r="AG111" s="172">
        <f t="shared" si="134"/>
        <v>19.817611808090181</v>
      </c>
      <c r="AH111" s="172">
        <f t="shared" si="134"/>
        <v>35.799610419192433</v>
      </c>
      <c r="AI111" s="172">
        <f t="shared" si="134"/>
        <v>34.244284462251152</v>
      </c>
      <c r="AJ111" s="172">
        <f t="shared" si="134"/>
        <v>30.975211339280907</v>
      </c>
      <c r="AK111" s="172">
        <f t="shared" si="134"/>
        <v>30.916964959671791</v>
      </c>
      <c r="AL111" s="172">
        <f t="shared" si="134"/>
        <v>33.219067918526562</v>
      </c>
      <c r="AM111" s="172">
        <f t="shared" si="134"/>
        <v>32.331551186714293</v>
      </c>
      <c r="AN111" s="172">
        <f t="shared" si="134"/>
        <v>29.375936419969406</v>
      </c>
      <c r="AO111" s="172">
        <f t="shared" si="134"/>
        <v>20.884351478057212</v>
      </c>
      <c r="AP111" s="172">
        <f t="shared" si="134"/>
        <v>28.24059791772229</v>
      </c>
      <c r="AQ111" s="172">
        <f t="shared" si="134"/>
        <v>32.899359430604989</v>
      </c>
      <c r="AR111" s="172">
        <f t="shared" si="134"/>
        <v>35.167065059942423</v>
      </c>
      <c r="AS111" s="172">
        <f t="shared" si="134"/>
        <v>29.553834735083178</v>
      </c>
      <c r="AT111" s="172">
        <f t="shared" si="134"/>
        <v>36.72898396232894</v>
      </c>
      <c r="AU111" s="172">
        <f t="shared" si="134"/>
        <v>44.759921748745434</v>
      </c>
      <c r="AV111" s="172">
        <f t="shared" si="134"/>
        <v>37.832201643336994</v>
      </c>
      <c r="AW111" s="172">
        <f t="shared" si="134"/>
        <v>32.934302043702452</v>
      </c>
      <c r="AX111" s="172">
        <f t="shared" si="134"/>
        <v>42.542538576674922</v>
      </c>
      <c r="AY111" s="172">
        <f t="shared" si="134"/>
        <v>44.222236214120436</v>
      </c>
      <c r="AZ111" s="172">
        <f t="shared" si="134"/>
        <v>47.147169608014636</v>
      </c>
      <c r="BA111" s="172">
        <f t="shared" si="134"/>
        <v>36.229679970051045</v>
      </c>
      <c r="BB111" s="172">
        <f t="shared" si="134"/>
        <v>35.909536940984367</v>
      </c>
      <c r="BC111" s="172">
        <f t="shared" si="134"/>
        <v>33.30488541417958</v>
      </c>
      <c r="BD111" s="172">
        <f t="shared" si="134"/>
        <v>26.314803790364703</v>
      </c>
      <c r="BE111" s="172">
        <f t="shared" si="134"/>
        <v>17.884067357807055</v>
      </c>
      <c r="BF111" s="172">
        <f t="shared" si="134"/>
        <v>23.600035071401678</v>
      </c>
      <c r="BG111" s="172">
        <f t="shared" si="134"/>
        <v>29.133524701624903</v>
      </c>
      <c r="BH111" s="172">
        <f t="shared" si="134"/>
        <v>28.323798576691438</v>
      </c>
      <c r="BI111" s="172">
        <f t="shared" si="134"/>
        <v>23.892345753891515</v>
      </c>
      <c r="BJ111" s="172">
        <f t="shared" si="134"/>
        <v>29.327358017160819</v>
      </c>
      <c r="BK111" s="172">
        <f t="shared" si="134"/>
        <v>31.68176300533354</v>
      </c>
      <c r="BL111" s="172">
        <f t="shared" si="134"/>
        <v>31.466644313853262</v>
      </c>
      <c r="BM111" s="172">
        <f t="shared" si="134"/>
        <v>20.878313316012896</v>
      </c>
      <c r="BN111" s="172">
        <f t="shared" si="134"/>
        <v>23.917347653324626</v>
      </c>
      <c r="BO111" s="172">
        <f t="shared" si="134"/>
        <v>22.859176673851714</v>
      </c>
      <c r="BP111" s="172">
        <f t="shared" si="134"/>
        <v>25.594638595867906</v>
      </c>
      <c r="BQ111" s="172">
        <f t="shared" si="134"/>
        <v>21.891089613324336</v>
      </c>
      <c r="BR111" s="172">
        <f t="shared" si="134"/>
        <v>27.905960466510695</v>
      </c>
      <c r="BS111" s="172">
        <f t="shared" ref="BS111:BT111" si="135">+BS110/-BS105*365</f>
        <v>26.863994299376476</v>
      </c>
      <c r="BT111" s="172">
        <f t="shared" si="135"/>
        <v>24.518705372029057</v>
      </c>
      <c r="BU111" s="172">
        <f>+BU110/-BU105*365</f>
        <v>16.036183224366216</v>
      </c>
      <c r="BV111" s="55"/>
      <c r="BW111" s="172">
        <f>+BW110/BW104*365</f>
        <v>22.379955987911718</v>
      </c>
      <c r="BX111" s="172">
        <f t="shared" ref="BX111:CL111" si="136">+BX110/BX104*365</f>
        <v>18.992182899920103</v>
      </c>
      <c r="BY111" s="172">
        <f t="shared" si="136"/>
        <v>23.938522683225312</v>
      </c>
      <c r="BZ111" s="172">
        <f t="shared" si="136"/>
        <v>25.081661944076764</v>
      </c>
      <c r="CA111" s="172">
        <f t="shared" si="136"/>
        <v>25.348717132224575</v>
      </c>
      <c r="CB111" s="172">
        <f t="shared" si="136"/>
        <v>17.632355467890299</v>
      </c>
      <c r="CC111" s="172">
        <f t="shared" si="136"/>
        <v>19.505729761000993</v>
      </c>
      <c r="CD111" s="172">
        <f t="shared" si="136"/>
        <v>22.906995028540869</v>
      </c>
      <c r="CE111" s="172">
        <f t="shared" si="136"/>
        <v>25.870172470748635</v>
      </c>
      <c r="CF111" s="172">
        <f t="shared" si="136"/>
        <v>24.351574268193627</v>
      </c>
      <c r="CG111" s="172">
        <f t="shared" si="136"/>
        <v>24.782114518550287</v>
      </c>
      <c r="CH111" s="172">
        <f t="shared" si="136"/>
        <v>33.244760781671168</v>
      </c>
      <c r="CI111" s="172">
        <f t="shared" si="136"/>
        <v>33.971386662737899</v>
      </c>
      <c r="CJ111" s="172">
        <f t="shared" si="136"/>
        <v>25.895420017422509</v>
      </c>
      <c r="CK111" s="172">
        <f t="shared" si="136"/>
        <v>23.387677633021582</v>
      </c>
      <c r="CL111" s="172">
        <f t="shared" si="136"/>
        <v>25.100882446431783</v>
      </c>
      <c r="CM111" s="172">
        <f t="shared" si="59"/>
        <v>22.859176673851714</v>
      </c>
      <c r="CN111" s="172">
        <f t="shared" si="104"/>
        <v>26.863994299376476</v>
      </c>
      <c r="CO111" s="206"/>
      <c r="CP111" s="6"/>
      <c r="CQ111" s="128"/>
      <c r="CR111" s="128"/>
      <c r="CS111" s="128"/>
      <c r="CT111" s="130"/>
    </row>
    <row r="112" spans="1:98" x14ac:dyDescent="0.35">
      <c r="B112" s="168" t="str">
        <f>B49</f>
        <v>Fornecedores</v>
      </c>
      <c r="C112" s="169">
        <f>C49</f>
        <v>80.103999999999999</v>
      </c>
      <c r="D112" s="170" t="s">
        <v>2</v>
      </c>
      <c r="E112" s="170" t="s">
        <v>2</v>
      </c>
      <c r="F112" s="170" t="s">
        <v>2</v>
      </c>
      <c r="G112" s="169">
        <f t="shared" ref="G112:AL112" si="137">G49</f>
        <v>159.22999999999999</v>
      </c>
      <c r="H112" s="169">
        <f t="shared" si="137"/>
        <v>344.67399999999998</v>
      </c>
      <c r="I112" s="169">
        <f t="shared" si="137"/>
        <v>206.358</v>
      </c>
      <c r="J112" s="169">
        <f t="shared" si="137"/>
        <v>165.346</v>
      </c>
      <c r="K112" s="169">
        <f t="shared" si="137"/>
        <v>160.05199999999999</v>
      </c>
      <c r="L112" s="169">
        <f t="shared" si="137"/>
        <v>346.10500000000002</v>
      </c>
      <c r="M112" s="169">
        <f t="shared" si="137"/>
        <v>193.04400000000001</v>
      </c>
      <c r="N112" s="169">
        <f t="shared" si="137"/>
        <v>168.02699999999999</v>
      </c>
      <c r="O112" s="169">
        <f t="shared" si="137"/>
        <v>143.977</v>
      </c>
      <c r="P112" s="169">
        <f t="shared" si="137"/>
        <v>351.685</v>
      </c>
      <c r="Q112" s="169">
        <f t="shared" si="137"/>
        <v>177.31899999999999</v>
      </c>
      <c r="R112" s="169">
        <f t="shared" si="137"/>
        <v>171.40799999999999</v>
      </c>
      <c r="S112" s="169">
        <f t="shared" si="137"/>
        <v>238.50899999999999</v>
      </c>
      <c r="T112" s="169">
        <f t="shared" si="137"/>
        <v>476.91300000000001</v>
      </c>
      <c r="U112" s="169">
        <f t="shared" si="137"/>
        <v>247.35400000000001</v>
      </c>
      <c r="V112" s="169">
        <f t="shared" si="137"/>
        <v>280.27800000000002</v>
      </c>
      <c r="W112" s="169">
        <f t="shared" si="137"/>
        <v>314.04199999999997</v>
      </c>
      <c r="X112" s="169">
        <f t="shared" si="137"/>
        <v>609.32299999999998</v>
      </c>
      <c r="Y112" s="169">
        <f t="shared" si="137"/>
        <v>417.94</v>
      </c>
      <c r="Z112" s="169">
        <f t="shared" si="137"/>
        <v>398.86099999999999</v>
      </c>
      <c r="AA112" s="169">
        <f t="shared" si="137"/>
        <v>349.43599999999998</v>
      </c>
      <c r="AB112" s="169">
        <f t="shared" si="137"/>
        <v>653.67200000000003</v>
      </c>
      <c r="AC112" s="169">
        <f t="shared" si="137"/>
        <v>396.94200000000001</v>
      </c>
      <c r="AD112" s="169">
        <f t="shared" si="137"/>
        <v>395.25299999999999</v>
      </c>
      <c r="AE112" s="169">
        <f t="shared" si="137"/>
        <v>418.60700000000003</v>
      </c>
      <c r="AF112" s="169">
        <f t="shared" si="137"/>
        <v>761.35599999999999</v>
      </c>
      <c r="AG112" s="169">
        <f t="shared" si="137"/>
        <v>521.452</v>
      </c>
      <c r="AH112" s="169">
        <f t="shared" si="137"/>
        <v>494.31700000000001</v>
      </c>
      <c r="AI112" s="169">
        <f t="shared" si="137"/>
        <v>460.56099999999998</v>
      </c>
      <c r="AJ112" s="169">
        <f t="shared" si="137"/>
        <v>857.08799999999997</v>
      </c>
      <c r="AK112" s="169">
        <f t="shared" si="137"/>
        <v>490.322</v>
      </c>
      <c r="AL112" s="169">
        <f t="shared" si="137"/>
        <v>495.22</v>
      </c>
      <c r="AM112" s="169">
        <f t="shared" ref="AM112:BL112" si="138">AM49</f>
        <v>467.9</v>
      </c>
      <c r="AN112" s="169">
        <f t="shared" si="138"/>
        <v>804.38699999999994</v>
      </c>
      <c r="AO112" s="169">
        <f t="shared" si="138"/>
        <v>380.54700000000003</v>
      </c>
      <c r="AP112" s="169">
        <f t="shared" si="138"/>
        <v>327.02699999999999</v>
      </c>
      <c r="AQ112" s="169">
        <f t="shared" si="138"/>
        <v>365.1</v>
      </c>
      <c r="AR112" s="169">
        <f t="shared" si="138"/>
        <v>771.3</v>
      </c>
      <c r="AS112" s="169">
        <f t="shared" si="138"/>
        <v>457.3</v>
      </c>
      <c r="AT112" s="169">
        <f t="shared" si="138"/>
        <v>405.8</v>
      </c>
      <c r="AU112" s="169">
        <f t="shared" si="138"/>
        <v>419.14699999999999</v>
      </c>
      <c r="AV112" s="169">
        <f t="shared" si="138"/>
        <v>911.2</v>
      </c>
      <c r="AW112" s="169">
        <f t="shared" si="138"/>
        <v>500.99799999999999</v>
      </c>
      <c r="AX112" s="169">
        <f t="shared" si="138"/>
        <v>509.40600000000001</v>
      </c>
      <c r="AY112" s="169">
        <f t="shared" si="138"/>
        <v>517.27</v>
      </c>
      <c r="AZ112" s="169">
        <f t="shared" si="138"/>
        <v>1176.2059999999999</v>
      </c>
      <c r="BA112" s="169">
        <f t="shared" si="138"/>
        <v>783.28499999999997</v>
      </c>
      <c r="BB112" s="169">
        <f t="shared" si="138"/>
        <v>747.94399999999996</v>
      </c>
      <c r="BC112" s="169">
        <f t="shared" si="138"/>
        <v>673.59900000000005</v>
      </c>
      <c r="BD112" s="169">
        <f t="shared" si="138"/>
        <v>1511.374</v>
      </c>
      <c r="BE112" s="169">
        <f t="shared" si="138"/>
        <v>834.42899999999997</v>
      </c>
      <c r="BF112" s="169">
        <f t="shared" si="138"/>
        <v>980.60599999999999</v>
      </c>
      <c r="BG112" s="169">
        <f t="shared" si="138"/>
        <v>1101.0360000000001</v>
      </c>
      <c r="BH112" s="169">
        <f t="shared" si="138"/>
        <v>1582.1079999999999</v>
      </c>
      <c r="BI112" s="169">
        <f t="shared" si="138"/>
        <v>1058.7909999999999</v>
      </c>
      <c r="BJ112" s="169">
        <f t="shared" si="138"/>
        <v>1042.1220000000001</v>
      </c>
      <c r="BK112" s="169">
        <f t="shared" si="138"/>
        <v>1023.498</v>
      </c>
      <c r="BL112" s="207">
        <f t="shared" si="138"/>
        <v>1735.7660000000001</v>
      </c>
      <c r="BM112" s="207">
        <f t="shared" ref="BM112:BR112" si="139">BM49</f>
        <v>1267.414</v>
      </c>
      <c r="BN112" s="207">
        <f t="shared" si="139"/>
        <v>1124.454</v>
      </c>
      <c r="BO112" s="207">
        <f t="shared" si="139"/>
        <v>945.65800000000002</v>
      </c>
      <c r="BP112" s="207">
        <f t="shared" si="139"/>
        <v>1946.433</v>
      </c>
      <c r="BQ112" s="207">
        <f t="shared" si="139"/>
        <v>1151.7629999999999</v>
      </c>
      <c r="BR112" s="207">
        <f t="shared" si="139"/>
        <v>1202.6890000000001</v>
      </c>
      <c r="BS112" s="207">
        <f>BS49</f>
        <v>1284.829</v>
      </c>
      <c r="BT112" s="207">
        <f>BT49</f>
        <v>2291.107</v>
      </c>
      <c r="BU112" s="207">
        <f>BU49</f>
        <v>1369.998</v>
      </c>
      <c r="BV112" s="164"/>
      <c r="BW112" s="169">
        <f t="shared" ref="BW112:CH112" si="140">BW49</f>
        <v>80.103999999999999</v>
      </c>
      <c r="BX112" s="169">
        <f t="shared" si="140"/>
        <v>159.22999999999999</v>
      </c>
      <c r="BY112" s="169">
        <f t="shared" si="140"/>
        <v>160.05199999999999</v>
      </c>
      <c r="BZ112" s="169">
        <f t="shared" si="140"/>
        <v>143.977</v>
      </c>
      <c r="CA112" s="169">
        <f t="shared" si="140"/>
        <v>238.50899999999999</v>
      </c>
      <c r="CB112" s="169">
        <f t="shared" si="140"/>
        <v>314.04199999999997</v>
      </c>
      <c r="CC112" s="169">
        <f t="shared" si="140"/>
        <v>349.43599999999998</v>
      </c>
      <c r="CD112" s="169">
        <f t="shared" si="140"/>
        <v>418.60700000000003</v>
      </c>
      <c r="CE112" s="169">
        <f t="shared" si="140"/>
        <v>460.56099999999998</v>
      </c>
      <c r="CF112" s="169">
        <f t="shared" si="140"/>
        <v>467.9</v>
      </c>
      <c r="CG112" s="169">
        <f t="shared" si="140"/>
        <v>365.1</v>
      </c>
      <c r="CH112" s="169">
        <f t="shared" si="140"/>
        <v>419.14699999999999</v>
      </c>
      <c r="CI112" s="169">
        <f>AY112</f>
        <v>517.27</v>
      </c>
      <c r="CJ112" s="169">
        <f t="shared" si="101"/>
        <v>673.59900000000005</v>
      </c>
      <c r="CK112" s="169">
        <f t="shared" si="102"/>
        <v>1101.0360000000001</v>
      </c>
      <c r="CL112" s="169">
        <f t="shared" si="103"/>
        <v>1023.498</v>
      </c>
      <c r="CM112" s="169">
        <f t="shared" si="59"/>
        <v>945.65800000000002</v>
      </c>
      <c r="CN112" s="169">
        <f t="shared" si="104"/>
        <v>1284.829</v>
      </c>
      <c r="CO112" s="206"/>
      <c r="CP112" s="6"/>
      <c r="CT112" s="48"/>
    </row>
    <row r="113" spans="1:98" s="127" customFormat="1" x14ac:dyDescent="0.35">
      <c r="A113" s="5"/>
      <c r="B113" s="162" t="str">
        <f>IF(Control!$D$5=1,"Days","Dias")</f>
        <v>Dias</v>
      </c>
      <c r="C113" s="163">
        <f>+C112/-C105*365</f>
        <v>46.168723402575466</v>
      </c>
      <c r="D113" s="163" t="s">
        <v>2</v>
      </c>
      <c r="E113" s="163" t="s">
        <v>2</v>
      </c>
      <c r="F113" s="163" t="s">
        <v>2</v>
      </c>
      <c r="G113" s="163">
        <f>+G112/-G105*365</f>
        <v>49.838955181003911</v>
      </c>
      <c r="H113" s="163">
        <f t="shared" ref="H113:BN113" si="141">+H112/-H105*365</f>
        <v>102.31682868768264</v>
      </c>
      <c r="I113" s="163">
        <f t="shared" si="141"/>
        <v>64.437498663267448</v>
      </c>
      <c r="J113" s="163">
        <f t="shared" si="141"/>
        <v>57.495160411403141</v>
      </c>
      <c r="K113" s="163">
        <f t="shared" si="141"/>
        <v>57.616099651358326</v>
      </c>
      <c r="L113" s="163">
        <f t="shared" si="141"/>
        <v>125.52072465755332</v>
      </c>
      <c r="M113" s="163">
        <f t="shared" si="141"/>
        <v>68.306270394146253</v>
      </c>
      <c r="N113" s="163">
        <f t="shared" si="141"/>
        <v>57.139900384598178</v>
      </c>
      <c r="O113" s="163">
        <f t="shared" si="141"/>
        <v>49.311818523036507</v>
      </c>
      <c r="P113" s="163">
        <f t="shared" si="141"/>
        <v>120.71734007177305</v>
      </c>
      <c r="Q113" s="163">
        <f t="shared" si="141"/>
        <v>59.497386015666443</v>
      </c>
      <c r="R113" s="163">
        <f t="shared" si="141"/>
        <v>52.97340319242975</v>
      </c>
      <c r="S113" s="163">
        <f t="shared" si="141"/>
        <v>66.99257936226995</v>
      </c>
      <c r="T113" s="163">
        <f t="shared" si="141"/>
        <v>117.79159592558432</v>
      </c>
      <c r="U113" s="163">
        <f t="shared" si="141"/>
        <v>55.25633508699346</v>
      </c>
      <c r="V113" s="163">
        <f t="shared" si="141"/>
        <v>54.104173630121053</v>
      </c>
      <c r="W113" s="163">
        <f t="shared" si="141"/>
        <v>54.380573251429439</v>
      </c>
      <c r="X113" s="163">
        <f t="shared" si="141"/>
        <v>97.618728769629371</v>
      </c>
      <c r="Y113" s="163">
        <f t="shared" si="141"/>
        <v>61.241891018988646</v>
      </c>
      <c r="Z113" s="163">
        <f t="shared" si="141"/>
        <v>56.393474151488626</v>
      </c>
      <c r="AA113" s="163">
        <f t="shared" si="141"/>
        <v>47.195674745990125</v>
      </c>
      <c r="AB113" s="163">
        <f t="shared" si="141"/>
        <v>85.832085311790735</v>
      </c>
      <c r="AC113" s="163">
        <f t="shared" si="141"/>
        <v>51.938735564689765</v>
      </c>
      <c r="AD113" s="163">
        <f t="shared" si="141"/>
        <v>51.580882865585814</v>
      </c>
      <c r="AE113" s="163">
        <f t="shared" si="141"/>
        <v>54.097666201075292</v>
      </c>
      <c r="AF113" s="163">
        <f t="shared" si="141"/>
        <v>97.04028379998374</v>
      </c>
      <c r="AG113" s="163">
        <f t="shared" si="141"/>
        <v>64.250570838683899</v>
      </c>
      <c r="AH113" s="163">
        <f t="shared" si="141"/>
        <v>58.12966577948864</v>
      </c>
      <c r="AI113" s="163">
        <f t="shared" si="141"/>
        <v>52.61824370852635</v>
      </c>
      <c r="AJ113" s="163">
        <f t="shared" si="141"/>
        <v>94.537459045176149</v>
      </c>
      <c r="AK113" s="163">
        <f t="shared" si="141"/>
        <v>51.838254419650895</v>
      </c>
      <c r="AL113" s="163">
        <f t="shared" si="141"/>
        <v>50.640119975043483</v>
      </c>
      <c r="AM113" s="163">
        <f t="shared" si="141"/>
        <v>45.828333233152435</v>
      </c>
      <c r="AN113" s="163">
        <f t="shared" si="141"/>
        <v>77.012346841562987</v>
      </c>
      <c r="AO113" s="163">
        <f t="shared" si="141"/>
        <v>36.825075420009718</v>
      </c>
      <c r="AP113" s="163">
        <f t="shared" si="141"/>
        <v>32.587420882620165</v>
      </c>
      <c r="AQ113" s="163">
        <f t="shared" si="141"/>
        <v>37.939217081850536</v>
      </c>
      <c r="AR113" s="163">
        <f t="shared" si="141"/>
        <v>84.657794259468147</v>
      </c>
      <c r="AS113" s="163">
        <f t="shared" si="141"/>
        <v>50.961420152162653</v>
      </c>
      <c r="AT113" s="163">
        <f t="shared" si="141"/>
        <v>44.227364070958714</v>
      </c>
      <c r="AU113" s="163">
        <f t="shared" si="141"/>
        <v>43.375196336934025</v>
      </c>
      <c r="AV113" s="163">
        <f t="shared" si="141"/>
        <v>89.015336027620904</v>
      </c>
      <c r="AW113" s="163">
        <f t="shared" si="141"/>
        <v>47.538021600360828</v>
      </c>
      <c r="AX113" s="163">
        <f t="shared" si="141"/>
        <v>46.476279581783153</v>
      </c>
      <c r="AY113" s="163">
        <f t="shared" si="141"/>
        <v>45.546897465440018</v>
      </c>
      <c r="AZ113" s="163">
        <f t="shared" si="141"/>
        <v>95.184514628253666</v>
      </c>
      <c r="BA113" s="163">
        <f t="shared" si="141"/>
        <v>56.629479716118759</v>
      </c>
      <c r="BB113" s="163">
        <f t="shared" si="141"/>
        <v>49.885721313060081</v>
      </c>
      <c r="BC113" s="163">
        <f t="shared" si="141"/>
        <v>42.353813802391528</v>
      </c>
      <c r="BD113" s="163">
        <f t="shared" si="141"/>
        <v>87.575825550512533</v>
      </c>
      <c r="BE113" s="163">
        <f t="shared" si="141"/>
        <v>46.100568237461836</v>
      </c>
      <c r="BF113" s="163">
        <f t="shared" si="141"/>
        <v>51.999990992432046</v>
      </c>
      <c r="BG113" s="163">
        <f t="shared" si="141"/>
        <v>55.525654413514125</v>
      </c>
      <c r="BH113" s="163">
        <f t="shared" si="141"/>
        <v>79.350953155037303</v>
      </c>
      <c r="BI113" s="163">
        <f t="shared" si="141"/>
        <v>50.73494297780946</v>
      </c>
      <c r="BJ113" s="163">
        <f t="shared" si="141"/>
        <v>48.176568306763947</v>
      </c>
      <c r="BK113" s="163">
        <f t="shared" si="141"/>
        <v>46.202584215815101</v>
      </c>
      <c r="BL113" s="163">
        <f t="shared" si="141"/>
        <v>75.96189763692071</v>
      </c>
      <c r="BM113" s="163">
        <f t="shared" si="141"/>
        <v>54.098935853792071</v>
      </c>
      <c r="BN113" s="163">
        <f t="shared" si="141"/>
        <v>46.138675708055807</v>
      </c>
      <c r="BO113" s="163">
        <f t="shared" ref="BO113:BT113" si="142">+BO112/-BO105*365</f>
        <v>38.464142175471061</v>
      </c>
      <c r="BP113" s="163">
        <f t="shared" si="142"/>
        <v>77.701515850560412</v>
      </c>
      <c r="BQ113" s="163">
        <f t="shared" si="142"/>
        <v>44.863367359802837</v>
      </c>
      <c r="BR113" s="163">
        <f t="shared" si="142"/>
        <v>46.125671448214781</v>
      </c>
      <c r="BS113" s="163">
        <f t="shared" si="142"/>
        <v>47.499544392189897</v>
      </c>
      <c r="BT113" s="163">
        <f t="shared" si="142"/>
        <v>86.384634383779172</v>
      </c>
      <c r="BU113" s="163">
        <f t="shared" ref="BU113" si="143">+BU112/-BU105*365</f>
        <v>53.065878298608148</v>
      </c>
      <c r="BV113" s="55"/>
      <c r="BW113" s="163">
        <f>+BW112/-BW105*365</f>
        <v>46.168723402575466</v>
      </c>
      <c r="BX113" s="163">
        <f t="shared" ref="BX113:CL113" si="144">+BX112/-BX105*365</f>
        <v>49.838955181003911</v>
      </c>
      <c r="BY113" s="163">
        <f t="shared" si="144"/>
        <v>57.616099651358326</v>
      </c>
      <c r="BZ113" s="163">
        <f t="shared" si="144"/>
        <v>49.311818523036507</v>
      </c>
      <c r="CA113" s="163">
        <f t="shared" si="144"/>
        <v>66.99257936226995</v>
      </c>
      <c r="CB113" s="163">
        <f t="shared" si="144"/>
        <v>54.380573251429432</v>
      </c>
      <c r="CC113" s="163">
        <f t="shared" si="144"/>
        <v>47.195674745990125</v>
      </c>
      <c r="CD113" s="163">
        <f t="shared" si="144"/>
        <v>54.097666201075292</v>
      </c>
      <c r="CE113" s="163">
        <f t="shared" si="144"/>
        <v>52.61824370852635</v>
      </c>
      <c r="CF113" s="163">
        <f t="shared" si="144"/>
        <v>45.828333233152435</v>
      </c>
      <c r="CG113" s="163">
        <f t="shared" si="144"/>
        <v>37.939217081850536</v>
      </c>
      <c r="CH113" s="163">
        <f t="shared" si="144"/>
        <v>43.375196336934025</v>
      </c>
      <c r="CI113" s="163">
        <f t="shared" si="144"/>
        <v>45.546897465440018</v>
      </c>
      <c r="CJ113" s="163">
        <f t="shared" si="144"/>
        <v>42.353813802391528</v>
      </c>
      <c r="CK113" s="163">
        <f t="shared" si="144"/>
        <v>55.525654413514125</v>
      </c>
      <c r="CL113" s="163">
        <f t="shared" si="144"/>
        <v>46.202584215815101</v>
      </c>
      <c r="CM113" s="163">
        <f t="shared" si="59"/>
        <v>38.464142175471061</v>
      </c>
      <c r="CN113" s="163">
        <f t="shared" si="104"/>
        <v>47.499544392189897</v>
      </c>
      <c r="CO113" s="206"/>
      <c r="CP113" s="6"/>
      <c r="CQ113" s="128"/>
      <c r="CR113" s="128"/>
      <c r="CS113" s="128"/>
      <c r="CT113" s="130"/>
    </row>
    <row r="114" spans="1:98" x14ac:dyDescent="0.35">
      <c r="B114" s="45" t="str">
        <f>IF(Control!$D$5=1,"Other Current Assets","Outros Ativos Correntes")</f>
        <v>Outros Ativos Correntes</v>
      </c>
      <c r="C114" s="110">
        <f>+C17+C18+C21+C20+C13+C19</f>
        <v>46.015999999999998</v>
      </c>
      <c r="D114" s="129" t="s">
        <v>2</v>
      </c>
      <c r="E114" s="129" t="s">
        <v>2</v>
      </c>
      <c r="F114" s="129" t="s">
        <v>2</v>
      </c>
      <c r="G114" s="110">
        <f t="shared" ref="G114:AL114" si="145">+G17+G18+G21+G20+G13+G19</f>
        <v>56.423999999999999</v>
      </c>
      <c r="H114" s="110">
        <f t="shared" si="145"/>
        <v>52.473999999999997</v>
      </c>
      <c r="I114" s="110">
        <f t="shared" si="145"/>
        <v>44.867999999999995</v>
      </c>
      <c r="J114" s="110">
        <f t="shared" si="145"/>
        <v>44.326999999999998</v>
      </c>
      <c r="K114" s="110">
        <f t="shared" si="145"/>
        <v>59.037999999999997</v>
      </c>
      <c r="L114" s="110">
        <f t="shared" si="145"/>
        <v>59.852000000000004</v>
      </c>
      <c r="M114" s="110">
        <f t="shared" si="145"/>
        <v>57.385000000000005</v>
      </c>
      <c r="N114" s="110">
        <f t="shared" si="145"/>
        <v>239.00400000000002</v>
      </c>
      <c r="O114" s="110">
        <f t="shared" si="145"/>
        <v>69.263000000000005</v>
      </c>
      <c r="P114" s="110">
        <f t="shared" si="145"/>
        <v>93.378999999999991</v>
      </c>
      <c r="Q114" s="110">
        <f t="shared" si="145"/>
        <v>100.11199999999999</v>
      </c>
      <c r="R114" s="110">
        <f t="shared" si="145"/>
        <v>104.423</v>
      </c>
      <c r="S114" s="110">
        <f t="shared" si="145"/>
        <v>112.78799999999998</v>
      </c>
      <c r="T114" s="110">
        <f t="shared" si="145"/>
        <v>116.88</v>
      </c>
      <c r="U114" s="110">
        <f t="shared" si="145"/>
        <v>115.66299999999998</v>
      </c>
      <c r="V114" s="110">
        <f t="shared" si="145"/>
        <v>159.364</v>
      </c>
      <c r="W114" s="110">
        <f t="shared" si="145"/>
        <v>156.864</v>
      </c>
      <c r="X114" s="110">
        <f t="shared" si="145"/>
        <v>166.57499999999999</v>
      </c>
      <c r="Y114" s="110">
        <f t="shared" si="145"/>
        <v>150.80100000000002</v>
      </c>
      <c r="Z114" s="110">
        <f t="shared" si="145"/>
        <v>168.29399999999998</v>
      </c>
      <c r="AA114" s="110">
        <f t="shared" si="145"/>
        <v>137.70099999999999</v>
      </c>
      <c r="AB114" s="110">
        <f t="shared" si="145"/>
        <v>152.547</v>
      </c>
      <c r="AC114" s="110">
        <f t="shared" si="145"/>
        <v>173.00700000000001</v>
      </c>
      <c r="AD114" s="110">
        <f t="shared" si="145"/>
        <v>186.26399999999998</v>
      </c>
      <c r="AE114" s="110">
        <f t="shared" si="145"/>
        <v>178.59300000000002</v>
      </c>
      <c r="AF114" s="110">
        <f t="shared" si="145"/>
        <v>202.73999999999998</v>
      </c>
      <c r="AG114" s="110">
        <f t="shared" si="145"/>
        <v>200.08099999999999</v>
      </c>
      <c r="AH114" s="110">
        <f t="shared" si="145"/>
        <v>213.494</v>
      </c>
      <c r="AI114" s="110">
        <f t="shared" si="145"/>
        <v>226.08299999999997</v>
      </c>
      <c r="AJ114" s="110">
        <f t="shared" si="145"/>
        <v>212.88300000000004</v>
      </c>
      <c r="AK114" s="110">
        <f t="shared" si="145"/>
        <v>156.23500000000001</v>
      </c>
      <c r="AL114" s="110">
        <f t="shared" si="145"/>
        <v>150.42400000000001</v>
      </c>
      <c r="AM114" s="110">
        <f t="shared" ref="AM114:BM114" si="146">+AM17+AM18+AM21+AM20+AM13+AM19</f>
        <v>138.9</v>
      </c>
      <c r="AN114" s="110">
        <f t="shared" si="146"/>
        <v>157.73599999999999</v>
      </c>
      <c r="AO114" s="110">
        <f t="shared" si="146"/>
        <v>131.76</v>
      </c>
      <c r="AP114" s="110">
        <f t="shared" si="146"/>
        <v>127.29900000000001</v>
      </c>
      <c r="AQ114" s="110">
        <f t="shared" si="146"/>
        <v>143.6</v>
      </c>
      <c r="AR114" s="110">
        <f t="shared" si="146"/>
        <v>173</v>
      </c>
      <c r="AS114" s="110">
        <f t="shared" si="146"/>
        <v>151.79999999999998</v>
      </c>
      <c r="AT114" s="110">
        <f t="shared" si="146"/>
        <v>311.59999999999997</v>
      </c>
      <c r="AU114" s="110">
        <f t="shared" si="146"/>
        <v>266.483</v>
      </c>
      <c r="AV114" s="110">
        <f t="shared" si="146"/>
        <v>281.24099999999999</v>
      </c>
      <c r="AW114" s="110">
        <f t="shared" si="146"/>
        <v>262.76099999999997</v>
      </c>
      <c r="AX114" s="110">
        <f t="shared" si="146"/>
        <v>253.316</v>
      </c>
      <c r="AY114" s="110">
        <f t="shared" si="146"/>
        <v>244.98499999999999</v>
      </c>
      <c r="AZ114" s="110">
        <f t="shared" si="146"/>
        <v>314.12999999999994</v>
      </c>
      <c r="BA114" s="110">
        <f t="shared" si="146"/>
        <v>265.77199999999999</v>
      </c>
      <c r="BB114" s="110">
        <f t="shared" si="146"/>
        <v>265.67900000000003</v>
      </c>
      <c r="BC114" s="110">
        <f t="shared" si="146"/>
        <v>282.30400000000003</v>
      </c>
      <c r="BD114" s="110">
        <f t="shared" si="146"/>
        <v>283.65299999999996</v>
      </c>
      <c r="BE114" s="110">
        <f t="shared" si="146"/>
        <v>275.96800000000002</v>
      </c>
      <c r="BF114" s="110">
        <f t="shared" si="146"/>
        <v>284.61699999999996</v>
      </c>
      <c r="BG114" s="110">
        <f t="shared" si="146"/>
        <v>315.46899999999999</v>
      </c>
      <c r="BH114" s="110">
        <f t="shared" si="146"/>
        <v>330.09399999999999</v>
      </c>
      <c r="BI114" s="110">
        <f t="shared" si="146"/>
        <v>314.31246131999995</v>
      </c>
      <c r="BJ114" s="110">
        <f t="shared" si="146"/>
        <v>375.72399999999999</v>
      </c>
      <c r="BK114" s="110">
        <f t="shared" si="146"/>
        <v>299.70299999999997</v>
      </c>
      <c r="BL114" s="58">
        <f t="shared" si="146"/>
        <v>382.40224630733303</v>
      </c>
      <c r="BM114" s="58">
        <f t="shared" si="146"/>
        <v>320.59399999999999</v>
      </c>
      <c r="BN114" s="58">
        <f t="shared" ref="BN114:BS114" si="147">+BN17+BN18+BN21+BN20+BN13+BN19</f>
        <v>315.108</v>
      </c>
      <c r="BO114" s="58">
        <f t="shared" si="147"/>
        <v>271.32400000000001</v>
      </c>
      <c r="BP114" s="58">
        <f t="shared" si="147"/>
        <v>299.43900000000002</v>
      </c>
      <c r="BQ114" s="58">
        <f t="shared" si="147"/>
        <v>296.00599999999997</v>
      </c>
      <c r="BR114" s="58">
        <f t="shared" si="147"/>
        <v>418.44199999999995</v>
      </c>
      <c r="BS114" s="58">
        <f t="shared" si="147"/>
        <v>311.65000000000003</v>
      </c>
      <c r="BT114" s="58">
        <f t="shared" ref="BT114" si="148">+BT17+BT18+BT21+BT20+BT13+BT19</f>
        <v>360.517</v>
      </c>
      <c r="BU114" s="58">
        <f t="shared" ref="BU114" si="149">+BU17+BU18+BU21+BU20+BU13+BU19</f>
        <v>400.27699999999999</v>
      </c>
      <c r="BV114" s="55"/>
      <c r="BW114" s="110">
        <f t="shared" ref="BW114:CH114" si="150">+BW17+BW18+BW21+BW20+BW13</f>
        <v>46.015999999999998</v>
      </c>
      <c r="BX114" s="110">
        <f t="shared" si="150"/>
        <v>56.423999999999999</v>
      </c>
      <c r="BY114" s="110">
        <f t="shared" si="150"/>
        <v>59.037999999999997</v>
      </c>
      <c r="BZ114" s="110">
        <f t="shared" si="150"/>
        <v>69.263000000000005</v>
      </c>
      <c r="CA114" s="110">
        <f t="shared" si="150"/>
        <v>112.78799999999998</v>
      </c>
      <c r="CB114" s="110">
        <f t="shared" si="150"/>
        <v>156.864</v>
      </c>
      <c r="CC114" s="110">
        <f t="shared" si="150"/>
        <v>137.70099999999999</v>
      </c>
      <c r="CD114" s="110">
        <f t="shared" si="150"/>
        <v>178.59300000000002</v>
      </c>
      <c r="CE114" s="110">
        <f t="shared" si="150"/>
        <v>226.08299999999997</v>
      </c>
      <c r="CF114" s="110">
        <f t="shared" si="150"/>
        <v>138.9</v>
      </c>
      <c r="CG114" s="110">
        <f t="shared" si="150"/>
        <v>143.6</v>
      </c>
      <c r="CH114" s="110">
        <f t="shared" si="150"/>
        <v>266.483</v>
      </c>
      <c r="CI114" s="110">
        <f>AY114</f>
        <v>244.98499999999999</v>
      </c>
      <c r="CJ114" s="110">
        <f t="shared" si="101"/>
        <v>282.30400000000003</v>
      </c>
      <c r="CK114" s="110">
        <f t="shared" si="102"/>
        <v>315.46899999999999</v>
      </c>
      <c r="CL114" s="110">
        <f t="shared" si="103"/>
        <v>299.70299999999997</v>
      </c>
      <c r="CM114" s="110">
        <f t="shared" si="59"/>
        <v>271.32400000000001</v>
      </c>
      <c r="CN114" s="110">
        <f t="shared" si="104"/>
        <v>311.65000000000003</v>
      </c>
      <c r="CO114" s="206"/>
      <c r="CP114" s="6"/>
      <c r="CT114" s="48"/>
    </row>
    <row r="115" spans="1:98" x14ac:dyDescent="0.35">
      <c r="B115" s="150" t="str">
        <f>IF(Control!$D$5=1,"Other Current Liabilities","Outros Passivos Correntes")</f>
        <v>Outros Passivos Correntes</v>
      </c>
      <c r="C115" s="151">
        <f>+C55+C56+C58+C59+C60+C57+C61+C62+C63+C51+C66+C64+C53+C54</f>
        <v>26.274000000000001</v>
      </c>
      <c r="D115" s="157" t="s">
        <v>2</v>
      </c>
      <c r="E115" s="157" t="s">
        <v>2</v>
      </c>
      <c r="F115" s="157" t="s">
        <v>2</v>
      </c>
      <c r="G115" s="151">
        <f t="shared" ref="G115:AL115" si="151">+G55+G56+G58+G59+G60+G57+G61+G62+G63+G51+G66+G64+G53+G54</f>
        <v>57.785000000000011</v>
      </c>
      <c r="H115" s="151">
        <f t="shared" si="151"/>
        <v>75.531000000000006</v>
      </c>
      <c r="I115" s="151">
        <f t="shared" si="151"/>
        <v>42.610999999999997</v>
      </c>
      <c r="J115" s="151">
        <f t="shared" si="151"/>
        <v>37.212999999999994</v>
      </c>
      <c r="K115" s="151">
        <f t="shared" si="151"/>
        <v>52.179000000000002</v>
      </c>
      <c r="L115" s="151">
        <f t="shared" si="151"/>
        <v>82.040999999999997</v>
      </c>
      <c r="M115" s="151">
        <f t="shared" si="151"/>
        <v>62.723999999999997</v>
      </c>
      <c r="N115" s="151">
        <f t="shared" si="151"/>
        <v>67.186999999999998</v>
      </c>
      <c r="O115" s="151">
        <f t="shared" si="151"/>
        <v>58.163000000000004</v>
      </c>
      <c r="P115" s="151">
        <f t="shared" si="151"/>
        <v>115.78299999999999</v>
      </c>
      <c r="Q115" s="151">
        <f t="shared" si="151"/>
        <v>99.739000000000004</v>
      </c>
      <c r="R115" s="151">
        <f t="shared" si="151"/>
        <v>100.595</v>
      </c>
      <c r="S115" s="151">
        <f t="shared" si="151"/>
        <v>98.990000000000009</v>
      </c>
      <c r="T115" s="151">
        <f t="shared" si="151"/>
        <v>126.15300000000001</v>
      </c>
      <c r="U115" s="151">
        <f t="shared" si="151"/>
        <v>121.28700000000001</v>
      </c>
      <c r="V115" s="151">
        <f t="shared" si="151"/>
        <v>207.86</v>
      </c>
      <c r="W115" s="151">
        <f t="shared" si="151"/>
        <v>217.97599999999997</v>
      </c>
      <c r="X115" s="151">
        <f t="shared" si="151"/>
        <v>212.40600000000003</v>
      </c>
      <c r="Y115" s="151">
        <f t="shared" si="151"/>
        <v>235.75199999999998</v>
      </c>
      <c r="Z115" s="151">
        <f t="shared" si="151"/>
        <v>235.57400000000001</v>
      </c>
      <c r="AA115" s="151">
        <f t="shared" si="151"/>
        <v>202.94499999999999</v>
      </c>
      <c r="AB115" s="151">
        <f t="shared" si="151"/>
        <v>211.99699999999999</v>
      </c>
      <c r="AC115" s="151">
        <f t="shared" si="151"/>
        <v>191.39500000000001</v>
      </c>
      <c r="AD115" s="151">
        <f t="shared" si="151"/>
        <v>245.05</v>
      </c>
      <c r="AE115" s="151">
        <f t="shared" si="151"/>
        <v>216.21000000000004</v>
      </c>
      <c r="AF115" s="151">
        <f t="shared" si="151"/>
        <v>290.21100000000001</v>
      </c>
      <c r="AG115" s="151">
        <f t="shared" si="151"/>
        <v>268.404</v>
      </c>
      <c r="AH115" s="151">
        <f t="shared" si="151"/>
        <v>188.05099999999999</v>
      </c>
      <c r="AI115" s="151">
        <f t="shared" si="151"/>
        <v>206.18099999999998</v>
      </c>
      <c r="AJ115" s="151">
        <f t="shared" si="151"/>
        <v>235.25100000000003</v>
      </c>
      <c r="AK115" s="151">
        <f t="shared" si="151"/>
        <v>216.971</v>
      </c>
      <c r="AL115" s="151">
        <f t="shared" si="151"/>
        <v>200.93100000000001</v>
      </c>
      <c r="AM115" s="151">
        <f t="shared" ref="AM115:BI115" si="152">+AM55+AM56+AM58+AM59+AM60+AM57+AM61+AM62+AM63+AM51+AM66+AM64+AM53+AM54</f>
        <v>162.29999999999998</v>
      </c>
      <c r="AN115" s="151">
        <f t="shared" si="152"/>
        <v>210.87</v>
      </c>
      <c r="AO115" s="151">
        <f t="shared" si="152"/>
        <v>186.00799999999998</v>
      </c>
      <c r="AP115" s="151">
        <f t="shared" si="152"/>
        <v>163.06399999999999</v>
      </c>
      <c r="AQ115" s="151">
        <f t="shared" si="152"/>
        <v>134.79999999999998</v>
      </c>
      <c r="AR115" s="151">
        <f t="shared" si="152"/>
        <v>197.2</v>
      </c>
      <c r="AS115" s="151">
        <f t="shared" si="152"/>
        <v>223.5</v>
      </c>
      <c r="AT115" s="151">
        <f t="shared" si="152"/>
        <v>238.5</v>
      </c>
      <c r="AU115" s="151">
        <f t="shared" si="152"/>
        <v>174.321</v>
      </c>
      <c r="AV115" s="151">
        <f t="shared" si="152"/>
        <v>202.39999999999998</v>
      </c>
      <c r="AW115" s="151">
        <f t="shared" si="152"/>
        <v>226.45600000000002</v>
      </c>
      <c r="AX115" s="151">
        <f t="shared" si="152"/>
        <v>196.411</v>
      </c>
      <c r="AY115" s="151">
        <f t="shared" si="152"/>
        <v>166.93199999999999</v>
      </c>
      <c r="AZ115" s="151">
        <f t="shared" si="152"/>
        <v>236.82599999999999</v>
      </c>
      <c r="BA115" s="151">
        <f t="shared" si="152"/>
        <v>244.161</v>
      </c>
      <c r="BB115" s="151">
        <f t="shared" si="152"/>
        <v>240.09599999999998</v>
      </c>
      <c r="BC115" s="151">
        <f t="shared" si="152"/>
        <v>245.09000000000003</v>
      </c>
      <c r="BD115" s="151">
        <f t="shared" si="152"/>
        <v>263.51500000000004</v>
      </c>
      <c r="BE115" s="151">
        <f t="shared" si="152"/>
        <v>245.48299999999998</v>
      </c>
      <c r="BF115" s="151">
        <f t="shared" si="152"/>
        <v>293.07799999999997</v>
      </c>
      <c r="BG115" s="151">
        <f t="shared" si="152"/>
        <v>263.71999999999997</v>
      </c>
      <c r="BH115" s="151">
        <f t="shared" si="152"/>
        <v>342.53899999999999</v>
      </c>
      <c r="BI115" s="151">
        <f t="shared" si="152"/>
        <v>295.83800000000008</v>
      </c>
      <c r="BJ115" s="151">
        <f t="shared" ref="BJ115:BO115" si="153">+BJ55+BJ56+BJ58+BJ59+BJ60+BJ57+BJ61+BJ62+BJ63+BJ51+BJ66+BJ64+BJ53+BJ54+BJ65</f>
        <v>365.63299999999998</v>
      </c>
      <c r="BK115" s="151">
        <f t="shared" si="153"/>
        <v>388.15399999999994</v>
      </c>
      <c r="BL115" s="209">
        <f t="shared" si="153"/>
        <v>397.429752463684</v>
      </c>
      <c r="BM115" s="209">
        <f t="shared" si="153"/>
        <v>442.20400000000001</v>
      </c>
      <c r="BN115" s="209">
        <f t="shared" si="153"/>
        <v>376.209</v>
      </c>
      <c r="BO115" s="209">
        <f t="shared" si="153"/>
        <v>330.7</v>
      </c>
      <c r="BP115" s="209">
        <f t="shared" ref="BP115:BT115" si="154">+BP55+BP56+BP58+BP59+BP60+BP57+BP61+BP62+BP63+BP51+BP66+BP64+BP53+BP54+BP65</f>
        <v>489.72540174103199</v>
      </c>
      <c r="BQ115" s="209">
        <f t="shared" si="154"/>
        <v>430.64599999999996</v>
      </c>
      <c r="BR115" s="209">
        <f t="shared" si="154"/>
        <v>458.50300000000004</v>
      </c>
      <c r="BS115" s="209">
        <f t="shared" si="154"/>
        <v>386.51299999999998</v>
      </c>
      <c r="BT115" s="209">
        <f t="shared" si="154"/>
        <v>379.58899999999994</v>
      </c>
      <c r="BU115" s="209">
        <f t="shared" ref="BU115" si="155">+BU55+BU56+BU58+BU59+BU60+BU57+BU61+BU62+BU63+BU51+BU66+BU64+BU53+BU54+BU65</f>
        <v>421.24200000000008</v>
      </c>
      <c r="BV115" s="55"/>
      <c r="BW115" s="151">
        <f t="shared" ref="BW115:CH115" si="156">+BW55+BW56+BW58+BW59+BW60+BW57+BW61+BW62+BW63+BW51+BW66+BW64</f>
        <v>26.274000000000001</v>
      </c>
      <c r="BX115" s="151">
        <f t="shared" si="156"/>
        <v>57.785000000000011</v>
      </c>
      <c r="BY115" s="151">
        <f t="shared" si="156"/>
        <v>52.179000000000002</v>
      </c>
      <c r="BZ115" s="151">
        <f t="shared" si="156"/>
        <v>58.163000000000004</v>
      </c>
      <c r="CA115" s="151">
        <f t="shared" si="156"/>
        <v>98.990000000000009</v>
      </c>
      <c r="CB115" s="151">
        <f t="shared" si="156"/>
        <v>217.97599999999997</v>
      </c>
      <c r="CC115" s="151">
        <f t="shared" si="156"/>
        <v>202.94499999999999</v>
      </c>
      <c r="CD115" s="151">
        <f t="shared" si="156"/>
        <v>216.21000000000004</v>
      </c>
      <c r="CE115" s="151">
        <f t="shared" si="156"/>
        <v>206.18099999999998</v>
      </c>
      <c r="CF115" s="151">
        <f t="shared" si="156"/>
        <v>162.29999999999998</v>
      </c>
      <c r="CG115" s="151">
        <f t="shared" si="156"/>
        <v>134.79999999999998</v>
      </c>
      <c r="CH115" s="151">
        <f t="shared" si="156"/>
        <v>174.321</v>
      </c>
      <c r="CI115" s="151">
        <f>AY115</f>
        <v>166.93199999999999</v>
      </c>
      <c r="CJ115" s="151">
        <f t="shared" si="101"/>
        <v>245.09000000000003</v>
      </c>
      <c r="CK115" s="151">
        <f t="shared" si="102"/>
        <v>263.71999999999997</v>
      </c>
      <c r="CL115" s="151">
        <f t="shared" si="103"/>
        <v>388.15399999999994</v>
      </c>
      <c r="CM115" s="151">
        <f t="shared" si="59"/>
        <v>330.7</v>
      </c>
      <c r="CN115" s="151">
        <f t="shared" si="104"/>
        <v>386.51299999999998</v>
      </c>
      <c r="CO115" s="206"/>
      <c r="CP115" s="6"/>
      <c r="CT115" s="48"/>
    </row>
    <row r="116" spans="1:98" x14ac:dyDescent="0.35">
      <c r="AS116" s="189"/>
      <c r="AU116" s="189"/>
      <c r="AV116" s="189"/>
      <c r="AW116" s="189"/>
      <c r="AX116" s="189"/>
      <c r="AY116" s="189"/>
      <c r="AZ116" s="189"/>
      <c r="BA116" s="189"/>
      <c r="BB116" s="189"/>
      <c r="BC116" s="189"/>
      <c r="BD116" s="189"/>
      <c r="BE116" s="189"/>
      <c r="BF116" s="189"/>
      <c r="BG116" s="189"/>
      <c r="BH116" s="189"/>
      <c r="BI116" s="189"/>
      <c r="BJ116" s="189"/>
      <c r="BK116" s="189"/>
      <c r="BL116" s="189"/>
      <c r="BM116" s="189"/>
      <c r="BN116" s="189"/>
      <c r="BO116" s="189"/>
      <c r="BP116" s="189"/>
      <c r="BQ116" s="189"/>
      <c r="BR116" s="189"/>
      <c r="BS116" s="189"/>
      <c r="BT116" s="189"/>
      <c r="BU116" s="189"/>
      <c r="BV116" s="55"/>
      <c r="CE116" s="189"/>
      <c r="CF116" s="189"/>
      <c r="CG116" s="189"/>
      <c r="CH116" s="189"/>
      <c r="CI116" s="189"/>
      <c r="CJ116" s="189"/>
      <c r="CK116" s="189"/>
      <c r="CL116" s="189"/>
      <c r="CM116" s="189"/>
      <c r="CN116" s="189"/>
    </row>
    <row r="117" spans="1:98" x14ac:dyDescent="0.35">
      <c r="AS117" s="189"/>
      <c r="AT117" s="189"/>
      <c r="AU117" s="189"/>
      <c r="AV117" s="189"/>
      <c r="AW117" s="189"/>
      <c r="AX117" s="189"/>
      <c r="AY117" s="189"/>
      <c r="AZ117" s="189"/>
      <c r="BA117" s="189"/>
      <c r="BB117" s="189"/>
      <c r="BC117" s="189"/>
      <c r="BD117" s="189"/>
      <c r="BE117" s="189"/>
      <c r="BF117" s="189"/>
      <c r="BG117" s="189"/>
      <c r="BH117" s="189"/>
      <c r="BI117" s="189"/>
      <c r="BJ117" s="189"/>
      <c r="BK117" s="189"/>
      <c r="BL117" s="189"/>
      <c r="BM117" s="189"/>
      <c r="BN117" s="189"/>
      <c r="BO117" s="189"/>
      <c r="BP117" s="189"/>
      <c r="BQ117" s="189"/>
      <c r="BR117" s="189"/>
      <c r="BS117" s="189"/>
      <c r="BT117" s="189"/>
      <c r="BU117" s="189"/>
      <c r="BV117" s="55"/>
    </row>
    <row r="118" spans="1:98" x14ac:dyDescent="0.35">
      <c r="BV118" s="55"/>
    </row>
    <row r="119" spans="1:98" x14ac:dyDescent="0.35">
      <c r="BV119" s="55"/>
    </row>
    <row r="120" spans="1:98" x14ac:dyDescent="0.35">
      <c r="BV120" s="55"/>
    </row>
    <row r="121" spans="1:98" x14ac:dyDescent="0.35">
      <c r="BV121" s="55"/>
    </row>
    <row r="122" spans="1:98" x14ac:dyDescent="0.35">
      <c r="BV122" s="55"/>
    </row>
    <row r="123" spans="1:98" x14ac:dyDescent="0.35">
      <c r="BV123" s="55"/>
    </row>
    <row r="124" spans="1:98" x14ac:dyDescent="0.35">
      <c r="BV124" s="55"/>
    </row>
    <row r="125" spans="1:98" x14ac:dyDescent="0.35">
      <c r="BV125" s="55"/>
    </row>
    <row r="126" spans="1:98" x14ac:dyDescent="0.35">
      <c r="BV126" s="55"/>
    </row>
    <row r="127" spans="1:98" x14ac:dyDescent="0.35">
      <c r="BV127" s="55"/>
    </row>
    <row r="128" spans="1:98" x14ac:dyDescent="0.35">
      <c r="BV128" s="55"/>
    </row>
    <row r="129" spans="74:74" x14ac:dyDescent="0.35">
      <c r="BV129" s="55"/>
    </row>
    <row r="130" spans="74:74" x14ac:dyDescent="0.35">
      <c r="BV130" s="55"/>
    </row>
    <row r="131" spans="74:74" x14ac:dyDescent="0.35">
      <c r="BV131" s="55"/>
    </row>
    <row r="132" spans="74:74" x14ac:dyDescent="0.35">
      <c r="BV132" s="55"/>
    </row>
    <row r="133" spans="74:74" x14ac:dyDescent="0.35">
      <c r="BV133" s="55"/>
    </row>
    <row r="134" spans="74:74" x14ac:dyDescent="0.35">
      <c r="BV134" s="55"/>
    </row>
    <row r="135" spans="74:74" x14ac:dyDescent="0.35">
      <c r="BV135" s="55"/>
    </row>
    <row r="136" spans="74:74" x14ac:dyDescent="0.35">
      <c r="BV136" s="55"/>
    </row>
    <row r="137" spans="74:74" x14ac:dyDescent="0.35">
      <c r="BV137" s="55"/>
    </row>
    <row r="138" spans="74:74" x14ac:dyDescent="0.35">
      <c r="BV138" s="55"/>
    </row>
    <row r="139" spans="74:74" x14ac:dyDescent="0.35">
      <c r="BV139" s="55"/>
    </row>
    <row r="140" spans="74:74" x14ac:dyDescent="0.35">
      <c r="BV140" s="55"/>
    </row>
    <row r="141" spans="74:74" x14ac:dyDescent="0.35">
      <c r="BV141" s="55"/>
    </row>
    <row r="142" spans="74:74" x14ac:dyDescent="0.35">
      <c r="BV142" s="55"/>
    </row>
    <row r="143" spans="74:74" x14ac:dyDescent="0.35">
      <c r="BV143" s="55"/>
    </row>
    <row r="144" spans="74:74" x14ac:dyDescent="0.35">
      <c r="BV144" s="55"/>
    </row>
    <row r="145" spans="74:74" x14ac:dyDescent="0.35">
      <c r="BV145" s="55"/>
    </row>
    <row r="146" spans="74:74" x14ac:dyDescent="0.35">
      <c r="BV146" s="55"/>
    </row>
  </sheetData>
  <phoneticPr fontId="9" type="noConversion"/>
  <pageMargins left="0.51" right="0.51" top="0.79" bottom="0.79" header="0.31" footer="0.31"/>
  <pageSetup paperSize="9" scale="17" orientation="portrait" r:id="rId1"/>
  <ignoredErrors>
    <ignoredError sqref="C9:I9 D103:F103 B10 B86:AL87 B102 B92:AN93 B49:AL49 B48:AM48 B67:AN68 B96 B99:AN101 B97 D97:F97 B91 P89 B22:AN24 B21:AL21 AN21 B38:AN38 B26:AL26 B45:AN47 B41:AL43 AN41:AN43 AN49 B66:AL66 AN66 B71:AL74 B79:AN81 B82:AL82 AN82 AN86:AN87 B94:AN95 AN71:AN77 C63:AL63 B85 AN17:AN18 B17:AL18 C27:AL27 AN26:AN27 AN51:AN52 B51:AL52 C55:AL55 AN55 B58:AL62 AN58:AN63 AN69 B69:AL69 AW8:AX8 BW9:CH9 B11:AL14 AN11:AN15 C15:AL15 AN37 B37:AL37 C112 G112:AN112 B31:AL35 AN31:AN35 B25:J25 L25:AN25 BH39:BK39 AT39:BG39 B39 C39:AN39 AO39:AQ39 G104:BL105 B76:AL77 C75:AL75 BM105:BP105 AZ9 AY9 AT9:AV9 AO9:AQ9 AM9:AN9 J9:AH9 AJ9 AI9 AK9:AL9 AW9:AX9 BA9:BM9 BQ105:BR105 BS105:BU105" formulaRange="1"/>
    <ignoredError sqref="B112 B110 AS48 AR39:AS39 AS9 AR9" formula="1" formulaRange="1"/>
    <ignoredError sqref="B111 B113 B107 B108 AR48 AR86:AS87 AR79:AS83 AR17:AS18 AR45:AS47 AR49:AS52 AR55:AS55 AR71:AS77 AR66:AS69 AR91:AS93 AS88 AR21:AS27 AR11:AS15 AR41:AS43 AR58:AS64 AR31:AS35 AR89:AS89 AR37:AS38 AR94:AS95 AR96:AS96 AR97:AS97 AR106:AS106 CD103:CL115 AR99:AS10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  <pageSetUpPr fitToPage="1"/>
  </sheetPr>
  <dimension ref="A1:CH88"/>
  <sheetViews>
    <sheetView showGridLines="0" zoomScale="80" zoomScaleNormal="80" workbookViewId="0">
      <pane xSplit="2" ySplit="7" topLeftCell="BR8" activePane="bottomRight" state="frozen"/>
      <selection activeCell="B29" sqref="B29"/>
      <selection pane="topRight" activeCell="B29" sqref="B29"/>
      <selection pane="bottomLeft" activeCell="B29" sqref="B29"/>
      <selection pane="bottomRight" activeCell="BU3" sqref="BU3"/>
    </sheetView>
  </sheetViews>
  <sheetFormatPr defaultColWidth="11.7265625" defaultRowHeight="10.5" outlineLevelRow="1" x14ac:dyDescent="0.25"/>
  <cols>
    <col min="1" max="1" width="5.26953125" style="5" customWidth="1"/>
    <col min="2" max="2" width="54.54296875" style="5" customWidth="1"/>
    <col min="3" max="3" width="11.81640625" style="60" customWidth="1"/>
    <col min="4" max="4" width="11.81640625" style="5" customWidth="1"/>
    <col min="5" max="7" width="11.81640625" style="60" customWidth="1"/>
    <col min="8" max="8" width="11.81640625" style="5" customWidth="1"/>
    <col min="9" max="11" width="11.81640625" style="60" customWidth="1"/>
    <col min="12" max="12" width="11.81640625" style="5" customWidth="1"/>
    <col min="13" max="15" width="11.81640625" style="60" customWidth="1"/>
    <col min="16" max="16" width="11.81640625" style="5" customWidth="1"/>
    <col min="17" max="19" width="11.81640625" style="60" customWidth="1"/>
    <col min="20" max="20" width="11.81640625" style="5" customWidth="1"/>
    <col min="21" max="62" width="11.81640625" style="60" customWidth="1"/>
    <col min="63" max="73" width="15.453125" style="60" customWidth="1"/>
    <col min="74" max="74" width="7.7265625" style="60" customWidth="1"/>
    <col min="75" max="86" width="14.26953125" style="60" customWidth="1"/>
    <col min="87" max="16384" width="11.7265625" style="5"/>
  </cols>
  <sheetData>
    <row r="1" spans="1:86" s="14" customFormat="1" ht="13" x14ac:dyDescent="0.3">
      <c r="C1" s="53"/>
      <c r="E1" s="53"/>
      <c r="F1" s="53"/>
      <c r="G1" s="53"/>
      <c r="I1" s="53"/>
      <c r="J1" s="53"/>
      <c r="K1" s="53"/>
      <c r="M1" s="53"/>
      <c r="N1" s="53"/>
      <c r="O1" s="53"/>
      <c r="Q1" s="53"/>
      <c r="R1" s="53"/>
      <c r="S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</row>
    <row r="2" spans="1:86" s="14" customFormat="1" ht="18.5" x14ac:dyDescent="0.45">
      <c r="B2" s="15" t="str">
        <f>IF(Control!$D$5=1,"Income Statement","Demonstrativo de Resultados")</f>
        <v>Demonstrativo de Resultados</v>
      </c>
      <c r="C2" s="54"/>
      <c r="D2" s="15"/>
      <c r="E2" s="54"/>
      <c r="F2" s="54"/>
      <c r="G2" s="54"/>
      <c r="H2" s="15"/>
      <c r="I2" s="54"/>
      <c r="J2" s="54"/>
      <c r="K2" s="54"/>
      <c r="L2" s="15"/>
      <c r="M2" s="54"/>
      <c r="N2" s="54"/>
      <c r="O2" s="54"/>
      <c r="P2" s="15"/>
      <c r="Q2" s="54"/>
      <c r="R2" s="54"/>
      <c r="S2" s="54"/>
      <c r="T2" s="15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218"/>
      <c r="BQ2" s="218"/>
      <c r="BR2" s="218"/>
      <c r="BS2" s="218"/>
      <c r="BT2" s="218"/>
      <c r="BU2" s="218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</row>
    <row r="3" spans="1:86" s="14" customFormat="1" ht="14.5" x14ac:dyDescent="0.35">
      <c r="B3" s="21" t="str">
        <f>IF(Control!$D$5=1,"Food Products by Region","Alimentício por Região")</f>
        <v>Alimentício por Região</v>
      </c>
      <c r="C3" s="53"/>
      <c r="D3" s="21"/>
      <c r="E3" s="53"/>
      <c r="F3" s="53"/>
      <c r="G3" s="53"/>
      <c r="H3" s="21"/>
      <c r="I3" s="53"/>
      <c r="J3" s="53"/>
      <c r="K3" s="53"/>
      <c r="L3" s="21"/>
      <c r="M3" s="53"/>
      <c r="N3" s="53"/>
      <c r="O3" s="53"/>
      <c r="P3" s="21"/>
      <c r="Q3" s="53"/>
      <c r="R3" s="53"/>
      <c r="S3" s="53"/>
      <c r="T3" s="21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</row>
    <row r="4" spans="1:86" s="14" customFormat="1" ht="13" x14ac:dyDescent="0.3">
      <c r="C4" s="55"/>
      <c r="E4" s="55"/>
      <c r="F4" s="55"/>
      <c r="G4" s="55"/>
      <c r="I4" s="55"/>
      <c r="J4" s="55"/>
      <c r="K4" s="55"/>
      <c r="M4" s="55"/>
      <c r="N4" s="55"/>
      <c r="O4" s="55"/>
      <c r="Q4" s="55"/>
      <c r="R4" s="55"/>
      <c r="S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</row>
    <row r="5" spans="1:86" s="6" customFormat="1" ht="14.5" x14ac:dyDescent="0.35">
      <c r="B5" s="22" t="str">
        <f>IF(Control!$D$5=1,"Food Products Brasil","Alimentício Brasil")</f>
        <v>Alimentício Brasil</v>
      </c>
      <c r="C5" s="81"/>
      <c r="D5" s="81"/>
      <c r="E5" s="81"/>
      <c r="F5" s="81"/>
      <c r="G5" s="81"/>
      <c r="H5" s="81"/>
      <c r="I5" s="81"/>
      <c r="J5" s="82"/>
      <c r="K5" s="81"/>
      <c r="L5" s="81"/>
      <c r="M5" s="81"/>
      <c r="N5" s="82"/>
      <c r="O5" s="81"/>
      <c r="P5" s="81"/>
      <c r="Q5" s="81"/>
      <c r="R5" s="82"/>
      <c r="S5" s="81"/>
      <c r="T5" s="81"/>
      <c r="U5" s="81"/>
      <c r="V5" s="82"/>
      <c r="W5" s="81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5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</row>
    <row r="6" spans="1:86" s="6" customFormat="1" ht="14.5" x14ac:dyDescent="0.35">
      <c r="B6" s="22" t="str">
        <f>IF(Control!$D$5=1,"In "&amp;TEXT(Control!$D$8,0)&amp;" "&amp;TEXT(Control!$D$7,0)&amp;", except where noted","Em "&amp;TEXT(Control!$D$8,0)&amp;" "&amp;TEXT(Control!$D$7,0)&amp;", exceto se especificado")</f>
        <v>Em milhões R$, exceto se especificado</v>
      </c>
      <c r="C6" s="56" t="str">
        <f>IF(Control!$D$5=1,"4Q07","4T07")</f>
        <v>4T07</v>
      </c>
      <c r="D6" s="56" t="str">
        <f>IF(Control!$D$5=1,"1Q08","1T08")</f>
        <v>1T08</v>
      </c>
      <c r="E6" s="56" t="s">
        <v>6</v>
      </c>
      <c r="F6" s="56" t="s">
        <v>7</v>
      </c>
      <c r="G6" s="56" t="str">
        <f>IF(Control!$D$5=1,"4Q08","4T08")</f>
        <v>4T08</v>
      </c>
      <c r="H6" s="56" t="str">
        <f>IF(Control!$D$5=1,"1Q09","1T09")</f>
        <v>1T09</v>
      </c>
      <c r="I6" s="56" t="str">
        <f>IF(Control!$D$5=1,"2Q09","2T09")</f>
        <v>2T09</v>
      </c>
      <c r="J6" s="56" t="str">
        <f>IF(Control!$D$5=1,"3Q09","3T09")</f>
        <v>3T09</v>
      </c>
      <c r="K6" s="56" t="str">
        <f>IF(Control!$D$5=1,"4Q09","4T09")</f>
        <v>4T09</v>
      </c>
      <c r="L6" s="56" t="str">
        <f>IF(Control!$D$5=1,"1Q10","1T10")</f>
        <v>1T10</v>
      </c>
      <c r="M6" s="56" t="str">
        <f>IF(Control!$D$5=1,"2Q10","2T10")</f>
        <v>2T10</v>
      </c>
      <c r="N6" s="56" t="str">
        <f>IF(Control!$D$5=1,"3Q10","3T10")</f>
        <v>3T10</v>
      </c>
      <c r="O6" s="56" t="str">
        <f>IF(Control!$D$5=1,"4Q10","4T10")</f>
        <v>4T10</v>
      </c>
      <c r="P6" s="56" t="str">
        <f>IF(Control!$D$5=1,"1Q11","1T11")</f>
        <v>1T11</v>
      </c>
      <c r="Q6" s="56" t="str">
        <f>IF(Control!$D$5=1,"2Q11","2T11")</f>
        <v>2T11</v>
      </c>
      <c r="R6" s="56" t="str">
        <f>IF(Control!$D$5=1,"3Q11","3T11")</f>
        <v>3T11</v>
      </c>
      <c r="S6" s="56" t="str">
        <f>IF(Control!$D$5=1,"4Q11","4T11")</f>
        <v>4T11</v>
      </c>
      <c r="T6" s="56" t="str">
        <f>IF(Control!$D$5=1,"1Q12","1T12")</f>
        <v>1T12</v>
      </c>
      <c r="U6" s="56" t="str">
        <f>IF(Control!$D$5=1,"2Q12","2T12")</f>
        <v>2T12</v>
      </c>
      <c r="V6" s="56" t="str">
        <f>IF(Control!$D$5=1,"3Q12","3T12")</f>
        <v>3T12</v>
      </c>
      <c r="W6" s="56" t="str">
        <f>IF(Control!$D$5=1,"4Q12","4T12")</f>
        <v>4T12</v>
      </c>
      <c r="X6" s="56" t="str">
        <f>IF(Control!$D$5=1,"1Q13","1T13")</f>
        <v>1T13</v>
      </c>
      <c r="Y6" s="56" t="str">
        <f>IF(Control!$D$5=1,"2Q13","2T13")</f>
        <v>2T13</v>
      </c>
      <c r="Z6" s="56" t="str">
        <f>IF(Control!$D$5=1,"3Q13","3T13")</f>
        <v>3T13</v>
      </c>
      <c r="AA6" s="56" t="str">
        <f>IF(Control!$D$5=1,"4Q13","4T13")</f>
        <v>4T13</v>
      </c>
      <c r="AB6" s="56" t="str">
        <f>IF(Control!$D$5=1,"1Q14","1T14")</f>
        <v>1T14</v>
      </c>
      <c r="AC6" s="56" t="str">
        <f>IF(Control!$D$5=1,"2Q14","2T14")</f>
        <v>2T14</v>
      </c>
      <c r="AD6" s="56" t="str">
        <f>IF(Control!$D$5=1,"3Q14","3T14")</f>
        <v>3T14</v>
      </c>
      <c r="AE6" s="56" t="str">
        <f>IF(Control!$D$5=1,"4Q14","4T14")</f>
        <v>4T14</v>
      </c>
      <c r="AF6" s="56" t="str">
        <f>IF(Control!$D$5=1,"1Q15","1T15")</f>
        <v>1T15</v>
      </c>
      <c r="AG6" s="56" t="str">
        <f>IF(Control!$D$5=1,"2Q15","2T15")</f>
        <v>2T15</v>
      </c>
      <c r="AH6" s="56" t="str">
        <f>IF(Control!$D$5=1,"3Q15","3T15")</f>
        <v>3T15</v>
      </c>
      <c r="AI6" s="56" t="str">
        <f>IF(Control!$D$5=1,"4Q15","4T15")</f>
        <v>4T15</v>
      </c>
      <c r="AJ6" s="56" t="str">
        <f>IF(Control!$D$5=1,"1Q16","1T16")</f>
        <v>1T16</v>
      </c>
      <c r="AK6" s="56" t="str">
        <f>IF(Control!$D$5=1,"2Q16","2T16")</f>
        <v>2T16</v>
      </c>
      <c r="AL6" s="56" t="str">
        <f>IF(Control!$D$5=1,"3Q16","3T16")</f>
        <v>3T16</v>
      </c>
      <c r="AM6" s="56" t="str">
        <f>IF(Control!$D$5=1,"4Q16","4T16")</f>
        <v>4T16</v>
      </c>
      <c r="AN6" s="56" t="str">
        <f>IF(Control!$D$5=1,"1Q17","1T17")</f>
        <v>1T17</v>
      </c>
      <c r="AO6" s="56" t="str">
        <f>IF(Control!$D$5=1,"2Q17","2T17")</f>
        <v>2T17</v>
      </c>
      <c r="AP6" s="56" t="str">
        <f>IF(Control!$D$5=1,"3Q17","3T17")</f>
        <v>3T17</v>
      </c>
      <c r="AQ6" s="56" t="str">
        <f>IF(Control!$D$5=1,"4Q17","4T17")</f>
        <v>4T17</v>
      </c>
      <c r="AR6" s="56" t="str">
        <f>IF(Control!$D$5=1,"1Q18","1T18")</f>
        <v>1T18</v>
      </c>
      <c r="AS6" s="56" t="str">
        <f>IF(Control!$D$5=1,"2Q18","2T18")</f>
        <v>2T18</v>
      </c>
      <c r="AT6" s="56" t="str">
        <f>IF(Control!$D$5=1,"3Q18","3T18")</f>
        <v>3T18</v>
      </c>
      <c r="AU6" s="56" t="str">
        <f>IF(Control!$D$5=1,"4Q18","4T18")</f>
        <v>4T18</v>
      </c>
      <c r="AV6" s="56" t="str">
        <f>IF(Control!$D$5=1,"1Q19","1T19")</f>
        <v>1T19</v>
      </c>
      <c r="AW6" s="56" t="str">
        <f>IF(Control!$D$5=1,"2Q19","2T19")</f>
        <v>2T19</v>
      </c>
      <c r="AX6" s="56" t="str">
        <f>IF(Control!$D$5=1,"3Q19","3T19")</f>
        <v>3T19</v>
      </c>
      <c r="AY6" s="56" t="str">
        <f>IF(Control!$D$5=1,"4Q19","4T19")</f>
        <v>4T19</v>
      </c>
      <c r="AZ6" s="56" t="str">
        <f>IF(Control!$D$5=1,"1Q20","1T20")</f>
        <v>1T20</v>
      </c>
      <c r="BA6" s="56" t="str">
        <f>IF(Control!$D$5=1,"2Q20","2T20")</f>
        <v>2T20</v>
      </c>
      <c r="BB6" s="56" t="str">
        <f>IF(Control!$D$5=1,"3Q20","3T20")</f>
        <v>3T20</v>
      </c>
      <c r="BC6" s="56" t="str">
        <f>IF(Control!$D$5=1,"4Q20","4T20")</f>
        <v>4T20</v>
      </c>
      <c r="BD6" s="56" t="str">
        <f>IF(Control!$D$5=1,"1Q21","1T21")</f>
        <v>1T21</v>
      </c>
      <c r="BE6" s="56" t="str">
        <f>IF(Control!$D$5=1,"2Q21","2T21")</f>
        <v>2T21</v>
      </c>
      <c r="BF6" s="56" t="str">
        <f>IF(Control!$D$5=1,"3Q21","3T21")</f>
        <v>3T21</v>
      </c>
      <c r="BG6" s="56" t="str">
        <f>IF(Control!$D$5=1,"4Q21","4T21")</f>
        <v>4T21</v>
      </c>
      <c r="BH6" s="56" t="str">
        <f>IF(Control!$D$5=1,"1Q22","1T22")</f>
        <v>1T22</v>
      </c>
      <c r="BI6" s="56" t="str">
        <f>IF(Control!$D$5=1,"2Q22","2T22")</f>
        <v>2T22</v>
      </c>
      <c r="BJ6" s="56" t="str">
        <f>IF(Control!$D$5=1,"3Q22","3T22")</f>
        <v>3T22</v>
      </c>
      <c r="BK6" s="56" t="str">
        <f>IF(Control!$D$5=1,"4Q22","4T22")</f>
        <v>4T22</v>
      </c>
      <c r="BL6" s="56" t="str">
        <f>IF(Control!$D$5=1,"1Q23","1T23")</f>
        <v>1T23</v>
      </c>
      <c r="BM6" s="56" t="str">
        <f>IF(Control!$D$5=1,"2Q23","2T23")</f>
        <v>2T23</v>
      </c>
      <c r="BN6" s="56" t="str">
        <f>IF(Control!$D$5=1,"3Q23","3T23")</f>
        <v>3T23</v>
      </c>
      <c r="BO6" s="56" t="str">
        <f>IF(Control!$D$5=1,"4Q23","4T23")</f>
        <v>4T23</v>
      </c>
      <c r="BP6" s="56" t="str">
        <f>IF(Control!$D$5=1,"1Q24","1T24")</f>
        <v>1T24</v>
      </c>
      <c r="BQ6" s="56" t="str">
        <f>IF(Control!$D$5=1,"2Q24","2T24")</f>
        <v>2T24</v>
      </c>
      <c r="BR6" s="56" t="str">
        <f>IF(Control!$D$5=1,"3Q24","3T24")</f>
        <v>3T24</v>
      </c>
      <c r="BS6" s="56" t="str">
        <f>IF(Control!$D$5=1,"4Q24","4T24")</f>
        <v>4T24</v>
      </c>
      <c r="BT6" s="56" t="str">
        <f>IF(Control!$D$5=1,"1Q25","1T25")</f>
        <v>1T25</v>
      </c>
      <c r="BU6" s="56" t="str">
        <f>IF(Control!$D$5=1,"2Q25","2T25")</f>
        <v>2T25</v>
      </c>
      <c r="BV6" s="55"/>
      <c r="BW6" s="56" t="str">
        <f>IF(Control!$D$5=1,"12M13","12M13")</f>
        <v>12M13</v>
      </c>
      <c r="BX6" s="56" t="str">
        <f>IF(Control!$D$5=1,"12M14","12M14")</f>
        <v>12M14</v>
      </c>
      <c r="BY6" s="56" t="str">
        <f>IF(Control!$D$5=1,"12M15","12M15")</f>
        <v>12M15</v>
      </c>
      <c r="BZ6" s="56" t="s">
        <v>5</v>
      </c>
      <c r="CA6" s="56" t="s">
        <v>8</v>
      </c>
      <c r="CB6" s="56" t="s">
        <v>10</v>
      </c>
      <c r="CC6" s="56" t="s">
        <v>11</v>
      </c>
      <c r="CD6" s="56" t="s">
        <v>12</v>
      </c>
      <c r="CE6" s="56" t="s">
        <v>15</v>
      </c>
      <c r="CF6" s="56" t="s">
        <v>16</v>
      </c>
      <c r="CG6" s="56" t="s">
        <v>20</v>
      </c>
      <c r="CH6" s="56" t="s">
        <v>27</v>
      </c>
    </row>
    <row r="7" spans="1:86" s="61" customFormat="1" ht="14.5" x14ac:dyDescent="0.35">
      <c r="B7" s="22" t="str">
        <f>IF(Control!$D$5=1,"Closing Date","Data Fechamento")</f>
        <v>Data Fechamento</v>
      </c>
      <c r="C7" s="236">
        <v>39506</v>
      </c>
      <c r="D7" s="236">
        <v>39599</v>
      </c>
      <c r="E7" s="236">
        <v>39690</v>
      </c>
      <c r="F7" s="236">
        <v>39782</v>
      </c>
      <c r="G7" s="236">
        <v>39872</v>
      </c>
      <c r="H7" s="236">
        <v>39964</v>
      </c>
      <c r="I7" s="236">
        <v>40056</v>
      </c>
      <c r="J7" s="236">
        <v>40147</v>
      </c>
      <c r="K7" s="236">
        <v>40237</v>
      </c>
      <c r="L7" s="236">
        <v>40329</v>
      </c>
      <c r="M7" s="236">
        <v>40421</v>
      </c>
      <c r="N7" s="236">
        <v>40512</v>
      </c>
      <c r="O7" s="236">
        <v>40602</v>
      </c>
      <c r="P7" s="236">
        <v>40694</v>
      </c>
      <c r="Q7" s="236">
        <v>40786</v>
      </c>
      <c r="R7" s="236">
        <v>40877</v>
      </c>
      <c r="S7" s="236">
        <v>40968</v>
      </c>
      <c r="T7" s="236">
        <v>41060</v>
      </c>
      <c r="U7" s="236">
        <v>41152</v>
      </c>
      <c r="V7" s="236">
        <v>41243</v>
      </c>
      <c r="W7" s="236">
        <v>41333</v>
      </c>
      <c r="X7" s="236">
        <v>41425</v>
      </c>
      <c r="Y7" s="236">
        <v>41517</v>
      </c>
      <c r="Z7" s="236">
        <v>41608</v>
      </c>
      <c r="AA7" s="236">
        <v>41698</v>
      </c>
      <c r="AB7" s="236">
        <v>41790</v>
      </c>
      <c r="AC7" s="236">
        <v>41882</v>
      </c>
      <c r="AD7" s="236">
        <v>41973</v>
      </c>
      <c r="AE7" s="236">
        <v>42063</v>
      </c>
      <c r="AF7" s="236">
        <v>42155</v>
      </c>
      <c r="AG7" s="236">
        <v>42247</v>
      </c>
      <c r="AH7" s="236">
        <v>42338</v>
      </c>
      <c r="AI7" s="236">
        <v>42429</v>
      </c>
      <c r="AJ7" s="236">
        <v>42521</v>
      </c>
      <c r="AK7" s="236">
        <v>42613</v>
      </c>
      <c r="AL7" s="236">
        <v>42704</v>
      </c>
      <c r="AM7" s="236">
        <v>42794</v>
      </c>
      <c r="AN7" s="236">
        <v>42886</v>
      </c>
      <c r="AO7" s="236">
        <v>42978</v>
      </c>
      <c r="AP7" s="236">
        <v>43069</v>
      </c>
      <c r="AQ7" s="236">
        <v>43159</v>
      </c>
      <c r="AR7" s="236">
        <v>43251</v>
      </c>
      <c r="AS7" s="236">
        <v>43343</v>
      </c>
      <c r="AT7" s="236">
        <v>43434</v>
      </c>
      <c r="AU7" s="236">
        <v>43524</v>
      </c>
      <c r="AV7" s="236">
        <v>43616</v>
      </c>
      <c r="AW7" s="236">
        <v>43708</v>
      </c>
      <c r="AX7" s="236">
        <v>43799</v>
      </c>
      <c r="AY7" s="236">
        <v>43890</v>
      </c>
      <c r="AZ7" s="236">
        <v>43982</v>
      </c>
      <c r="BA7" s="236">
        <v>44074</v>
      </c>
      <c r="BB7" s="236">
        <v>44165</v>
      </c>
      <c r="BC7" s="236">
        <v>44255</v>
      </c>
      <c r="BD7" s="236">
        <v>44347</v>
      </c>
      <c r="BE7" s="236">
        <v>44439</v>
      </c>
      <c r="BF7" s="236">
        <v>44530</v>
      </c>
      <c r="BG7" s="236">
        <v>44620</v>
      </c>
      <c r="BH7" s="236">
        <v>44712</v>
      </c>
      <c r="BI7" s="236">
        <v>44804</v>
      </c>
      <c r="BJ7" s="236">
        <v>44895</v>
      </c>
      <c r="BK7" s="236">
        <v>44985</v>
      </c>
      <c r="BL7" s="236">
        <v>45077</v>
      </c>
      <c r="BM7" s="236">
        <v>45169</v>
      </c>
      <c r="BN7" s="236">
        <v>45260</v>
      </c>
      <c r="BO7" s="236">
        <v>45351</v>
      </c>
      <c r="BP7" s="236">
        <v>45443</v>
      </c>
      <c r="BQ7" s="236">
        <v>45535</v>
      </c>
      <c r="BR7" s="236">
        <v>45626</v>
      </c>
      <c r="BS7" s="236">
        <v>45716</v>
      </c>
      <c r="BT7" s="236">
        <v>45808</v>
      </c>
      <c r="BU7" s="236">
        <v>45900</v>
      </c>
      <c r="BV7" s="55"/>
      <c r="BW7" s="236">
        <v>41698</v>
      </c>
      <c r="BX7" s="236">
        <v>42063</v>
      </c>
      <c r="BY7" s="236">
        <v>42429</v>
      </c>
      <c r="BZ7" s="236">
        <v>42794</v>
      </c>
      <c r="CA7" s="236">
        <v>43159</v>
      </c>
      <c r="CB7" s="236">
        <v>43524</v>
      </c>
      <c r="CC7" s="236">
        <v>43890</v>
      </c>
      <c r="CD7" s="236">
        <v>44255</v>
      </c>
      <c r="CE7" s="236">
        <v>44620</v>
      </c>
      <c r="CF7" s="236">
        <v>44985</v>
      </c>
      <c r="CG7" s="236">
        <v>45351</v>
      </c>
      <c r="CH7" s="236">
        <v>45716</v>
      </c>
    </row>
    <row r="8" spans="1:86" ht="5.25" customHeight="1" x14ac:dyDescent="0.35">
      <c r="B8" s="10"/>
      <c r="C8" s="59"/>
      <c r="D8" s="10"/>
      <c r="E8" s="59"/>
      <c r="F8" s="59"/>
      <c r="G8" s="59"/>
      <c r="H8" s="10"/>
      <c r="I8" s="59"/>
      <c r="J8" s="59"/>
      <c r="K8" s="59"/>
      <c r="L8" s="10"/>
      <c r="M8" s="59"/>
      <c r="N8" s="59"/>
      <c r="O8" s="59"/>
      <c r="P8" s="10"/>
      <c r="Q8" s="59"/>
      <c r="R8" s="59"/>
      <c r="S8" s="59"/>
      <c r="T8" s="10"/>
      <c r="U8" s="59"/>
      <c r="V8" s="59"/>
      <c r="W8" s="59"/>
      <c r="X8" s="63"/>
      <c r="Y8" s="63"/>
      <c r="Z8" s="63"/>
      <c r="AA8" s="63"/>
      <c r="AB8" s="63"/>
      <c r="AC8" s="57"/>
      <c r="AD8" s="57"/>
      <c r="AE8" s="57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55"/>
      <c r="BW8" s="57"/>
      <c r="BX8" s="57"/>
      <c r="BY8" s="63"/>
      <c r="BZ8" s="63"/>
      <c r="CA8" s="63"/>
      <c r="CB8" s="63"/>
      <c r="CC8" s="63"/>
      <c r="CD8" s="63"/>
      <c r="CE8" s="63"/>
      <c r="CF8" s="63"/>
      <c r="CG8" s="63"/>
      <c r="CH8" s="63"/>
    </row>
    <row r="9" spans="1:86" s="6" customFormat="1" ht="14.5" x14ac:dyDescent="0.35">
      <c r="A9" s="17"/>
      <c r="B9" s="28" t="str">
        <f>IF(Control!$D$5=1,"Net Revenues","Receita Líquida")</f>
        <v>Receita Líquida</v>
      </c>
      <c r="C9" s="69" t="s">
        <v>3</v>
      </c>
      <c r="D9" s="69" t="s">
        <v>3</v>
      </c>
      <c r="E9" s="69" t="s">
        <v>3</v>
      </c>
      <c r="F9" s="69" t="s">
        <v>3</v>
      </c>
      <c r="G9" s="69" t="s">
        <v>3</v>
      </c>
      <c r="H9" s="69" t="s">
        <v>3</v>
      </c>
      <c r="I9" s="69" t="s">
        <v>3</v>
      </c>
      <c r="J9" s="69" t="s">
        <v>3</v>
      </c>
      <c r="K9" s="69" t="s">
        <v>3</v>
      </c>
      <c r="L9" s="69" t="s">
        <v>3</v>
      </c>
      <c r="M9" s="69" t="s">
        <v>3</v>
      </c>
      <c r="N9" s="69" t="s">
        <v>3</v>
      </c>
      <c r="O9" s="69" t="s">
        <v>3</v>
      </c>
      <c r="P9" s="69" t="s">
        <v>3</v>
      </c>
      <c r="Q9" s="69" t="s">
        <v>3</v>
      </c>
      <c r="R9" s="69" t="s">
        <v>3</v>
      </c>
      <c r="S9" s="69" t="s">
        <v>3</v>
      </c>
      <c r="T9" s="69" t="s">
        <v>3</v>
      </c>
      <c r="U9" s="69" t="s">
        <v>3</v>
      </c>
      <c r="V9" s="69" t="s">
        <v>3</v>
      </c>
      <c r="W9" s="69" t="s">
        <v>3</v>
      </c>
      <c r="X9" s="90">
        <v>657.346</v>
      </c>
      <c r="Y9" s="90">
        <v>655.79899999999998</v>
      </c>
      <c r="Z9" s="90">
        <v>648.83999999999992</v>
      </c>
      <c r="AA9" s="90">
        <v>677.93599999999992</v>
      </c>
      <c r="AB9" s="90">
        <v>663.96299999999997</v>
      </c>
      <c r="AC9" s="90">
        <v>621.08799999999997</v>
      </c>
      <c r="AD9" s="90">
        <v>647.85200000000009</v>
      </c>
      <c r="AE9" s="90">
        <v>667.72099999999978</v>
      </c>
      <c r="AF9" s="90">
        <v>660.30499999999995</v>
      </c>
      <c r="AG9" s="90">
        <v>687.89400000000012</v>
      </c>
      <c r="AH9" s="90">
        <v>773.51400000000001</v>
      </c>
      <c r="AI9" s="90">
        <v>813.62199999999973</v>
      </c>
      <c r="AJ9" s="90">
        <v>804.53599999999994</v>
      </c>
      <c r="AK9" s="90">
        <v>978.62700000000007</v>
      </c>
      <c r="AL9" s="90">
        <v>957.80499999999995</v>
      </c>
      <c r="AM9" s="90">
        <v>942.30200000000025</v>
      </c>
      <c r="AN9" s="90">
        <v>931.024</v>
      </c>
      <c r="AO9" s="90">
        <v>814.43799999999999</v>
      </c>
      <c r="AP9" s="90">
        <v>818.94500000000016</v>
      </c>
      <c r="AQ9" s="90">
        <v>766.99299999999994</v>
      </c>
      <c r="AR9" s="90">
        <v>700.4</v>
      </c>
      <c r="AS9" s="90">
        <v>800.9</v>
      </c>
      <c r="AT9" s="90">
        <v>857.50000000000023</v>
      </c>
      <c r="AU9" s="90">
        <v>987.6</v>
      </c>
      <c r="AV9" s="90">
        <v>941.46399999999994</v>
      </c>
      <c r="AW9" s="90">
        <v>886.428</v>
      </c>
      <c r="AX9" s="90">
        <v>1002.204</v>
      </c>
      <c r="AY9" s="90">
        <v>1084.6369999999999</v>
      </c>
      <c r="AZ9" s="90">
        <v>1210.2460000000001</v>
      </c>
      <c r="BA9" s="90">
        <v>1342.451</v>
      </c>
      <c r="BB9" s="90">
        <v>1441.357</v>
      </c>
      <c r="BC9" s="90">
        <v>1360.347</v>
      </c>
      <c r="BD9" s="90">
        <v>1754.229</v>
      </c>
      <c r="BE9" s="90">
        <v>1669.819</v>
      </c>
      <c r="BF9" s="90">
        <v>1662.4674653599998</v>
      </c>
      <c r="BG9" s="90">
        <v>1633.4407016400005</v>
      </c>
      <c r="BH9" s="90">
        <v>1867.299</v>
      </c>
      <c r="BI9" s="90">
        <v>1874.143</v>
      </c>
      <c r="BJ9" s="90">
        <v>1881.78</v>
      </c>
      <c r="BK9" s="90">
        <v>1967.9280000000001</v>
      </c>
      <c r="BL9" s="90">
        <v>1990.8119999999999</v>
      </c>
      <c r="BM9" s="90">
        <v>2153.1725578757487</v>
      </c>
      <c r="BN9" s="90">
        <v>2149.634</v>
      </c>
      <c r="BO9" s="90">
        <v>2101.1565339670005</v>
      </c>
      <c r="BP9" s="90">
        <v>2188.0659999999998</v>
      </c>
      <c r="BQ9" s="90">
        <v>2357.2060000000001</v>
      </c>
      <c r="BR9" s="90">
        <v>2194.357</v>
      </c>
      <c r="BS9" s="90">
        <v>2174.9</v>
      </c>
      <c r="BT9" s="90">
        <v>1932.662</v>
      </c>
      <c r="BU9" s="90">
        <v>2065.6660000000002</v>
      </c>
      <c r="BV9" s="55"/>
      <c r="BW9" s="90">
        <v>2639.9209999999998</v>
      </c>
      <c r="BX9" s="90">
        <v>2600.6239999999998</v>
      </c>
      <c r="BY9" s="90">
        <v>2935.335</v>
      </c>
      <c r="BZ9" s="90">
        <v>3683.3</v>
      </c>
      <c r="CA9" s="90">
        <v>3331.4</v>
      </c>
      <c r="CB9" s="90">
        <v>3346.3209999999999</v>
      </c>
      <c r="CC9" s="90">
        <v>3914.7329999999993</v>
      </c>
      <c r="CD9" s="90">
        <v>5354.402</v>
      </c>
      <c r="CE9" s="90">
        <v>6719.9561670000003</v>
      </c>
      <c r="CF9" s="90">
        <v>7591.15</v>
      </c>
      <c r="CG9" s="90">
        <v>8391.6570918427497</v>
      </c>
      <c r="CH9" s="90">
        <v>8914.5290000000005</v>
      </c>
    </row>
    <row r="10" spans="1:86" ht="14.5" x14ac:dyDescent="0.35">
      <c r="A10" s="17"/>
      <c r="B10" s="29" t="str">
        <f>IF(Control!$D$5=1,"(-) Cost of Sales and Services","(-) Custo das Vendas e Serviços")</f>
        <v>(-) Custo das Vendas e Serviços</v>
      </c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58">
        <f t="shared" ref="X10:AO10" si="0">X11-X9</f>
        <v>-471.54700000000003</v>
      </c>
      <c r="Y10" s="58">
        <f t="shared" si="0"/>
        <v>-490.24900000000002</v>
      </c>
      <c r="Z10" s="58">
        <f t="shared" si="0"/>
        <v>-498.82699999999988</v>
      </c>
      <c r="AA10" s="58">
        <f t="shared" si="0"/>
        <v>-523.21599999999989</v>
      </c>
      <c r="AB10" s="58">
        <f t="shared" si="0"/>
        <v>-485.34</v>
      </c>
      <c r="AC10" s="58">
        <f t="shared" si="0"/>
        <v>-465.87299999999993</v>
      </c>
      <c r="AD10" s="58">
        <f t="shared" si="0"/>
        <v>-500.69400000000013</v>
      </c>
      <c r="AE10" s="58">
        <f t="shared" si="0"/>
        <v>-534.26099999999974</v>
      </c>
      <c r="AF10" s="58">
        <f t="shared" si="0"/>
        <v>-495.33999999999992</v>
      </c>
      <c r="AG10" s="58">
        <f t="shared" si="0"/>
        <v>-522.39300000000014</v>
      </c>
      <c r="AH10" s="58">
        <f t="shared" si="0"/>
        <v>-582.48800000000006</v>
      </c>
      <c r="AI10" s="58">
        <f t="shared" si="0"/>
        <v>-607.04099999999971</v>
      </c>
      <c r="AJ10" s="58">
        <f t="shared" si="0"/>
        <v>-585.654</v>
      </c>
      <c r="AK10" s="58">
        <f t="shared" si="0"/>
        <v>-713.16600000000005</v>
      </c>
      <c r="AL10" s="58">
        <f t="shared" si="0"/>
        <v>-744.79899999999998</v>
      </c>
      <c r="AM10" s="58">
        <f t="shared" si="0"/>
        <v>-746.55800000000022</v>
      </c>
      <c r="AN10" s="58">
        <f t="shared" si="0"/>
        <v>-708.077</v>
      </c>
      <c r="AO10" s="58">
        <f t="shared" si="0"/>
        <v>-622.60300000000007</v>
      </c>
      <c r="AP10" s="58">
        <f>AP11-AP9</f>
        <v>-626.32500000000005</v>
      </c>
      <c r="AQ10" s="58">
        <f>AQ11-AQ9</f>
        <v>-575.19499999999994</v>
      </c>
      <c r="AR10" s="58">
        <f>AR11-AR9</f>
        <v>-522.9</v>
      </c>
      <c r="AS10" s="58">
        <f>AS11-AS9</f>
        <v>-588.69999999999993</v>
      </c>
      <c r="AT10" s="58">
        <v>-648</v>
      </c>
      <c r="AU10" s="58">
        <v>-761.7</v>
      </c>
      <c r="AV10" s="58">
        <v>-739.27700000000004</v>
      </c>
      <c r="AW10" s="58">
        <v>-693.005</v>
      </c>
      <c r="AX10" s="58">
        <v>-770.9849999999999</v>
      </c>
      <c r="AY10" s="58">
        <v>-851.38099999999997</v>
      </c>
      <c r="AZ10" s="58">
        <v>-944.10799999999995</v>
      </c>
      <c r="BA10" s="58">
        <v>-1065.6610000000001</v>
      </c>
      <c r="BB10" s="58">
        <v>-1116.271</v>
      </c>
      <c r="BC10" s="58">
        <v>-1130.4538155100001</v>
      </c>
      <c r="BD10" s="58">
        <v>-1438.4480000000001</v>
      </c>
      <c r="BE10" s="58">
        <v>-1369.6390753899998</v>
      </c>
      <c r="BF10" s="58">
        <v>-1347.39716208</v>
      </c>
      <c r="BG10" s="58">
        <v>-1372.2225028300006</v>
      </c>
      <c r="BH10" s="58">
        <v>-1462.558</v>
      </c>
      <c r="BI10" s="58">
        <v>-1510.6480000000001</v>
      </c>
      <c r="BJ10" s="58">
        <v>-1533.34</v>
      </c>
      <c r="BK10" s="58">
        <v>-1617.941</v>
      </c>
      <c r="BL10" s="58">
        <v>-1591.8389999999999</v>
      </c>
      <c r="BM10" s="58">
        <v>-1749.7606145117552</v>
      </c>
      <c r="BN10" s="58">
        <v>-1763.3219999999999</v>
      </c>
      <c r="BO10" s="58">
        <v>-1666.6005713781901</v>
      </c>
      <c r="BP10" s="58">
        <v>-1731.837</v>
      </c>
      <c r="BQ10" s="58">
        <v>-1874.5329999999999</v>
      </c>
      <c r="BR10" s="58">
        <v>-1853.1510000000001</v>
      </c>
      <c r="BS10" s="58">
        <v>-1827.5</v>
      </c>
      <c r="BT10" s="58">
        <v>-1511.8</v>
      </c>
      <c r="BU10" s="58">
        <v>-1600.2340000000002</v>
      </c>
      <c r="BV10" s="119"/>
      <c r="BW10" s="58">
        <f>BW11-BW9</f>
        <v>-1983.8389999999999</v>
      </c>
      <c r="BX10" s="58">
        <f>BX11-BX9</f>
        <v>-1986.1679999999997</v>
      </c>
      <c r="BY10" s="58">
        <f>BY11-BY9</f>
        <v>-2207.2620000000002</v>
      </c>
      <c r="BZ10" s="58">
        <v>-2790.2</v>
      </c>
      <c r="CA10" s="58">
        <v>-2532.1999999999998</v>
      </c>
      <c r="CB10" s="58">
        <v>-2521.3209999999999</v>
      </c>
      <c r="CC10" s="58">
        <v>-3054.6479999999997</v>
      </c>
      <c r="CD10" s="58">
        <v>-4256.4939999999997</v>
      </c>
      <c r="CE10" s="58">
        <v>-5527.706740300001</v>
      </c>
      <c r="CF10" s="58">
        <v>-6124.4880000000003</v>
      </c>
      <c r="CG10" s="58">
        <v>-6768.4041858899509</v>
      </c>
      <c r="CH10" s="58">
        <v>-7287.0209999999997</v>
      </c>
    </row>
    <row r="11" spans="1:86" s="6" customFormat="1" ht="14.5" x14ac:dyDescent="0.35">
      <c r="A11" s="17"/>
      <c r="B11" s="28" t="str">
        <f>IF(Control!$D$5=1,"Gross Profit","Lucro Bruto")</f>
        <v>Lucro Bruto</v>
      </c>
      <c r="C11" s="69" t="s">
        <v>3</v>
      </c>
      <c r="D11" s="69" t="s">
        <v>3</v>
      </c>
      <c r="E11" s="69" t="s">
        <v>3</v>
      </c>
      <c r="F11" s="69" t="s">
        <v>3</v>
      </c>
      <c r="G11" s="69" t="s">
        <v>3</v>
      </c>
      <c r="H11" s="69" t="s">
        <v>3</v>
      </c>
      <c r="I11" s="69" t="s">
        <v>3</v>
      </c>
      <c r="J11" s="69" t="s">
        <v>3</v>
      </c>
      <c r="K11" s="69" t="s">
        <v>3</v>
      </c>
      <c r="L11" s="69" t="s">
        <v>3</v>
      </c>
      <c r="M11" s="69" t="s">
        <v>3</v>
      </c>
      <c r="N11" s="69" t="s">
        <v>3</v>
      </c>
      <c r="O11" s="69" t="s">
        <v>3</v>
      </c>
      <c r="P11" s="69" t="s">
        <v>3</v>
      </c>
      <c r="Q11" s="69" t="s">
        <v>3</v>
      </c>
      <c r="R11" s="69" t="s">
        <v>3</v>
      </c>
      <c r="S11" s="69" t="s">
        <v>3</v>
      </c>
      <c r="T11" s="69" t="s">
        <v>3</v>
      </c>
      <c r="U11" s="69" t="s">
        <v>3</v>
      </c>
      <c r="V11" s="69" t="s">
        <v>3</v>
      </c>
      <c r="W11" s="69" t="s">
        <v>3</v>
      </c>
      <c r="X11" s="90">
        <v>185.79900000000001</v>
      </c>
      <c r="Y11" s="90">
        <v>165.54999999999998</v>
      </c>
      <c r="Z11" s="95">
        <v>150.01300000000001</v>
      </c>
      <c r="AA11" s="95">
        <v>154.72</v>
      </c>
      <c r="AB11" s="90">
        <v>178.62299999999999</v>
      </c>
      <c r="AC11" s="90">
        <v>155.21500000000003</v>
      </c>
      <c r="AD11" s="90">
        <v>147.15799999999996</v>
      </c>
      <c r="AE11" s="90">
        <v>133.46000000000004</v>
      </c>
      <c r="AF11" s="90">
        <v>164.965</v>
      </c>
      <c r="AG11" s="90">
        <v>165.501</v>
      </c>
      <c r="AH11" s="90">
        <v>191.02599999999998</v>
      </c>
      <c r="AI11" s="90">
        <v>206.58100000000005</v>
      </c>
      <c r="AJ11" s="90">
        <v>218.88200000000001</v>
      </c>
      <c r="AK11" s="90">
        <v>265.46100000000001</v>
      </c>
      <c r="AL11" s="90">
        <v>213.00600000000003</v>
      </c>
      <c r="AM11" s="90">
        <v>195.74399999999997</v>
      </c>
      <c r="AN11" s="90">
        <v>222.947</v>
      </c>
      <c r="AO11" s="90">
        <v>191.83499999999998</v>
      </c>
      <c r="AP11" s="90">
        <v>192.62000000000006</v>
      </c>
      <c r="AQ11" s="90">
        <v>191.798</v>
      </c>
      <c r="AR11" s="90">
        <v>177.5</v>
      </c>
      <c r="AS11" s="90">
        <v>212.20000000000005</v>
      </c>
      <c r="AT11" s="90">
        <v>209.50000000000023</v>
      </c>
      <c r="AU11" s="90">
        <v>225.9</v>
      </c>
      <c r="AV11" s="90">
        <v>202.1869999999999</v>
      </c>
      <c r="AW11" s="90">
        <v>193.423</v>
      </c>
      <c r="AX11" s="90">
        <v>231.21900000000005</v>
      </c>
      <c r="AY11" s="90">
        <v>233.25599999999997</v>
      </c>
      <c r="AZ11" s="90">
        <v>266.13800000000015</v>
      </c>
      <c r="BA11" s="90">
        <v>276.78999999999996</v>
      </c>
      <c r="BB11" s="90">
        <v>325.08600000000001</v>
      </c>
      <c r="BC11" s="90">
        <v>229.89318448999984</v>
      </c>
      <c r="BD11" s="90">
        <v>315.8</v>
      </c>
      <c r="BE11" s="90">
        <v>300.17992461000017</v>
      </c>
      <c r="BF11" s="90">
        <v>315.07030327999951</v>
      </c>
      <c r="BG11" s="90">
        <v>261.21819880999988</v>
      </c>
      <c r="BH11" s="90">
        <v>404.74099999999999</v>
      </c>
      <c r="BI11" s="90">
        <v>363.49499999999989</v>
      </c>
      <c r="BJ11" s="90">
        <v>348.44000000000005</v>
      </c>
      <c r="BK11" s="90">
        <v>349.98700000000008</v>
      </c>
      <c r="BL11" s="90">
        <v>398.97299999999996</v>
      </c>
      <c r="BM11" s="90">
        <v>403.41194336399349</v>
      </c>
      <c r="BN11" s="90">
        <v>386.31200000000013</v>
      </c>
      <c r="BO11" s="90">
        <v>434.55596258881042</v>
      </c>
      <c r="BP11" s="90">
        <v>456.22899999999998</v>
      </c>
      <c r="BQ11" s="90">
        <v>482.67300000000023</v>
      </c>
      <c r="BR11" s="90">
        <v>341.2059999999999</v>
      </c>
      <c r="BS11" s="90">
        <v>347.3</v>
      </c>
      <c r="BT11" s="90">
        <v>420.85300000000001</v>
      </c>
      <c r="BU11" s="90">
        <v>465.43200000000002</v>
      </c>
      <c r="BV11" s="55"/>
      <c r="BW11" s="90">
        <v>656.08199999999999</v>
      </c>
      <c r="BX11" s="90">
        <v>614.45600000000002</v>
      </c>
      <c r="BY11" s="90">
        <v>728.07299999999998</v>
      </c>
      <c r="BZ11" s="90">
        <v>893.1</v>
      </c>
      <c r="CA11" s="90">
        <v>799.2</v>
      </c>
      <c r="CB11" s="90">
        <v>825</v>
      </c>
      <c r="CC11" s="90">
        <v>860.08499999999992</v>
      </c>
      <c r="CD11" s="90">
        <v>1097.9080000000004</v>
      </c>
      <c r="CE11" s="90">
        <v>1192.2684266999995</v>
      </c>
      <c r="CF11" s="90">
        <v>1466.6619999999994</v>
      </c>
      <c r="CG11" s="90">
        <v>1623.2529059528006</v>
      </c>
      <c r="CH11" s="90">
        <v>1627.4080000000001</v>
      </c>
    </row>
    <row r="12" spans="1:86" s="18" customFormat="1" ht="14.5" x14ac:dyDescent="0.35">
      <c r="B12" s="29" t="str">
        <f>IF(Control!$D$5=1,"(-) SG&amp;A Expenses","(-) Despesas com Vendas, Gerais e Administrativas")</f>
        <v>(-) Despesas com Vendas, Gerais e Administrativas</v>
      </c>
      <c r="C12" s="69" t="s">
        <v>3</v>
      </c>
      <c r="D12" s="69" t="s">
        <v>3</v>
      </c>
      <c r="E12" s="69" t="s">
        <v>3</v>
      </c>
      <c r="F12" s="69" t="s">
        <v>3</v>
      </c>
      <c r="G12" s="69" t="s">
        <v>3</v>
      </c>
      <c r="H12" s="69" t="s">
        <v>3</v>
      </c>
      <c r="I12" s="69" t="s">
        <v>3</v>
      </c>
      <c r="J12" s="69" t="s">
        <v>3</v>
      </c>
      <c r="K12" s="69" t="s">
        <v>3</v>
      </c>
      <c r="L12" s="69" t="s">
        <v>3</v>
      </c>
      <c r="M12" s="69" t="s">
        <v>3</v>
      </c>
      <c r="N12" s="69" t="s">
        <v>3</v>
      </c>
      <c r="O12" s="69" t="s">
        <v>3</v>
      </c>
      <c r="P12" s="69" t="s">
        <v>3</v>
      </c>
      <c r="Q12" s="69" t="s">
        <v>3</v>
      </c>
      <c r="R12" s="69" t="s">
        <v>3</v>
      </c>
      <c r="S12" s="69" t="s">
        <v>3</v>
      </c>
      <c r="T12" s="69" t="s">
        <v>3</v>
      </c>
      <c r="U12" s="69" t="s">
        <v>3</v>
      </c>
      <c r="V12" s="69" t="s">
        <v>3</v>
      </c>
      <c r="W12" s="69" t="s">
        <v>3</v>
      </c>
      <c r="X12" s="58">
        <v>-107.89</v>
      </c>
      <c r="Y12" s="58">
        <v>-104.32700000000001</v>
      </c>
      <c r="Z12" s="58">
        <v>-92.203999999999994</v>
      </c>
      <c r="AA12" s="58">
        <v>-101.41500000000001</v>
      </c>
      <c r="AB12" s="58">
        <v>-110.873</v>
      </c>
      <c r="AC12" s="58">
        <v>-99.73299999999999</v>
      </c>
      <c r="AD12" s="58">
        <v>-100.747</v>
      </c>
      <c r="AE12" s="58">
        <v>-91.71699999999997</v>
      </c>
      <c r="AF12" s="58">
        <v>-100.883</v>
      </c>
      <c r="AG12" s="58">
        <v>-106.97100000000002</v>
      </c>
      <c r="AH12" s="58">
        <v>-113.53599999999999</v>
      </c>
      <c r="AI12" s="58">
        <v>-136.83699999999999</v>
      </c>
      <c r="AJ12" s="58">
        <v>-124.563</v>
      </c>
      <c r="AK12" s="58">
        <v>-134.57900000000001</v>
      </c>
      <c r="AL12" s="58">
        <v>-116.16899999999997</v>
      </c>
      <c r="AM12" s="58">
        <v>-150.48100000000005</v>
      </c>
      <c r="AN12" s="58">
        <v>-140.79</v>
      </c>
      <c r="AO12" s="58">
        <v>-140.25199999999998</v>
      </c>
      <c r="AP12" s="58">
        <v>-128.00500000000005</v>
      </c>
      <c r="AQ12" s="58">
        <v>-130.45299999999997</v>
      </c>
      <c r="AR12" s="58">
        <v>-145.1</v>
      </c>
      <c r="AS12" s="58">
        <v>-157.9</v>
      </c>
      <c r="AT12" s="58">
        <v>-156.19999999999999</v>
      </c>
      <c r="AU12" s="58">
        <v>-190.8</v>
      </c>
      <c r="AV12" s="58">
        <v>-179.15899999999999</v>
      </c>
      <c r="AW12" s="58">
        <v>-161.518</v>
      </c>
      <c r="AX12" s="58">
        <v>-165.05500000000001</v>
      </c>
      <c r="AY12" s="58">
        <v>-170.06299999999999</v>
      </c>
      <c r="AZ12" s="58">
        <v>-166.32599999999999</v>
      </c>
      <c r="BA12" s="58">
        <v>-176.233</v>
      </c>
      <c r="BB12" s="58">
        <v>-175.30700000000002</v>
      </c>
      <c r="BC12" s="58">
        <v>-161.21601555000001</v>
      </c>
      <c r="BD12" s="58">
        <v>-210.131</v>
      </c>
      <c r="BE12" s="58">
        <v>-196.08391902999998</v>
      </c>
      <c r="BF12" s="58">
        <v>-209.55755276999994</v>
      </c>
      <c r="BG12" s="58">
        <v>-218.53883958000014</v>
      </c>
      <c r="BH12" s="58">
        <v>-247.97473212</v>
      </c>
      <c r="BI12" s="58">
        <v>-265.87926787999999</v>
      </c>
      <c r="BJ12" s="58">
        <v>-325.51099999999997</v>
      </c>
      <c r="BK12" s="58">
        <v>-304.14599999999996</v>
      </c>
      <c r="BL12" s="58">
        <v>-319.81600000000003</v>
      </c>
      <c r="BM12" s="58">
        <v>-312.06900000000002</v>
      </c>
      <c r="BN12" s="58">
        <v>-293.7</v>
      </c>
      <c r="BO12" s="58">
        <v>-280.84744438008414</v>
      </c>
      <c r="BP12" s="58">
        <v>-318.60199999999998</v>
      </c>
      <c r="BQ12" s="58">
        <v>-331.54900000000004</v>
      </c>
      <c r="BR12" s="58">
        <v>-321.20999999999998</v>
      </c>
      <c r="BS12" s="58">
        <v>-297.7</v>
      </c>
      <c r="BT12" s="90">
        <v>-305.50599999999997</v>
      </c>
      <c r="BU12" s="90">
        <v>-329.82100000000003</v>
      </c>
      <c r="BV12" s="55"/>
      <c r="BW12" s="58">
        <v>-405.83600000000001</v>
      </c>
      <c r="BX12" s="58">
        <v>-403.07</v>
      </c>
      <c r="BY12" s="58">
        <v>-458.22699999999998</v>
      </c>
      <c r="BZ12" s="58">
        <v>-525.79999999999995</v>
      </c>
      <c r="CA12" s="58">
        <v>-539.5</v>
      </c>
      <c r="CB12" s="58">
        <f>-586.13-63.827</f>
        <v>-649.95699999999999</v>
      </c>
      <c r="CC12" s="58">
        <v>-675.79500000000007</v>
      </c>
      <c r="CD12" s="58">
        <v>-679.08337612000003</v>
      </c>
      <c r="CE12" s="58">
        <v>-834.31131138000012</v>
      </c>
      <c r="CF12" s="58">
        <v>-1143.509</v>
      </c>
      <c r="CG12" s="58">
        <v>-1206.4324443800842</v>
      </c>
      <c r="CH12" s="58">
        <v>-1269.0610000000001</v>
      </c>
    </row>
    <row r="13" spans="1:86" s="18" customFormat="1" ht="14.5" x14ac:dyDescent="0.35">
      <c r="B13" s="29" t="str">
        <f>IF(Control!$D$5=1,"(+/-) Other operating income (expenses) and Equity (Earnings)/Losses in Uncons. Subs.","(+/-) Outras receitas (despesas) operacionais e Resultado da Equivalência Patrimonial")</f>
        <v>(+/-) Outras receitas (despesas) operacionais e Resultado da Equivalência Patrimonial</v>
      </c>
      <c r="C13" s="69" t="s">
        <v>3</v>
      </c>
      <c r="D13" s="69" t="s">
        <v>3</v>
      </c>
      <c r="E13" s="69" t="s">
        <v>3</v>
      </c>
      <c r="F13" s="69" t="s">
        <v>3</v>
      </c>
      <c r="G13" s="69" t="s">
        <v>3</v>
      </c>
      <c r="H13" s="69" t="s">
        <v>3</v>
      </c>
      <c r="I13" s="69" t="s">
        <v>3</v>
      </c>
      <c r="J13" s="69" t="s">
        <v>3</v>
      </c>
      <c r="K13" s="69" t="s">
        <v>3</v>
      </c>
      <c r="L13" s="69" t="s">
        <v>3</v>
      </c>
      <c r="M13" s="69" t="s">
        <v>3</v>
      </c>
      <c r="N13" s="69" t="s">
        <v>3</v>
      </c>
      <c r="O13" s="69" t="s">
        <v>3</v>
      </c>
      <c r="P13" s="69" t="s">
        <v>3</v>
      </c>
      <c r="Q13" s="69" t="s">
        <v>3</v>
      </c>
      <c r="R13" s="69" t="s">
        <v>3</v>
      </c>
      <c r="S13" s="69" t="s">
        <v>3</v>
      </c>
      <c r="T13" s="69" t="s">
        <v>3</v>
      </c>
      <c r="U13" s="69" t="s">
        <v>3</v>
      </c>
      <c r="V13" s="69" t="s">
        <v>3</v>
      </c>
      <c r="W13" s="69" t="s">
        <v>3</v>
      </c>
      <c r="X13" s="58">
        <v>-8.01</v>
      </c>
      <c r="Y13" s="58">
        <v>-9.3759999999999994</v>
      </c>
      <c r="Z13" s="58">
        <v>-1.0130000000000017</v>
      </c>
      <c r="AA13" s="58">
        <v>-1.2040000000000006</v>
      </c>
      <c r="AB13" s="58">
        <v>-0.872</v>
      </c>
      <c r="AC13" s="58">
        <v>-3.2210000000000001</v>
      </c>
      <c r="AD13" s="58">
        <v>4.5019999999999998</v>
      </c>
      <c r="AE13" s="58">
        <v>-0.46499999999999975</v>
      </c>
      <c r="AF13" s="58">
        <v>-3.4340000000000002</v>
      </c>
      <c r="AG13" s="58">
        <v>-2.5179999999999998</v>
      </c>
      <c r="AH13" s="58">
        <v>-20.440999999999999</v>
      </c>
      <c r="AI13" s="58">
        <v>6.3989999999999991</v>
      </c>
      <c r="AJ13" s="58">
        <v>-8.4700000000000006</v>
      </c>
      <c r="AK13" s="58">
        <v>-7.3059999999999992</v>
      </c>
      <c r="AL13" s="58">
        <v>9.0000000000003411E-3</v>
      </c>
      <c r="AM13" s="58">
        <v>10.361000000000001</v>
      </c>
      <c r="AN13" s="58">
        <v>0.872</v>
      </c>
      <c r="AO13" s="58">
        <v>10.561</v>
      </c>
      <c r="AP13" s="58">
        <v>8.2280000000000015</v>
      </c>
      <c r="AQ13" s="58">
        <v>9.2389999999999972</v>
      </c>
      <c r="AR13" s="58">
        <v>-1.1000000000000001</v>
      </c>
      <c r="AS13" s="58">
        <v>3.2</v>
      </c>
      <c r="AT13" s="58">
        <v>39.299999999999997</v>
      </c>
      <c r="AU13" s="58">
        <v>26.6</v>
      </c>
      <c r="AV13" s="58">
        <v>0.66900000000000004</v>
      </c>
      <c r="AW13" s="58">
        <v>-0.111</v>
      </c>
      <c r="AX13" s="58">
        <v>2.1000000000000001E-2</v>
      </c>
      <c r="AY13" s="58">
        <v>0.55200000000000005</v>
      </c>
      <c r="AZ13" s="58">
        <v>1.988</v>
      </c>
      <c r="BA13" s="58">
        <v>9.9819999999999993</v>
      </c>
      <c r="BB13" s="58">
        <v>2.8959999999999999</v>
      </c>
      <c r="BC13" s="58">
        <v>8.5572874699999986</v>
      </c>
      <c r="BD13" s="58">
        <v>-8.9019999999999992</v>
      </c>
      <c r="BE13" s="58">
        <v>-2.1981767200000011</v>
      </c>
      <c r="BF13" s="58">
        <v>2.0652280000000245E-2</v>
      </c>
      <c r="BG13" s="58">
        <v>64.461606639999999</v>
      </c>
      <c r="BH13" s="58">
        <v>-1.6180000000000001</v>
      </c>
      <c r="BI13" s="58">
        <v>3.5830000000000002</v>
      </c>
      <c r="BJ13" s="58">
        <v>183.464</v>
      </c>
      <c r="BK13" s="58">
        <v>22.552</v>
      </c>
      <c r="BL13" s="58">
        <v>20.515000000000001</v>
      </c>
      <c r="BM13" s="58">
        <v>2.2240000000000002</v>
      </c>
      <c r="BN13" s="58">
        <v>23.832999999999998</v>
      </c>
      <c r="BO13" s="58">
        <v>3.7854426300000048</v>
      </c>
      <c r="BP13" s="58">
        <v>0.83799999999999997</v>
      </c>
      <c r="BQ13" s="58">
        <v>-0.254</v>
      </c>
      <c r="BR13" s="58">
        <v>16.100000000000001</v>
      </c>
      <c r="BS13" s="58">
        <v>36.700000000000003</v>
      </c>
      <c r="BT13" s="90">
        <v>2.7229999999999999</v>
      </c>
      <c r="BU13" s="90">
        <v>2.617</v>
      </c>
      <c r="BV13" s="55"/>
      <c r="BW13" s="58">
        <v>-19.603000000000002</v>
      </c>
      <c r="BX13" s="58">
        <v>-5.6000000000000001E-2</v>
      </c>
      <c r="BY13" s="58">
        <v>-19.994</v>
      </c>
      <c r="BZ13" s="58">
        <v>-5.4059999999999997</v>
      </c>
      <c r="CA13" s="58">
        <v>28.9</v>
      </c>
      <c r="CB13" s="58">
        <v>67.828000000000003</v>
      </c>
      <c r="CC13" s="58">
        <v>1.1310000000000002</v>
      </c>
      <c r="CD13" s="58">
        <v>23.422000000000001</v>
      </c>
      <c r="CE13" s="58">
        <v>53.382082199999999</v>
      </c>
      <c r="CF13" s="58">
        <v>207.98</v>
      </c>
      <c r="CG13" s="58">
        <v>50.357442630000008</v>
      </c>
      <c r="CH13" s="58">
        <v>53.384</v>
      </c>
    </row>
    <row r="14" spans="1:86" s="6" customFormat="1" ht="14.5" x14ac:dyDescent="0.35">
      <c r="A14" s="18"/>
      <c r="B14" s="28" t="str">
        <f>IF(Control!$D$5=1,"EBIT","Lucro Operacional (EBIT)")</f>
        <v>Lucro Operacional (EBIT)</v>
      </c>
      <c r="C14" s="69" t="s">
        <v>3</v>
      </c>
      <c r="D14" s="69" t="s">
        <v>3</v>
      </c>
      <c r="E14" s="69" t="s">
        <v>3</v>
      </c>
      <c r="F14" s="69" t="s">
        <v>3</v>
      </c>
      <c r="G14" s="69" t="s">
        <v>3</v>
      </c>
      <c r="H14" s="69" t="s">
        <v>3</v>
      </c>
      <c r="I14" s="69" t="s">
        <v>3</v>
      </c>
      <c r="J14" s="69" t="s">
        <v>3</v>
      </c>
      <c r="K14" s="69" t="s">
        <v>3</v>
      </c>
      <c r="L14" s="69" t="s">
        <v>3</v>
      </c>
      <c r="M14" s="69" t="s">
        <v>3</v>
      </c>
      <c r="N14" s="69" t="s">
        <v>3</v>
      </c>
      <c r="O14" s="69" t="s">
        <v>3</v>
      </c>
      <c r="P14" s="69" t="s">
        <v>3</v>
      </c>
      <c r="Q14" s="69" t="s">
        <v>3</v>
      </c>
      <c r="R14" s="69" t="s">
        <v>3</v>
      </c>
      <c r="S14" s="69" t="s">
        <v>3</v>
      </c>
      <c r="T14" s="69" t="s">
        <v>3</v>
      </c>
      <c r="U14" s="69" t="s">
        <v>3</v>
      </c>
      <c r="V14" s="69" t="s">
        <v>3</v>
      </c>
      <c r="W14" s="69" t="s">
        <v>3</v>
      </c>
      <c r="X14" s="90">
        <v>69.899000000000001</v>
      </c>
      <c r="Y14" s="90">
        <v>51.846999999999973</v>
      </c>
      <c r="Z14" s="90">
        <v>56.796000000000049</v>
      </c>
      <c r="AA14" s="90">
        <v>52.100999999999942</v>
      </c>
      <c r="AB14" s="90">
        <v>66.877999999999986</v>
      </c>
      <c r="AC14" s="90">
        <v>52.261000000000038</v>
      </c>
      <c r="AD14" s="90">
        <v>50.91299999999994</v>
      </c>
      <c r="AE14" s="90">
        <v>41.278000000000063</v>
      </c>
      <c r="AF14" s="90">
        <v>60.64800000000001</v>
      </c>
      <c r="AG14" s="90">
        <v>56.011999999999986</v>
      </c>
      <c r="AH14" s="90">
        <v>57.048999999999978</v>
      </c>
      <c r="AI14" s="90">
        <v>76.143000000000043</v>
      </c>
      <c r="AJ14" s="90">
        <v>85.849000000000004</v>
      </c>
      <c r="AK14" s="90">
        <v>123.57600000000001</v>
      </c>
      <c r="AL14" s="90">
        <v>96.846000000000046</v>
      </c>
      <c r="AM14" s="90">
        <v>55.623999999999839</v>
      </c>
      <c r="AN14" s="90">
        <v>83.029000000000011</v>
      </c>
      <c r="AO14" s="90">
        <v>62.143999999999998</v>
      </c>
      <c r="AP14" s="90">
        <v>72.842999999999989</v>
      </c>
      <c r="AQ14" s="90">
        <v>70.584000000000032</v>
      </c>
      <c r="AR14" s="90">
        <v>31.300000000000004</v>
      </c>
      <c r="AS14" s="90">
        <v>57.500000000000043</v>
      </c>
      <c r="AT14" s="90">
        <v>92.600000000000236</v>
      </c>
      <c r="AU14" s="90">
        <v>61.7</v>
      </c>
      <c r="AV14" s="90">
        <v>23.696999999999907</v>
      </c>
      <c r="AW14" s="90">
        <v>31.794</v>
      </c>
      <c r="AX14" s="90">
        <v>66.185000000000045</v>
      </c>
      <c r="AY14" s="90">
        <v>63.744999999999983</v>
      </c>
      <c r="AZ14" s="90">
        <v>101.80000000000015</v>
      </c>
      <c r="BA14" s="90">
        <v>110.53899999999996</v>
      </c>
      <c r="BB14" s="90">
        <v>152.67499999999998</v>
      </c>
      <c r="BC14" s="90">
        <v>77.234456409999837</v>
      </c>
      <c r="BD14" s="90">
        <v>96.745000000000019</v>
      </c>
      <c r="BE14" s="90">
        <v>101.89782886000019</v>
      </c>
      <c r="BF14" s="90">
        <v>105.53340278999957</v>
      </c>
      <c r="BG14" s="90">
        <v>107.14096586999973</v>
      </c>
      <c r="BH14" s="90">
        <v>155.14826787999999</v>
      </c>
      <c r="BI14" s="90">
        <v>101.1987321199999</v>
      </c>
      <c r="BJ14" s="90">
        <v>206.39300000000009</v>
      </c>
      <c r="BK14" s="90">
        <v>68.393000000000114</v>
      </c>
      <c r="BL14" s="90">
        <v>99.671999999999926</v>
      </c>
      <c r="BM14" s="90">
        <v>93.566943363993474</v>
      </c>
      <c r="BN14" s="90">
        <v>116.44500000000014</v>
      </c>
      <c r="BO14" s="90">
        <v>157.49396083872628</v>
      </c>
      <c r="BP14" s="90">
        <v>138.465</v>
      </c>
      <c r="BQ14" s="90">
        <v>150.8700000000002</v>
      </c>
      <c r="BR14" s="90">
        <v>36.095999999999925</v>
      </c>
      <c r="BS14" s="90">
        <v>86.3</v>
      </c>
      <c r="BT14" s="90">
        <v>118.07</v>
      </c>
      <c r="BU14" s="90">
        <v>138.22799999999998</v>
      </c>
      <c r="BV14" s="55"/>
      <c r="BW14" s="90">
        <v>230.64299999999997</v>
      </c>
      <c r="BX14" s="90">
        <v>211.33</v>
      </c>
      <c r="BY14" s="90">
        <v>249.852</v>
      </c>
      <c r="BZ14" s="90">
        <v>361.89400000000006</v>
      </c>
      <c r="CA14" s="90">
        <v>288.60000000000002</v>
      </c>
      <c r="CB14" s="90">
        <f>+CB11+CB12+CB13</f>
        <v>242.87100000000001</v>
      </c>
      <c r="CC14" s="90">
        <v>185.42099999999994</v>
      </c>
      <c r="CD14" s="90">
        <v>442.24662388000036</v>
      </c>
      <c r="CE14" s="90">
        <v>411.31719751999947</v>
      </c>
      <c r="CF14" s="90">
        <v>531.13299999999936</v>
      </c>
      <c r="CG14" s="90">
        <v>467.17790420271638</v>
      </c>
      <c r="CH14" s="90">
        <v>411.73099999999999</v>
      </c>
    </row>
    <row r="15" spans="1:86" s="18" customFormat="1" ht="14.5" x14ac:dyDescent="0.35">
      <c r="A15" s="6"/>
      <c r="B15" s="29" t="str">
        <f>IF(Control!$D$5=1,"(+/-) Finacial Result","(+/-) Resultado Financeiro")</f>
        <v>(+/-) Resultado Financeiro</v>
      </c>
      <c r="C15" s="69" t="s">
        <v>3</v>
      </c>
      <c r="D15" s="69" t="s">
        <v>3</v>
      </c>
      <c r="E15" s="69" t="s">
        <v>3</v>
      </c>
      <c r="F15" s="69" t="s">
        <v>3</v>
      </c>
      <c r="G15" s="69" t="s">
        <v>3</v>
      </c>
      <c r="H15" s="69" t="s">
        <v>3</v>
      </c>
      <c r="I15" s="69" t="s">
        <v>3</v>
      </c>
      <c r="J15" s="69" t="s">
        <v>3</v>
      </c>
      <c r="K15" s="69" t="s">
        <v>3</v>
      </c>
      <c r="L15" s="69" t="s">
        <v>3</v>
      </c>
      <c r="M15" s="69" t="s">
        <v>3</v>
      </c>
      <c r="N15" s="69" t="s">
        <v>3</v>
      </c>
      <c r="O15" s="69" t="s">
        <v>3</v>
      </c>
      <c r="P15" s="69" t="s">
        <v>3</v>
      </c>
      <c r="Q15" s="69" t="s">
        <v>3</v>
      </c>
      <c r="R15" s="69" t="s">
        <v>3</v>
      </c>
      <c r="S15" s="69" t="s">
        <v>3</v>
      </c>
      <c r="T15" s="69" t="s">
        <v>3</v>
      </c>
      <c r="U15" s="69" t="s">
        <v>3</v>
      </c>
      <c r="V15" s="69" t="s">
        <v>3</v>
      </c>
      <c r="W15" s="69" t="s">
        <v>3</v>
      </c>
      <c r="X15" s="58">
        <v>-15.826999999999998</v>
      </c>
      <c r="Y15" s="58">
        <v>-24.542999999999999</v>
      </c>
      <c r="Z15" s="58">
        <v>-28.551000000000009</v>
      </c>
      <c r="AA15" s="58">
        <v>-26.127999999999993</v>
      </c>
      <c r="AB15" s="58">
        <v>-26.817</v>
      </c>
      <c r="AC15" s="58">
        <v>-28.774000000000008</v>
      </c>
      <c r="AD15" s="58">
        <v>-29.690999999999988</v>
      </c>
      <c r="AE15" s="58">
        <v>-25.003</v>
      </c>
      <c r="AF15" s="58">
        <v>-22.105</v>
      </c>
      <c r="AG15" s="58">
        <v>-34.472999999999999</v>
      </c>
      <c r="AH15" s="58">
        <v>-35.441000000000003</v>
      </c>
      <c r="AI15" s="58">
        <v>-33.428999999999988</v>
      </c>
      <c r="AJ15" s="58">
        <v>-30.342999999999996</v>
      </c>
      <c r="AK15" s="58">
        <v>-47.518000000000001</v>
      </c>
      <c r="AL15" s="58">
        <v>-27.812000000000005</v>
      </c>
      <c r="AM15" s="58">
        <v>-36.832999999999991</v>
      </c>
      <c r="AN15" s="58">
        <v>-20.832000000000001</v>
      </c>
      <c r="AO15" s="58">
        <v>-20.509000000000007</v>
      </c>
      <c r="AP15" s="58">
        <v>-8.0180000000000007</v>
      </c>
      <c r="AQ15" s="58">
        <v>-8.4409999999999883</v>
      </c>
      <c r="AR15" s="58">
        <v>-8.8000000000000043</v>
      </c>
      <c r="AS15" s="58">
        <v>3.0000000000000071</v>
      </c>
      <c r="AT15" s="58">
        <v>22.700000000000003</v>
      </c>
      <c r="AU15" s="58">
        <v>-16.600000000000001</v>
      </c>
      <c r="AV15" s="58">
        <v>-10.083000000000006</v>
      </c>
      <c r="AW15" s="58">
        <v>-15.104000000000003</v>
      </c>
      <c r="AX15" s="58">
        <v>-15.196000000000005</v>
      </c>
      <c r="AY15" s="58">
        <v>-12.723000000000003</v>
      </c>
      <c r="AZ15" s="58">
        <v>-13.054000000000002</v>
      </c>
      <c r="BA15" s="58">
        <v>-10.615000000000002</v>
      </c>
      <c r="BB15" s="58">
        <v>-27.894000000000005</v>
      </c>
      <c r="BC15" s="58">
        <v>-14.605059739999994</v>
      </c>
      <c r="BD15" s="58">
        <v>-22.3</v>
      </c>
      <c r="BE15" s="58">
        <v>-25.610630559999997</v>
      </c>
      <c r="BF15" s="58">
        <v>-22.339666149999985</v>
      </c>
      <c r="BG15" s="58">
        <v>-56.761999070000016</v>
      </c>
      <c r="BH15" s="58">
        <v>-86.94</v>
      </c>
      <c r="BI15" s="58">
        <v>-37.353999999999985</v>
      </c>
      <c r="BJ15" s="58">
        <v>-68.868000000000009</v>
      </c>
      <c r="BK15" s="58">
        <v>-77.85799999999999</v>
      </c>
      <c r="BL15" s="58">
        <v>-95.545000000000002</v>
      </c>
      <c r="BM15" s="58">
        <v>-100.26150473</v>
      </c>
      <c r="BN15" s="58">
        <v>-97.199000000000012</v>
      </c>
      <c r="BO15" s="58">
        <v>-90.512117790000019</v>
      </c>
      <c r="BP15" s="58">
        <v>-89.364999999999995</v>
      </c>
      <c r="BQ15" s="58">
        <v>-76.02</v>
      </c>
      <c r="BR15" s="58">
        <v>-92.686000000000007</v>
      </c>
      <c r="BS15" s="58">
        <v>-142.15800000000002</v>
      </c>
      <c r="BT15" s="58">
        <v>-110.08499999999999</v>
      </c>
      <c r="BU15" s="58">
        <v>-127.84800000000003</v>
      </c>
      <c r="BV15" s="55"/>
      <c r="BW15" s="58">
        <v>-95.049000000000007</v>
      </c>
      <c r="BX15" s="58">
        <v>-110.285</v>
      </c>
      <c r="BY15" s="58">
        <v>-125.44799999999999</v>
      </c>
      <c r="BZ15" s="58">
        <v>-142.5</v>
      </c>
      <c r="CA15" s="58">
        <v>-57.8</v>
      </c>
      <c r="CB15" s="58">
        <f>+CB16+CB17</f>
        <v>0.36700000000001864</v>
      </c>
      <c r="CC15" s="58">
        <v>-53.106000000000009</v>
      </c>
      <c r="CD15" s="58">
        <v>-66.167999999999978</v>
      </c>
      <c r="CE15" s="58">
        <v>-127.01229578</v>
      </c>
      <c r="CF15" s="58">
        <v>-271.02</v>
      </c>
      <c r="CG15" s="58">
        <v>-383.51762252000003</v>
      </c>
      <c r="CH15" s="58">
        <v>-400.22900000000004</v>
      </c>
    </row>
    <row r="16" spans="1:86" s="18" customFormat="1" ht="14.5" x14ac:dyDescent="0.35">
      <c r="B16" s="30" t="str">
        <f>IF(Control!$D$5=1,"(-) Debt Interest Expense","(-) Despesas Financeiras")</f>
        <v>(-) Despesas Financeiras</v>
      </c>
      <c r="C16" s="69" t="s">
        <v>3</v>
      </c>
      <c r="D16" s="69" t="s">
        <v>3</v>
      </c>
      <c r="E16" s="69" t="s">
        <v>3</v>
      </c>
      <c r="F16" s="69" t="s">
        <v>3</v>
      </c>
      <c r="G16" s="69" t="s">
        <v>3</v>
      </c>
      <c r="H16" s="69" t="s">
        <v>3</v>
      </c>
      <c r="I16" s="69" t="s">
        <v>3</v>
      </c>
      <c r="J16" s="69" t="s">
        <v>3</v>
      </c>
      <c r="K16" s="69" t="s">
        <v>3</v>
      </c>
      <c r="L16" s="69" t="s">
        <v>3</v>
      </c>
      <c r="M16" s="69" t="s">
        <v>3</v>
      </c>
      <c r="N16" s="69" t="s">
        <v>3</v>
      </c>
      <c r="O16" s="69" t="s">
        <v>3</v>
      </c>
      <c r="P16" s="69" t="s">
        <v>3</v>
      </c>
      <c r="Q16" s="69" t="s">
        <v>3</v>
      </c>
      <c r="R16" s="69" t="s">
        <v>3</v>
      </c>
      <c r="S16" s="69" t="s">
        <v>3</v>
      </c>
      <c r="T16" s="69" t="s">
        <v>3</v>
      </c>
      <c r="U16" s="69" t="s">
        <v>3</v>
      </c>
      <c r="V16" s="69" t="s">
        <v>3</v>
      </c>
      <c r="W16" s="69" t="s">
        <v>3</v>
      </c>
      <c r="X16" s="58">
        <v>-35.427999999999997</v>
      </c>
      <c r="Y16" s="58">
        <v>-40.756</v>
      </c>
      <c r="Z16" s="58">
        <v>-38.484000000000009</v>
      </c>
      <c r="AA16" s="58">
        <v>-36.10499999999999</v>
      </c>
      <c r="AB16" s="58">
        <v>-38.97</v>
      </c>
      <c r="AC16" s="58">
        <v>-43.927000000000007</v>
      </c>
      <c r="AD16" s="58">
        <v>-52.821999999999989</v>
      </c>
      <c r="AE16" s="58">
        <v>-40.287000000000006</v>
      </c>
      <c r="AF16" s="58">
        <v>-46.14</v>
      </c>
      <c r="AG16" s="58">
        <v>-47.542000000000002</v>
      </c>
      <c r="AH16" s="58">
        <v>-45.070000000000007</v>
      </c>
      <c r="AI16" s="58">
        <v>-42.168999999999997</v>
      </c>
      <c r="AJ16" s="58">
        <v>-47.235999999999997</v>
      </c>
      <c r="AK16" s="58">
        <v>-52.753999999999998</v>
      </c>
      <c r="AL16" s="58">
        <v>-36.473000000000006</v>
      </c>
      <c r="AM16" s="58">
        <v>-54.137999999999998</v>
      </c>
      <c r="AN16" s="58">
        <v>-48.201000000000001</v>
      </c>
      <c r="AO16" s="58">
        <v>-44.190000000000005</v>
      </c>
      <c r="AP16" s="58">
        <v>-33.472999999999999</v>
      </c>
      <c r="AQ16" s="58">
        <v>-25.23599999999999</v>
      </c>
      <c r="AR16" s="58">
        <v>-34.200000000000003</v>
      </c>
      <c r="AS16" s="58">
        <v>-47.5</v>
      </c>
      <c r="AT16" s="58">
        <v>-56.600000000000009</v>
      </c>
      <c r="AU16" s="58">
        <v>-42.7</v>
      </c>
      <c r="AV16" s="58">
        <v>-44.901000000000003</v>
      </c>
      <c r="AW16" s="58">
        <v>-41.993000000000002</v>
      </c>
      <c r="AX16" s="58">
        <v>-35.387</v>
      </c>
      <c r="AY16" s="58">
        <v>-39.371000000000002</v>
      </c>
      <c r="AZ16" s="58">
        <v>-78.292000000000002</v>
      </c>
      <c r="BA16" s="58">
        <v>-67.010000000000005</v>
      </c>
      <c r="BB16" s="58">
        <v>-102.14400000000001</v>
      </c>
      <c r="BC16" s="58">
        <v>-71.375650890000017</v>
      </c>
      <c r="BD16" s="58">
        <v>-57.59</v>
      </c>
      <c r="BE16" s="58">
        <v>-70.225991629999996</v>
      </c>
      <c r="BF16" s="58">
        <v>-79.722382669999988</v>
      </c>
      <c r="BG16" s="58">
        <v>-110.91648212000003</v>
      </c>
      <c r="BH16" s="58">
        <v>-141.059</v>
      </c>
      <c r="BI16" s="58">
        <v>-121.70599999999999</v>
      </c>
      <c r="BJ16" s="58">
        <v>-146.334</v>
      </c>
      <c r="BK16" s="58">
        <v>-129.72399999999999</v>
      </c>
      <c r="BL16" s="58">
        <v>-146.864</v>
      </c>
      <c r="BM16" s="58">
        <v>-171.67997861000001</v>
      </c>
      <c r="BN16" s="58">
        <v>-179.44200000000001</v>
      </c>
      <c r="BO16" s="58">
        <v>-182.28874017000001</v>
      </c>
      <c r="BP16" s="58">
        <v>-173.577</v>
      </c>
      <c r="BQ16" s="58">
        <v>-210.14500000000001</v>
      </c>
      <c r="BR16" s="58">
        <v>-211.19800000000001</v>
      </c>
      <c r="BS16" s="58">
        <v>-208.233</v>
      </c>
      <c r="BT16" s="58">
        <v>-178.58799999999999</v>
      </c>
      <c r="BU16" s="58">
        <v>-203.02900000000002</v>
      </c>
      <c r="BV16" s="55"/>
      <c r="BW16" s="58">
        <v>-150.773</v>
      </c>
      <c r="BX16" s="58">
        <v>-176.006</v>
      </c>
      <c r="BY16" s="58">
        <v>-180.92099999999999</v>
      </c>
      <c r="BZ16" s="58">
        <v>-190.6</v>
      </c>
      <c r="CA16" s="58">
        <v>-151.1</v>
      </c>
      <c r="CB16" s="58">
        <v>-180.999</v>
      </c>
      <c r="CC16" s="58">
        <v>-161.65200000000002</v>
      </c>
      <c r="CD16" s="58">
        <v>-318.82299999999998</v>
      </c>
      <c r="CE16" s="58">
        <v>-318.45485642</v>
      </c>
      <c r="CF16" s="58">
        <v>-538.82299999999998</v>
      </c>
      <c r="CG16" s="58">
        <v>-680.27471878000006</v>
      </c>
      <c r="CH16" s="58">
        <v>-803.15300000000002</v>
      </c>
    </row>
    <row r="17" spans="1:86" s="18" customFormat="1" ht="14.5" x14ac:dyDescent="0.35">
      <c r="A17" s="6"/>
      <c r="B17" s="30" t="str">
        <f>IF(Control!$D$5=1,"(+) Interest Income","(+) Receitas Financeiras")</f>
        <v>(+) Receitas Financeiras</v>
      </c>
      <c r="C17" s="69" t="s">
        <v>3</v>
      </c>
      <c r="D17" s="69" t="s">
        <v>3</v>
      </c>
      <c r="E17" s="69" t="s">
        <v>3</v>
      </c>
      <c r="F17" s="69" t="s">
        <v>3</v>
      </c>
      <c r="G17" s="69" t="s">
        <v>3</v>
      </c>
      <c r="H17" s="69" t="s">
        <v>3</v>
      </c>
      <c r="I17" s="69" t="s">
        <v>3</v>
      </c>
      <c r="J17" s="69" t="s">
        <v>3</v>
      </c>
      <c r="K17" s="69" t="s">
        <v>3</v>
      </c>
      <c r="L17" s="69" t="s">
        <v>3</v>
      </c>
      <c r="M17" s="69" t="s">
        <v>3</v>
      </c>
      <c r="N17" s="69" t="s">
        <v>3</v>
      </c>
      <c r="O17" s="69" t="s">
        <v>3</v>
      </c>
      <c r="P17" s="69" t="s">
        <v>3</v>
      </c>
      <c r="Q17" s="69" t="s">
        <v>3</v>
      </c>
      <c r="R17" s="69" t="s">
        <v>3</v>
      </c>
      <c r="S17" s="69" t="s">
        <v>3</v>
      </c>
      <c r="T17" s="69" t="s">
        <v>3</v>
      </c>
      <c r="U17" s="69" t="s">
        <v>3</v>
      </c>
      <c r="V17" s="69" t="s">
        <v>3</v>
      </c>
      <c r="W17" s="69" t="s">
        <v>3</v>
      </c>
      <c r="X17" s="58">
        <v>19.600999999999999</v>
      </c>
      <c r="Y17" s="58">
        <v>16.213000000000001</v>
      </c>
      <c r="Z17" s="58">
        <v>9.9329999999999998</v>
      </c>
      <c r="AA17" s="58">
        <v>9.9769999999999968</v>
      </c>
      <c r="AB17" s="58">
        <v>12.153</v>
      </c>
      <c r="AC17" s="58">
        <v>15.153</v>
      </c>
      <c r="AD17" s="58">
        <v>23.131</v>
      </c>
      <c r="AE17" s="58">
        <v>15.284000000000004</v>
      </c>
      <c r="AF17" s="58">
        <v>24.035</v>
      </c>
      <c r="AG17" s="58">
        <v>13.068999999999999</v>
      </c>
      <c r="AH17" s="58">
        <v>9.6290000000000013</v>
      </c>
      <c r="AI17" s="58">
        <v>8.7399999999999913</v>
      </c>
      <c r="AJ17" s="58">
        <v>16.893000000000001</v>
      </c>
      <c r="AK17" s="58">
        <v>5.2360000000000007</v>
      </c>
      <c r="AL17" s="58">
        <v>8.6609999999999978</v>
      </c>
      <c r="AM17" s="58">
        <v>17.304999999999993</v>
      </c>
      <c r="AN17" s="58">
        <v>27.369</v>
      </c>
      <c r="AO17" s="58">
        <v>23.680999999999997</v>
      </c>
      <c r="AP17" s="58">
        <v>25.454999999999998</v>
      </c>
      <c r="AQ17" s="58">
        <v>16.795000000000002</v>
      </c>
      <c r="AR17" s="58">
        <v>25.4</v>
      </c>
      <c r="AS17" s="58">
        <v>50.500000000000007</v>
      </c>
      <c r="AT17" s="58">
        <v>79.300000000000011</v>
      </c>
      <c r="AU17" s="58">
        <v>26.1</v>
      </c>
      <c r="AV17" s="58">
        <v>34.817999999999998</v>
      </c>
      <c r="AW17" s="58">
        <v>26.888999999999999</v>
      </c>
      <c r="AX17" s="58">
        <v>20.190999999999995</v>
      </c>
      <c r="AY17" s="58">
        <v>26.648</v>
      </c>
      <c r="AZ17" s="58">
        <v>65.238</v>
      </c>
      <c r="BA17" s="58">
        <v>56.395000000000003</v>
      </c>
      <c r="BB17" s="58">
        <v>74.25</v>
      </c>
      <c r="BC17" s="58">
        <v>56.770591150000023</v>
      </c>
      <c r="BD17" s="58">
        <v>35.323</v>
      </c>
      <c r="BE17" s="58">
        <v>44.615361069999999</v>
      </c>
      <c r="BF17" s="58">
        <v>57.382716520000002</v>
      </c>
      <c r="BG17" s="58">
        <v>54.15448305000001</v>
      </c>
      <c r="BH17" s="58">
        <v>54.119</v>
      </c>
      <c r="BI17" s="58">
        <v>84.352000000000004</v>
      </c>
      <c r="BJ17" s="58">
        <v>77.465999999999994</v>
      </c>
      <c r="BK17" s="58">
        <v>51.866</v>
      </c>
      <c r="BL17" s="58">
        <v>51.319000000000003</v>
      </c>
      <c r="BM17" s="58">
        <v>71.418473880000008</v>
      </c>
      <c r="BN17" s="58">
        <v>82.242999999999995</v>
      </c>
      <c r="BO17" s="58">
        <v>91.776622379999992</v>
      </c>
      <c r="BP17" s="58">
        <v>84.212000000000003</v>
      </c>
      <c r="BQ17" s="58">
        <v>134.125</v>
      </c>
      <c r="BR17" s="58">
        <v>118.512</v>
      </c>
      <c r="BS17" s="58">
        <v>66.075000000000003</v>
      </c>
      <c r="BT17" s="58">
        <v>68.503</v>
      </c>
      <c r="BU17" s="58">
        <v>75.180999999999997</v>
      </c>
      <c r="BV17" s="55"/>
      <c r="BW17" s="58">
        <v>55.723999999999997</v>
      </c>
      <c r="BX17" s="58">
        <v>65.721000000000004</v>
      </c>
      <c r="BY17" s="58">
        <v>55.472999999999999</v>
      </c>
      <c r="BZ17" s="58">
        <v>48.1</v>
      </c>
      <c r="CA17" s="58">
        <v>93.3</v>
      </c>
      <c r="CB17" s="58">
        <v>181.36600000000001</v>
      </c>
      <c r="CC17" s="58">
        <v>108.54599999999999</v>
      </c>
      <c r="CD17" s="58">
        <v>252.655</v>
      </c>
      <c r="CE17" s="58">
        <v>191.47556064000003</v>
      </c>
      <c r="CF17" s="58">
        <v>267.803</v>
      </c>
      <c r="CG17" s="58">
        <v>296.75709626000003</v>
      </c>
      <c r="CH17" s="58">
        <v>402.92399999999998</v>
      </c>
    </row>
    <row r="18" spans="1:86" s="6" customFormat="1" ht="14.5" x14ac:dyDescent="0.35">
      <c r="A18" s="91"/>
      <c r="B18" s="28" t="str">
        <f>IF(Control!$D$5=1,"Pre-Tax Income","Resultado antes Impostos")</f>
        <v>Resultado antes Impostos</v>
      </c>
      <c r="C18" s="69" t="s">
        <v>3</v>
      </c>
      <c r="D18" s="69" t="s">
        <v>3</v>
      </c>
      <c r="E18" s="69" t="s">
        <v>3</v>
      </c>
      <c r="F18" s="69" t="s">
        <v>3</v>
      </c>
      <c r="G18" s="69" t="s">
        <v>3</v>
      </c>
      <c r="H18" s="69" t="s">
        <v>3</v>
      </c>
      <c r="I18" s="69" t="s">
        <v>3</v>
      </c>
      <c r="J18" s="69" t="s">
        <v>3</v>
      </c>
      <c r="K18" s="69" t="s">
        <v>3</v>
      </c>
      <c r="L18" s="69" t="s">
        <v>3</v>
      </c>
      <c r="M18" s="69" t="s">
        <v>3</v>
      </c>
      <c r="N18" s="69" t="s">
        <v>3</v>
      </c>
      <c r="O18" s="69" t="s">
        <v>3</v>
      </c>
      <c r="P18" s="69" t="s">
        <v>3</v>
      </c>
      <c r="Q18" s="69" t="s">
        <v>3</v>
      </c>
      <c r="R18" s="69" t="s">
        <v>3</v>
      </c>
      <c r="S18" s="69" t="s">
        <v>3</v>
      </c>
      <c r="T18" s="69" t="s">
        <v>3</v>
      </c>
      <c r="U18" s="69" t="s">
        <v>3</v>
      </c>
      <c r="V18" s="69" t="s">
        <v>3</v>
      </c>
      <c r="W18" s="69" t="s">
        <v>3</v>
      </c>
      <c r="X18" s="70">
        <v>54.072000000000003</v>
      </c>
      <c r="Y18" s="70">
        <v>27.303999999999974</v>
      </c>
      <c r="Z18" s="70">
        <v>28.245000000000047</v>
      </c>
      <c r="AA18" s="70">
        <v>25.972999999999942</v>
      </c>
      <c r="AB18" s="70">
        <v>40.060999999999986</v>
      </c>
      <c r="AC18" s="70">
        <v>23.48700000000003</v>
      </c>
      <c r="AD18" s="70">
        <v>21.221999999999952</v>
      </c>
      <c r="AE18" s="70">
        <v>16.275000000000048</v>
      </c>
      <c r="AF18" s="70">
        <v>38.543000000000006</v>
      </c>
      <c r="AG18" s="70">
        <v>21.538999999999987</v>
      </c>
      <c r="AH18" s="70">
        <v>21.607999999999976</v>
      </c>
      <c r="AI18" s="70">
        <v>42.714000000000041</v>
      </c>
      <c r="AJ18" s="70">
        <v>55.506000000000007</v>
      </c>
      <c r="AK18" s="70">
        <v>76.058000000000007</v>
      </c>
      <c r="AL18" s="70">
        <v>69.034000000000049</v>
      </c>
      <c r="AM18" s="70">
        <v>18.790999999999862</v>
      </c>
      <c r="AN18" s="70">
        <v>62.19700000000001</v>
      </c>
      <c r="AO18" s="70">
        <v>41.634999999999991</v>
      </c>
      <c r="AP18" s="70">
        <v>64.825000000000017</v>
      </c>
      <c r="AQ18" s="70">
        <v>62.143000000000001</v>
      </c>
      <c r="AR18" s="70">
        <v>22.5</v>
      </c>
      <c r="AS18" s="70">
        <v>60.50000000000005</v>
      </c>
      <c r="AT18" s="70">
        <v>115.30000000000024</v>
      </c>
      <c r="AU18" s="70">
        <v>45.1</v>
      </c>
      <c r="AV18" s="70">
        <v>13.613999999999901</v>
      </c>
      <c r="AW18" s="70">
        <v>16.689999999999998</v>
      </c>
      <c r="AX18" s="70">
        <v>50.988999999999997</v>
      </c>
      <c r="AY18" s="70">
        <v>51.021999999999977</v>
      </c>
      <c r="AZ18" s="70">
        <v>88.746000000000151</v>
      </c>
      <c r="BA18" s="70">
        <v>99.92399999999995</v>
      </c>
      <c r="BB18" s="70">
        <v>124.78099999999998</v>
      </c>
      <c r="BC18" s="70">
        <v>62.629396669999842</v>
      </c>
      <c r="BD18" s="70">
        <v>74.478000000000009</v>
      </c>
      <c r="BE18" s="70">
        <v>76.287198300000199</v>
      </c>
      <c r="BF18" s="70">
        <v>83.193736639999585</v>
      </c>
      <c r="BG18" s="70">
        <v>50.378966799999716</v>
      </c>
      <c r="BH18" s="70">
        <v>68.208267879999994</v>
      </c>
      <c r="BI18" s="70">
        <v>63.844732119999918</v>
      </c>
      <c r="BJ18" s="70">
        <v>137.52500000000009</v>
      </c>
      <c r="BK18" s="70">
        <v>-9.4649999999998755</v>
      </c>
      <c r="BL18" s="90">
        <v>4.1269999999999243</v>
      </c>
      <c r="BM18" s="90">
        <v>-6.6945613660065248</v>
      </c>
      <c r="BN18" s="90">
        <v>19.246000000000123</v>
      </c>
      <c r="BO18" s="90">
        <v>66.981843048726262</v>
      </c>
      <c r="BP18" s="90">
        <v>49.1</v>
      </c>
      <c r="BQ18" s="90">
        <v>74.849999999999994</v>
      </c>
      <c r="BR18" s="90">
        <v>-56.590000000000082</v>
      </c>
      <c r="BS18" s="90">
        <v>-55.817000000000093</v>
      </c>
      <c r="BT18" s="90">
        <v>7.9850000000000003</v>
      </c>
      <c r="BU18" s="90">
        <v>10.379999999999953</v>
      </c>
      <c r="BV18" s="55"/>
      <c r="BW18" s="70">
        <v>135.59399999999997</v>
      </c>
      <c r="BX18" s="70">
        <v>101.04500000000002</v>
      </c>
      <c r="BY18" s="70">
        <v>124.40400000000001</v>
      </c>
      <c r="BZ18" s="70">
        <v>219.39400000000006</v>
      </c>
      <c r="CA18" s="70">
        <v>230.8</v>
      </c>
      <c r="CB18" s="70">
        <v>243.238</v>
      </c>
      <c r="CC18" s="70">
        <v>132.31499999999988</v>
      </c>
      <c r="CD18" s="70">
        <v>376.07862388000035</v>
      </c>
      <c r="CE18" s="70">
        <v>284.3379017399995</v>
      </c>
      <c r="CF18" s="70">
        <v>260.11299999999937</v>
      </c>
      <c r="CG18" s="70">
        <v>83.660281682716374</v>
      </c>
      <c r="CH18" s="70">
        <v>11.501999999999953</v>
      </c>
    </row>
    <row r="19" spans="1:86" s="6" customFormat="1" ht="14.5" x14ac:dyDescent="0.35">
      <c r="A19" s="18"/>
      <c r="B19" s="10" t="str">
        <f>IF(Control!$D$5=1,"Total Income Taxes","Total Imposto de Renda / CSLL")</f>
        <v>Total Imposto de Renda / CSLL</v>
      </c>
      <c r="C19" s="69" t="s">
        <v>3</v>
      </c>
      <c r="D19" s="69" t="s">
        <v>3</v>
      </c>
      <c r="E19" s="69" t="s">
        <v>3</v>
      </c>
      <c r="F19" s="69" t="s">
        <v>3</v>
      </c>
      <c r="G19" s="69" t="s">
        <v>3</v>
      </c>
      <c r="H19" s="69" t="s">
        <v>3</v>
      </c>
      <c r="I19" s="69" t="s">
        <v>3</v>
      </c>
      <c r="J19" s="69" t="s">
        <v>3</v>
      </c>
      <c r="K19" s="69" t="s">
        <v>3</v>
      </c>
      <c r="L19" s="69" t="s">
        <v>3</v>
      </c>
      <c r="M19" s="69" t="s">
        <v>3</v>
      </c>
      <c r="N19" s="69" t="s">
        <v>3</v>
      </c>
      <c r="O19" s="69" t="s">
        <v>3</v>
      </c>
      <c r="P19" s="69" t="s">
        <v>3</v>
      </c>
      <c r="Q19" s="69" t="s">
        <v>3</v>
      </c>
      <c r="R19" s="69" t="s">
        <v>3</v>
      </c>
      <c r="S19" s="69" t="s">
        <v>3</v>
      </c>
      <c r="T19" s="69" t="s">
        <v>3</v>
      </c>
      <c r="U19" s="69" t="s">
        <v>3</v>
      </c>
      <c r="V19" s="69" t="s">
        <v>3</v>
      </c>
      <c r="W19" s="69" t="s">
        <v>3</v>
      </c>
      <c r="X19" s="58">
        <v>-18.745999999999999</v>
      </c>
      <c r="Y19" s="58">
        <v>-5.7320000000000029</v>
      </c>
      <c r="Z19" s="58">
        <v>-7.9619999999999962</v>
      </c>
      <c r="AA19" s="58">
        <v>-10.445</v>
      </c>
      <c r="AB19" s="58">
        <v>-12.625999999999999</v>
      </c>
      <c r="AC19" s="58">
        <v>-4.4730000000000008</v>
      </c>
      <c r="AD19" s="58">
        <v>-10.761000000000001</v>
      </c>
      <c r="AE19" s="58">
        <v>-7.0459999999999976</v>
      </c>
      <c r="AF19" s="58">
        <v>-13.37</v>
      </c>
      <c r="AG19" s="58">
        <v>-8.5589999999999993</v>
      </c>
      <c r="AH19" s="58">
        <v>-6.1150000000000002</v>
      </c>
      <c r="AI19" s="58">
        <v>-21.784000000000006</v>
      </c>
      <c r="AJ19" s="58">
        <v>-18.271999999999998</v>
      </c>
      <c r="AK19" s="58">
        <v>-33.088000000000001</v>
      </c>
      <c r="AL19" s="58">
        <v>-21.114999999999995</v>
      </c>
      <c r="AM19" s="58">
        <v>-13.034000000000006</v>
      </c>
      <c r="AN19" s="58">
        <v>-23.477</v>
      </c>
      <c r="AO19" s="58">
        <v>-17.389999999999997</v>
      </c>
      <c r="AP19" s="58">
        <v>-16.304000000000002</v>
      </c>
      <c r="AQ19" s="58">
        <v>7.0999999999997954E-2</v>
      </c>
      <c r="AR19" s="58">
        <v>-5.9</v>
      </c>
      <c r="AS19" s="58">
        <v>-18</v>
      </c>
      <c r="AT19" s="58">
        <v>7.9999999999999982</v>
      </c>
      <c r="AU19" s="58">
        <v>33.4</v>
      </c>
      <c r="AV19" s="58">
        <v>17.073</v>
      </c>
      <c r="AW19" s="58">
        <v>8.6590000000000007</v>
      </c>
      <c r="AX19" s="58">
        <v>-6.657</v>
      </c>
      <c r="AY19" s="58">
        <v>9.2490000000000006</v>
      </c>
      <c r="AZ19" s="58">
        <v>-20.440999999999999</v>
      </c>
      <c r="BA19" s="58">
        <v>-1.78</v>
      </c>
      <c r="BB19" s="58">
        <v>-24.242000000000001</v>
      </c>
      <c r="BC19" s="58">
        <v>13.176960099999997</v>
      </c>
      <c r="BD19" s="58">
        <v>-1.36</v>
      </c>
      <c r="BE19" s="58">
        <v>-9.1315744300000006</v>
      </c>
      <c r="BF19" s="58">
        <v>-0.23600191000000087</v>
      </c>
      <c r="BG19" s="58">
        <v>26.160615130000007</v>
      </c>
      <c r="BH19" s="58">
        <v>-8.2460000000000004</v>
      </c>
      <c r="BI19" s="58">
        <v>-7.6849999999999987</v>
      </c>
      <c r="BJ19" s="58">
        <v>-25.111999999999998</v>
      </c>
      <c r="BK19" s="58">
        <v>13.625999999999999</v>
      </c>
      <c r="BL19" s="58">
        <v>39.457000000000001</v>
      </c>
      <c r="BM19" s="58">
        <v>15.618085849999993</v>
      </c>
      <c r="BN19" s="58">
        <v>75.230999999999995</v>
      </c>
      <c r="BO19" s="58">
        <v>9.1332489499999934</v>
      </c>
      <c r="BP19" s="58">
        <v>-9.15</v>
      </c>
      <c r="BQ19" s="58">
        <v>-2.3010000000000002</v>
      </c>
      <c r="BR19" s="58">
        <v>71.156000000000006</v>
      </c>
      <c r="BS19" s="58">
        <v>11.59</v>
      </c>
      <c r="BT19" s="58">
        <v>16.204000000000001</v>
      </c>
      <c r="BU19" s="58">
        <v>33.731000000000002</v>
      </c>
      <c r="BV19" s="55"/>
      <c r="BW19" s="58">
        <v>-42.884999999999998</v>
      </c>
      <c r="BX19" s="58">
        <v>-34.905999999999999</v>
      </c>
      <c r="BY19" s="58">
        <v>-49.828000000000003</v>
      </c>
      <c r="BZ19" s="58">
        <v>-85.5</v>
      </c>
      <c r="CA19" s="58">
        <v>-57.1</v>
      </c>
      <c r="CB19" s="58">
        <v>17.510000000000002</v>
      </c>
      <c r="CC19" s="58">
        <v>28.323999999999998</v>
      </c>
      <c r="CD19" s="58">
        <v>-33.286999999999999</v>
      </c>
      <c r="CE19" s="58">
        <v>15.433038790000007</v>
      </c>
      <c r="CF19" s="58">
        <v>-27.417000000000002</v>
      </c>
      <c r="CG19" s="58">
        <v>139.43933479999998</v>
      </c>
      <c r="CH19" s="58">
        <v>71.295000000000002</v>
      </c>
    </row>
    <row r="20" spans="1:86" s="6" customFormat="1" ht="14.5" x14ac:dyDescent="0.35">
      <c r="A20" s="91"/>
      <c r="B20" s="31" t="str">
        <f>IF(Control!$D$5=1,"Net Income","Lucro Líquido")</f>
        <v>Lucro Líquido</v>
      </c>
      <c r="C20" s="65" t="s">
        <v>3</v>
      </c>
      <c r="D20" s="65" t="s">
        <v>3</v>
      </c>
      <c r="E20" s="65" t="s">
        <v>3</v>
      </c>
      <c r="F20" s="65" t="s">
        <v>3</v>
      </c>
      <c r="G20" s="65" t="s">
        <v>3</v>
      </c>
      <c r="H20" s="65" t="s">
        <v>3</v>
      </c>
      <c r="I20" s="65" t="s">
        <v>3</v>
      </c>
      <c r="J20" s="65" t="s">
        <v>3</v>
      </c>
      <c r="K20" s="65" t="s">
        <v>3</v>
      </c>
      <c r="L20" s="65" t="s">
        <v>3</v>
      </c>
      <c r="M20" s="65" t="s">
        <v>3</v>
      </c>
      <c r="N20" s="65" t="s">
        <v>3</v>
      </c>
      <c r="O20" s="65" t="s">
        <v>3</v>
      </c>
      <c r="P20" s="65" t="s">
        <v>3</v>
      </c>
      <c r="Q20" s="65" t="s">
        <v>3</v>
      </c>
      <c r="R20" s="65" t="s">
        <v>3</v>
      </c>
      <c r="S20" s="65" t="s">
        <v>3</v>
      </c>
      <c r="T20" s="65" t="s">
        <v>3</v>
      </c>
      <c r="U20" s="65" t="s">
        <v>3</v>
      </c>
      <c r="V20" s="65" t="s">
        <v>3</v>
      </c>
      <c r="W20" s="65" t="s">
        <v>3</v>
      </c>
      <c r="X20" s="65">
        <f t="shared" ref="X20:AN20" si="1">+X18+X19</f>
        <v>35.326000000000008</v>
      </c>
      <c r="Y20" s="65">
        <f t="shared" si="1"/>
        <v>21.571999999999971</v>
      </c>
      <c r="Z20" s="65">
        <f t="shared" si="1"/>
        <v>20.283000000000051</v>
      </c>
      <c r="AA20" s="65">
        <f t="shared" si="1"/>
        <v>15.527999999999942</v>
      </c>
      <c r="AB20" s="65">
        <f t="shared" si="1"/>
        <v>27.434999999999988</v>
      </c>
      <c r="AC20" s="65">
        <f t="shared" si="1"/>
        <v>19.014000000000031</v>
      </c>
      <c r="AD20" s="65">
        <f t="shared" si="1"/>
        <v>10.460999999999951</v>
      </c>
      <c r="AE20" s="65">
        <f t="shared" si="1"/>
        <v>9.2290000000000507</v>
      </c>
      <c r="AF20" s="65">
        <f t="shared" si="1"/>
        <v>25.173000000000009</v>
      </c>
      <c r="AG20" s="65">
        <f t="shared" si="1"/>
        <v>12.979999999999988</v>
      </c>
      <c r="AH20" s="65">
        <f t="shared" si="1"/>
        <v>15.492999999999975</v>
      </c>
      <c r="AI20" s="65">
        <f t="shared" si="1"/>
        <v>20.930000000000035</v>
      </c>
      <c r="AJ20" s="65">
        <f t="shared" si="1"/>
        <v>37.234000000000009</v>
      </c>
      <c r="AK20" s="65">
        <f t="shared" si="1"/>
        <v>42.970000000000006</v>
      </c>
      <c r="AL20" s="65">
        <f t="shared" si="1"/>
        <v>47.919000000000054</v>
      </c>
      <c r="AM20" s="65">
        <f t="shared" si="1"/>
        <v>5.7569999999998558</v>
      </c>
      <c r="AN20" s="65">
        <f t="shared" si="1"/>
        <v>38.720000000000013</v>
      </c>
      <c r="AO20" s="65">
        <f>+AO18+AO19</f>
        <v>24.244999999999994</v>
      </c>
      <c r="AP20" s="65">
        <f>+AP18+AP19</f>
        <v>48.521000000000015</v>
      </c>
      <c r="AQ20" s="65">
        <f>+AQ18+AQ19</f>
        <v>62.213999999999999</v>
      </c>
      <c r="AR20" s="65">
        <f>+AR18+AR19</f>
        <v>16.600000000000001</v>
      </c>
      <c r="AS20" s="65">
        <f>+AS18+AS19</f>
        <v>42.50000000000005</v>
      </c>
      <c r="AT20" s="65">
        <f t="shared" ref="AT20:AY20" si="2">+AT18+AT19</f>
        <v>123.30000000000024</v>
      </c>
      <c r="AU20" s="65">
        <f t="shared" si="2"/>
        <v>78.5</v>
      </c>
      <c r="AV20" s="65">
        <f t="shared" si="2"/>
        <v>30.686999999999902</v>
      </c>
      <c r="AW20" s="65">
        <f t="shared" si="2"/>
        <v>25.348999999999997</v>
      </c>
      <c r="AX20" s="65">
        <f t="shared" si="2"/>
        <v>44.331999999999994</v>
      </c>
      <c r="AY20" s="65">
        <f t="shared" si="2"/>
        <v>60.270999999999979</v>
      </c>
      <c r="AZ20" s="65">
        <f t="shared" ref="AZ20:BM20" si="3">+AZ18+AZ19</f>
        <v>68.305000000000149</v>
      </c>
      <c r="BA20" s="65">
        <f t="shared" si="3"/>
        <v>98.143999999999949</v>
      </c>
      <c r="BB20" s="65">
        <f t="shared" si="3"/>
        <v>100.53899999999997</v>
      </c>
      <c r="BC20" s="65">
        <f t="shared" si="3"/>
        <v>75.806356769999837</v>
      </c>
      <c r="BD20" s="65">
        <f t="shared" si="3"/>
        <v>73.118000000000009</v>
      </c>
      <c r="BE20" s="65">
        <f t="shared" si="3"/>
        <v>67.155623870000198</v>
      </c>
      <c r="BF20" s="65">
        <f t="shared" si="3"/>
        <v>82.957734729999586</v>
      </c>
      <c r="BG20" s="65">
        <f t="shared" si="3"/>
        <v>76.539581929999727</v>
      </c>
      <c r="BH20" s="65">
        <f t="shared" si="3"/>
        <v>59.962267879999992</v>
      </c>
      <c r="BI20" s="65">
        <f t="shared" si="3"/>
        <v>56.159732119999916</v>
      </c>
      <c r="BJ20" s="65">
        <f t="shared" si="3"/>
        <v>112.4130000000001</v>
      </c>
      <c r="BK20" s="65">
        <f t="shared" si="3"/>
        <v>4.1610000000001239</v>
      </c>
      <c r="BL20" s="65">
        <f t="shared" si="3"/>
        <v>43.583999999999925</v>
      </c>
      <c r="BM20" s="65">
        <f t="shared" si="3"/>
        <v>8.923524483993468</v>
      </c>
      <c r="BN20" s="65">
        <v>94.477000000000118</v>
      </c>
      <c r="BO20" s="65">
        <v>76.115091998726257</v>
      </c>
      <c r="BP20" s="65">
        <v>39.950000000000003</v>
      </c>
      <c r="BQ20" s="224">
        <v>72.549000000000007</v>
      </c>
      <c r="BR20" s="224">
        <v>14.565999999999924</v>
      </c>
      <c r="BS20" s="224">
        <v>-44.227000000000089</v>
      </c>
      <c r="BT20" s="224">
        <v>24.189</v>
      </c>
      <c r="BU20" s="246">
        <v>44.110999999999954</v>
      </c>
      <c r="BV20" s="55"/>
      <c r="BW20" s="65">
        <f t="shared" ref="BW20:CD20" si="4">+BW18+BW19</f>
        <v>92.708999999999975</v>
      </c>
      <c r="BX20" s="65">
        <f t="shared" si="4"/>
        <v>66.13900000000001</v>
      </c>
      <c r="BY20" s="65">
        <f t="shared" si="4"/>
        <v>74.576000000000008</v>
      </c>
      <c r="BZ20" s="65">
        <f t="shared" si="4"/>
        <v>133.89400000000006</v>
      </c>
      <c r="CA20" s="65">
        <f t="shared" si="4"/>
        <v>173.70000000000002</v>
      </c>
      <c r="CB20" s="65">
        <f t="shared" si="4"/>
        <v>260.74799999999999</v>
      </c>
      <c r="CC20" s="65">
        <f t="shared" si="4"/>
        <v>160.6389999999999</v>
      </c>
      <c r="CD20" s="65">
        <f t="shared" si="4"/>
        <v>342.79162388000037</v>
      </c>
      <c r="CE20" s="65">
        <v>299.77094052999951</v>
      </c>
      <c r="CF20" s="65">
        <v>232.69599999999937</v>
      </c>
      <c r="CG20" s="65">
        <v>223.09961648271636</v>
      </c>
      <c r="CH20" s="65">
        <v>82.796999999999954</v>
      </c>
    </row>
    <row r="21" spans="1:86" ht="6.75" customHeight="1" x14ac:dyDescent="0.35">
      <c r="A21" s="6"/>
      <c r="B21" s="10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241"/>
      <c r="BU21" s="241"/>
      <c r="BV21" s="55"/>
      <c r="BW21" s="57"/>
      <c r="BX21" s="57"/>
      <c r="BY21" s="63"/>
      <c r="BZ21" s="63"/>
      <c r="CA21" s="63"/>
      <c r="CB21" s="63"/>
      <c r="CC21" s="63"/>
      <c r="CD21" s="63"/>
      <c r="CE21" s="63"/>
      <c r="CF21" s="63"/>
      <c r="CG21" s="63"/>
      <c r="CH21" s="63"/>
    </row>
    <row r="22" spans="1:86" s="6" customFormat="1" ht="14.5" outlineLevel="1" x14ac:dyDescent="0.35">
      <c r="A22" s="91"/>
      <c r="B22" s="10" t="str">
        <f>IF(Control!$D$5=1,"Current Assets","Ativo Circulante")</f>
        <v>Ativo Circulante</v>
      </c>
      <c r="C22" s="69" t="s">
        <v>3</v>
      </c>
      <c r="D22" s="69" t="s">
        <v>3</v>
      </c>
      <c r="E22" s="69" t="s">
        <v>3</v>
      </c>
      <c r="F22" s="69" t="s">
        <v>3</v>
      </c>
      <c r="G22" s="69" t="s">
        <v>3</v>
      </c>
      <c r="H22" s="69" t="s">
        <v>3</v>
      </c>
      <c r="I22" s="69" t="s">
        <v>3</v>
      </c>
      <c r="J22" s="69" t="s">
        <v>3</v>
      </c>
      <c r="K22" s="69" t="s">
        <v>3</v>
      </c>
      <c r="L22" s="69" t="s">
        <v>3</v>
      </c>
      <c r="M22" s="69" t="s">
        <v>3</v>
      </c>
      <c r="N22" s="69" t="s">
        <v>3</v>
      </c>
      <c r="O22" s="69" t="s">
        <v>3</v>
      </c>
      <c r="P22" s="69" t="s">
        <v>3</v>
      </c>
      <c r="Q22" s="69" t="s">
        <v>3</v>
      </c>
      <c r="R22" s="69" t="s">
        <v>3</v>
      </c>
      <c r="S22" s="69" t="s">
        <v>3</v>
      </c>
      <c r="T22" s="69" t="s">
        <v>3</v>
      </c>
      <c r="U22" s="69" t="s">
        <v>3</v>
      </c>
      <c r="V22" s="69" t="s">
        <v>3</v>
      </c>
      <c r="W22" s="69" t="s">
        <v>3</v>
      </c>
      <c r="X22" s="58" t="s">
        <v>3</v>
      </c>
      <c r="Y22" s="58" t="s">
        <v>3</v>
      </c>
      <c r="Z22" s="58" t="s">
        <v>3</v>
      </c>
      <c r="AA22" s="58">
        <v>1163.1769999999999</v>
      </c>
      <c r="AB22" s="58">
        <v>1208.7929999999999</v>
      </c>
      <c r="AC22" s="58">
        <v>1403.58</v>
      </c>
      <c r="AD22" s="58">
        <v>1351.4639999999999</v>
      </c>
      <c r="AE22" s="58">
        <v>1223.2840000000001</v>
      </c>
      <c r="AF22" s="58" t="s">
        <v>3</v>
      </c>
      <c r="AG22" s="58" t="s">
        <v>3</v>
      </c>
      <c r="AH22" s="58" t="s">
        <v>3</v>
      </c>
      <c r="AI22" s="58">
        <v>1294.549</v>
      </c>
      <c r="AJ22" s="58" t="s">
        <v>3</v>
      </c>
      <c r="AK22" s="58" t="s">
        <v>3</v>
      </c>
      <c r="AL22" s="58" t="s">
        <v>3</v>
      </c>
      <c r="AM22" s="58">
        <v>1724.0719999999999</v>
      </c>
      <c r="AN22" s="69" t="s">
        <v>3</v>
      </c>
      <c r="AO22" s="58" t="s">
        <v>3</v>
      </c>
      <c r="AP22" s="58" t="s">
        <v>3</v>
      </c>
      <c r="AQ22" s="58">
        <f>CA22</f>
        <v>1633.2049999999999</v>
      </c>
      <c r="AR22" s="58">
        <v>1603.146</v>
      </c>
      <c r="AS22" s="58">
        <v>1717.691</v>
      </c>
      <c r="AT22" s="58">
        <v>1824.4559999999999</v>
      </c>
      <c r="AU22" s="58">
        <v>1635.202</v>
      </c>
      <c r="AV22" s="58">
        <v>2250.9079999999999</v>
      </c>
      <c r="AW22" s="58">
        <v>2168.3530000000001</v>
      </c>
      <c r="AX22" s="196">
        <v>1961.59</v>
      </c>
      <c r="AY22" s="58">
        <v>1930.018</v>
      </c>
      <c r="AZ22" s="58">
        <v>2803.1750000000002</v>
      </c>
      <c r="BA22" s="58">
        <v>2507.25</v>
      </c>
      <c r="BB22" s="58">
        <v>2995.1030000000001</v>
      </c>
      <c r="BC22" s="58">
        <v>2460.8073689299999</v>
      </c>
      <c r="BD22" s="58">
        <v>2985.5729999999999</v>
      </c>
      <c r="BE22" s="58">
        <v>2911.7061934600001</v>
      </c>
      <c r="BF22" s="58">
        <v>3286.8575748597468</v>
      </c>
      <c r="BG22" s="58">
        <v>3140.694</v>
      </c>
      <c r="BH22" s="58">
        <v>3157.076274</v>
      </c>
      <c r="BI22" s="58">
        <v>3457.6987072700003</v>
      </c>
      <c r="BJ22" s="58">
        <v>3184.8240000000001</v>
      </c>
      <c r="BK22" s="58">
        <v>3471.05699684618</v>
      </c>
      <c r="BL22" s="58">
        <v>3276.866</v>
      </c>
      <c r="BM22" s="58">
        <v>4465.6570000000002</v>
      </c>
      <c r="BN22" s="58">
        <v>4424.5889999999999</v>
      </c>
      <c r="BO22" s="58">
        <v>4920.3050000000003</v>
      </c>
      <c r="BP22" s="58">
        <v>4534.5510000000004</v>
      </c>
      <c r="BQ22" s="58">
        <v>5227.4319999999998</v>
      </c>
      <c r="BR22" s="58">
        <v>4734.9830000000002</v>
      </c>
      <c r="BS22" s="58">
        <v>4384.0789999999997</v>
      </c>
      <c r="BT22" s="58">
        <v>4002.7170000000001</v>
      </c>
      <c r="BU22" s="58">
        <v>4061.154</v>
      </c>
      <c r="BV22" s="55"/>
      <c r="BW22" s="58">
        <v>1163.1769999999999</v>
      </c>
      <c r="BX22" s="58">
        <v>1223.2840000000001</v>
      </c>
      <c r="BY22" s="58">
        <v>1294.549</v>
      </c>
      <c r="BZ22" s="58">
        <v>1724.0719999999999</v>
      </c>
      <c r="CA22" s="58">
        <v>1633.2049999999999</v>
      </c>
      <c r="CB22" s="58">
        <v>1635.202</v>
      </c>
      <c r="CC22" s="58">
        <v>1930.018</v>
      </c>
      <c r="CD22" s="58">
        <v>2460.8073689299999</v>
      </c>
      <c r="CE22" s="58">
        <v>3140.694</v>
      </c>
      <c r="CF22" s="58">
        <v>3471.05699684618</v>
      </c>
      <c r="CG22" s="58">
        <v>4920.3050000000003</v>
      </c>
      <c r="CH22" s="58">
        <v>4384.0789999999997</v>
      </c>
    </row>
    <row r="23" spans="1:86" s="6" customFormat="1" ht="14.5" outlineLevel="1" x14ac:dyDescent="0.35">
      <c r="A23" s="18"/>
      <c r="B23" s="10" t="str">
        <f>IF(Control!$D$5=1,"Long Term Assets","Ativo não Circulante")</f>
        <v>Ativo não Circulante</v>
      </c>
      <c r="C23" s="69" t="s">
        <v>3</v>
      </c>
      <c r="D23" s="69" t="s">
        <v>3</v>
      </c>
      <c r="E23" s="69" t="s">
        <v>3</v>
      </c>
      <c r="F23" s="69" t="s">
        <v>3</v>
      </c>
      <c r="G23" s="69" t="s">
        <v>3</v>
      </c>
      <c r="H23" s="69" t="s">
        <v>3</v>
      </c>
      <c r="I23" s="69" t="s">
        <v>3</v>
      </c>
      <c r="J23" s="69" t="s">
        <v>3</v>
      </c>
      <c r="K23" s="69" t="s">
        <v>3</v>
      </c>
      <c r="L23" s="69" t="s">
        <v>3</v>
      </c>
      <c r="M23" s="69" t="s">
        <v>3</v>
      </c>
      <c r="N23" s="69" t="s">
        <v>3</v>
      </c>
      <c r="O23" s="69" t="s">
        <v>3</v>
      </c>
      <c r="P23" s="69" t="s">
        <v>3</v>
      </c>
      <c r="Q23" s="69" t="s">
        <v>3</v>
      </c>
      <c r="R23" s="69" t="s">
        <v>3</v>
      </c>
      <c r="S23" s="69" t="s">
        <v>3</v>
      </c>
      <c r="T23" s="69" t="s">
        <v>3</v>
      </c>
      <c r="U23" s="69" t="s">
        <v>3</v>
      </c>
      <c r="V23" s="69" t="s">
        <v>3</v>
      </c>
      <c r="W23" s="69" t="s">
        <v>3</v>
      </c>
      <c r="X23" s="58" t="s">
        <v>3</v>
      </c>
      <c r="Y23" s="58" t="s">
        <v>3</v>
      </c>
      <c r="Z23" s="58" t="s">
        <v>3</v>
      </c>
      <c r="AA23" s="58">
        <v>29.291</v>
      </c>
      <c r="AB23" s="58">
        <v>1072.479</v>
      </c>
      <c r="AC23" s="58">
        <v>1059.6579999999999</v>
      </c>
      <c r="AD23" s="58">
        <v>1044.999</v>
      </c>
      <c r="AE23" s="58">
        <v>41.12</v>
      </c>
      <c r="AF23" s="58" t="s">
        <v>3</v>
      </c>
      <c r="AG23" s="58" t="s">
        <v>3</v>
      </c>
      <c r="AH23" s="58" t="s">
        <v>3</v>
      </c>
      <c r="AI23" s="58">
        <v>995.51900000000001</v>
      </c>
      <c r="AJ23" s="58" t="s">
        <v>3</v>
      </c>
      <c r="AK23" s="58" t="s">
        <v>3</v>
      </c>
      <c r="AL23" s="58" t="s">
        <v>3</v>
      </c>
      <c r="AM23" s="58">
        <v>987.66899999999998</v>
      </c>
      <c r="AN23" s="69" t="s">
        <v>3</v>
      </c>
      <c r="AO23" s="58" t="s">
        <v>3</v>
      </c>
      <c r="AP23" s="58" t="s">
        <v>3</v>
      </c>
      <c r="AQ23" s="58">
        <f>CA23</f>
        <v>991.33399999999995</v>
      </c>
      <c r="AR23" s="58">
        <v>992.51499999999999</v>
      </c>
      <c r="AS23" s="58">
        <v>986.38199999999995</v>
      </c>
      <c r="AT23" s="58">
        <v>984.44</v>
      </c>
      <c r="AU23" s="58">
        <v>1156.7280000000001</v>
      </c>
      <c r="AV23" s="58">
        <v>1466.835</v>
      </c>
      <c r="AW23" s="58">
        <v>1483.904</v>
      </c>
      <c r="AX23" s="196">
        <v>1345.12</v>
      </c>
      <c r="AY23" s="58">
        <v>1492.681</v>
      </c>
      <c r="AZ23" s="58">
        <v>1415.135</v>
      </c>
      <c r="BA23" s="58">
        <v>1473.191</v>
      </c>
      <c r="BB23" s="58">
        <v>1845.0029999999999</v>
      </c>
      <c r="BC23" s="58">
        <v>1626.8466435252501</v>
      </c>
      <c r="BD23" s="58">
        <v>1610.5830000000001</v>
      </c>
      <c r="BE23" s="58">
        <v>1594.6014803072801</v>
      </c>
      <c r="BF23" s="58">
        <v>1939.0761697005687</v>
      </c>
      <c r="BG23" s="58">
        <v>2180.9839999999999</v>
      </c>
      <c r="BH23" s="58">
        <v>2169.8195310000001</v>
      </c>
      <c r="BI23" s="58">
        <v>2239.88972509</v>
      </c>
      <c r="BJ23" s="58">
        <v>2624.7750000000001</v>
      </c>
      <c r="BK23" s="58">
        <v>3067.404</v>
      </c>
      <c r="BL23" s="58">
        <v>3030.8290000000002</v>
      </c>
      <c r="BM23" s="58">
        <v>3052.1840000000002</v>
      </c>
      <c r="BN23" s="58">
        <v>3113.3739999999998</v>
      </c>
      <c r="BO23" s="58">
        <v>3176.5160000000001</v>
      </c>
      <c r="BP23" s="58">
        <v>3181.172</v>
      </c>
      <c r="BQ23" s="58">
        <v>3202.94</v>
      </c>
      <c r="BR23" s="58">
        <v>3243.0369999999998</v>
      </c>
      <c r="BS23" s="58">
        <v>3381.4270000000001</v>
      </c>
      <c r="BT23" s="58">
        <v>3470.0369999999998</v>
      </c>
      <c r="BU23" s="58">
        <v>3550.364</v>
      </c>
      <c r="BV23" s="55"/>
      <c r="BW23" s="58">
        <v>29.291</v>
      </c>
      <c r="BX23" s="58">
        <v>41.12</v>
      </c>
      <c r="BY23" s="58">
        <v>995.51900000000001</v>
      </c>
      <c r="BZ23" s="58">
        <v>987.66899999999998</v>
      </c>
      <c r="CA23" s="58">
        <v>991.33399999999995</v>
      </c>
      <c r="CB23" s="58">
        <v>1156.7280000000001</v>
      </c>
      <c r="CC23" s="58">
        <v>1492.681</v>
      </c>
      <c r="CD23" s="58">
        <v>1626.8466435252501</v>
      </c>
      <c r="CE23" s="58">
        <v>2180.9839999999999</v>
      </c>
      <c r="CF23" s="58">
        <v>3067.404</v>
      </c>
      <c r="CG23" s="58">
        <v>3176.5160000000001</v>
      </c>
      <c r="CH23" s="58">
        <v>3381.4270000000001</v>
      </c>
    </row>
    <row r="24" spans="1:86" s="6" customFormat="1" ht="14.5" outlineLevel="1" x14ac:dyDescent="0.35">
      <c r="B24" s="10" t="str">
        <f>IF(Control!$D$5=1,"Current Liabilities","Passivo Circulante")</f>
        <v>Passivo Circulante</v>
      </c>
      <c r="C24" s="69" t="s">
        <v>3</v>
      </c>
      <c r="D24" s="69" t="s">
        <v>3</v>
      </c>
      <c r="E24" s="69" t="s">
        <v>3</v>
      </c>
      <c r="F24" s="69" t="s">
        <v>3</v>
      </c>
      <c r="G24" s="69" t="s">
        <v>3</v>
      </c>
      <c r="H24" s="69" t="s">
        <v>3</v>
      </c>
      <c r="I24" s="69" t="s">
        <v>3</v>
      </c>
      <c r="J24" s="69" t="s">
        <v>3</v>
      </c>
      <c r="K24" s="69" t="s">
        <v>3</v>
      </c>
      <c r="L24" s="69" t="s">
        <v>3</v>
      </c>
      <c r="M24" s="69" t="s">
        <v>3</v>
      </c>
      <c r="N24" s="69" t="s">
        <v>3</v>
      </c>
      <c r="O24" s="69" t="s">
        <v>3</v>
      </c>
      <c r="P24" s="69" t="s">
        <v>3</v>
      </c>
      <c r="Q24" s="69" t="s">
        <v>3</v>
      </c>
      <c r="R24" s="69" t="s">
        <v>3</v>
      </c>
      <c r="S24" s="69" t="s">
        <v>3</v>
      </c>
      <c r="T24" s="69" t="s">
        <v>3</v>
      </c>
      <c r="U24" s="69" t="s">
        <v>3</v>
      </c>
      <c r="V24" s="69" t="s">
        <v>3</v>
      </c>
      <c r="W24" s="69" t="s">
        <v>3</v>
      </c>
      <c r="X24" s="58" t="s">
        <v>3</v>
      </c>
      <c r="Y24" s="58" t="s">
        <v>3</v>
      </c>
      <c r="Z24" s="58" t="s">
        <v>3</v>
      </c>
      <c r="AA24" s="58">
        <v>601.30200000000002</v>
      </c>
      <c r="AB24" s="58">
        <v>675.27599999999995</v>
      </c>
      <c r="AC24" s="58">
        <v>712.10199999999998</v>
      </c>
      <c r="AD24" s="58">
        <v>712.21100000000001</v>
      </c>
      <c r="AE24" s="58">
        <v>640.98800000000006</v>
      </c>
      <c r="AF24" s="58" t="s">
        <v>3</v>
      </c>
      <c r="AG24" s="58" t="s">
        <v>3</v>
      </c>
      <c r="AH24" s="58" t="s">
        <v>3</v>
      </c>
      <c r="AI24" s="58">
        <v>728.197</v>
      </c>
      <c r="AJ24" s="58" t="s">
        <v>3</v>
      </c>
      <c r="AK24" s="58" t="s">
        <v>3</v>
      </c>
      <c r="AL24" s="58" t="s">
        <v>3</v>
      </c>
      <c r="AM24" s="58">
        <v>1046.462</v>
      </c>
      <c r="AN24" s="69" t="s">
        <v>3</v>
      </c>
      <c r="AO24" s="58" t="s">
        <v>3</v>
      </c>
      <c r="AP24" s="58" t="s">
        <v>3</v>
      </c>
      <c r="AQ24" s="58">
        <f>CA24</f>
        <v>325.17899999999997</v>
      </c>
      <c r="AR24" s="58">
        <v>307.39499999999998</v>
      </c>
      <c r="AS24" s="58">
        <v>409.267</v>
      </c>
      <c r="AT24" s="58">
        <v>406.01799999999997</v>
      </c>
      <c r="AU24" s="58">
        <v>629.70799999999997</v>
      </c>
      <c r="AV24" s="58">
        <v>749.346</v>
      </c>
      <c r="AW24" s="58">
        <v>984.19500000000005</v>
      </c>
      <c r="AX24" s="196">
        <v>921.14800000000002</v>
      </c>
      <c r="AY24" s="58">
        <v>1041.3389999999999</v>
      </c>
      <c r="AZ24" s="58">
        <v>1773.049</v>
      </c>
      <c r="BA24" s="58">
        <v>1676.125</v>
      </c>
      <c r="BB24" s="58">
        <v>1211.9839999999999</v>
      </c>
      <c r="BC24" s="58">
        <v>1114.2225957450401</v>
      </c>
      <c r="BD24" s="58">
        <v>1047.249</v>
      </c>
      <c r="BE24" s="58">
        <v>949.15386114894602</v>
      </c>
      <c r="BF24" s="58">
        <v>1002.9879162901179</v>
      </c>
      <c r="BG24" s="58">
        <v>945.16</v>
      </c>
      <c r="BH24" s="58">
        <v>1177.008</v>
      </c>
      <c r="BI24" s="58">
        <v>1377.666222264</v>
      </c>
      <c r="BJ24" s="58">
        <v>1428.4069999999999</v>
      </c>
      <c r="BK24" s="58">
        <v>1707.9231789084599</v>
      </c>
      <c r="BL24" s="58">
        <v>1803.866</v>
      </c>
      <c r="BM24" s="58">
        <v>2298.2640000000001</v>
      </c>
      <c r="BN24" s="58">
        <v>2553.366</v>
      </c>
      <c r="BO24" s="58">
        <v>2230.5639999999999</v>
      </c>
      <c r="BP24" s="58">
        <v>2067.3359999999998</v>
      </c>
      <c r="BQ24" s="58">
        <v>2127.0100000000002</v>
      </c>
      <c r="BR24" s="58">
        <v>1937.3130000000001</v>
      </c>
      <c r="BS24" s="58">
        <v>2762.61</v>
      </c>
      <c r="BT24" s="58">
        <v>2669.07</v>
      </c>
      <c r="BU24" s="58">
        <v>2685.1570000000002</v>
      </c>
      <c r="BV24" s="55"/>
      <c r="BW24" s="58">
        <v>601.30200000000002</v>
      </c>
      <c r="BX24" s="58">
        <v>640.98800000000006</v>
      </c>
      <c r="BY24" s="58">
        <v>728.197</v>
      </c>
      <c r="BZ24" s="58">
        <v>1046.462</v>
      </c>
      <c r="CA24" s="58">
        <v>325.17899999999997</v>
      </c>
      <c r="CB24" s="58">
        <v>629.70799999999997</v>
      </c>
      <c r="CC24" s="58">
        <v>1041.3389999999999</v>
      </c>
      <c r="CD24" s="58">
        <v>1114.2225957450401</v>
      </c>
      <c r="CE24" s="58">
        <v>945.16</v>
      </c>
      <c r="CF24" s="58">
        <v>1707.9231789084599</v>
      </c>
      <c r="CG24" s="58">
        <v>2230.5639999999999</v>
      </c>
      <c r="CH24" s="58">
        <v>2762.61</v>
      </c>
    </row>
    <row r="25" spans="1:86" s="6" customFormat="1" ht="14.5" outlineLevel="1" x14ac:dyDescent="0.35">
      <c r="A25" s="18"/>
      <c r="B25" s="10" t="str">
        <f>IF(Control!$D$5=1,"Long Term Liabilities","Passivo não Circulante")</f>
        <v>Passivo não Circulante</v>
      </c>
      <c r="C25" s="69" t="s">
        <v>3</v>
      </c>
      <c r="D25" s="69" t="s">
        <v>3</v>
      </c>
      <c r="E25" s="69" t="s">
        <v>3</v>
      </c>
      <c r="F25" s="69" t="s">
        <v>3</v>
      </c>
      <c r="G25" s="69" t="s">
        <v>3</v>
      </c>
      <c r="H25" s="69" t="s">
        <v>3</v>
      </c>
      <c r="I25" s="69" t="s">
        <v>3</v>
      </c>
      <c r="J25" s="69" t="s">
        <v>3</v>
      </c>
      <c r="K25" s="69" t="s">
        <v>3</v>
      </c>
      <c r="L25" s="69" t="s">
        <v>3</v>
      </c>
      <c r="M25" s="69" t="s">
        <v>3</v>
      </c>
      <c r="N25" s="69" t="s">
        <v>3</v>
      </c>
      <c r="O25" s="69" t="s">
        <v>3</v>
      </c>
      <c r="P25" s="69" t="s">
        <v>3</v>
      </c>
      <c r="Q25" s="69" t="s">
        <v>3</v>
      </c>
      <c r="R25" s="69" t="s">
        <v>3</v>
      </c>
      <c r="S25" s="69" t="s">
        <v>3</v>
      </c>
      <c r="T25" s="69" t="s">
        <v>3</v>
      </c>
      <c r="U25" s="69" t="s">
        <v>3</v>
      </c>
      <c r="V25" s="69" t="s">
        <v>3</v>
      </c>
      <c r="W25" s="69" t="s">
        <v>3</v>
      </c>
      <c r="X25" s="58" t="s">
        <v>3</v>
      </c>
      <c r="Y25" s="58" t="s">
        <v>3</v>
      </c>
      <c r="Z25" s="58" t="s">
        <v>3</v>
      </c>
      <c r="AA25" s="58">
        <v>1015.509</v>
      </c>
      <c r="AB25" s="58">
        <v>1000.774</v>
      </c>
      <c r="AC25" s="58">
        <v>1126.008</v>
      </c>
      <c r="AD25" s="58">
        <v>1049.421</v>
      </c>
      <c r="AE25" s="58">
        <v>975.01199999999994</v>
      </c>
      <c r="AF25" s="58" t="s">
        <v>3</v>
      </c>
      <c r="AG25" s="58" t="s">
        <v>3</v>
      </c>
      <c r="AH25" s="58" t="s">
        <v>3</v>
      </c>
      <c r="AI25" s="58">
        <v>877.78099999999995</v>
      </c>
      <c r="AJ25" s="58" t="s">
        <v>3</v>
      </c>
      <c r="AK25" s="58" t="s">
        <v>3</v>
      </c>
      <c r="AL25" s="58" t="s">
        <v>3</v>
      </c>
      <c r="AM25" s="58">
        <v>861.73400000000004</v>
      </c>
      <c r="AN25" s="69" t="s">
        <v>3</v>
      </c>
      <c r="AO25" s="58" t="s">
        <v>3</v>
      </c>
      <c r="AP25" s="58" t="s">
        <v>3</v>
      </c>
      <c r="AQ25" s="58">
        <f>CA25</f>
        <v>1165.5650000000001</v>
      </c>
      <c r="AR25" s="58">
        <v>1162.296</v>
      </c>
      <c r="AS25" s="58">
        <v>1160.097</v>
      </c>
      <c r="AT25" s="58">
        <v>1177.087</v>
      </c>
      <c r="AU25" s="58">
        <v>994.38499999999999</v>
      </c>
      <c r="AV25" s="58">
        <v>1637.7070000000001</v>
      </c>
      <c r="AW25" s="58">
        <v>1371.991</v>
      </c>
      <c r="AX25" s="196">
        <v>1403.22</v>
      </c>
      <c r="AY25" s="58">
        <v>1189.2449999999999</v>
      </c>
      <c r="AZ25" s="58">
        <v>1177.1849999999999</v>
      </c>
      <c r="BA25" s="58">
        <v>1003.85</v>
      </c>
      <c r="BB25" s="58">
        <v>1797.4190000000001</v>
      </c>
      <c r="BC25" s="58">
        <v>1558.3107178299999</v>
      </c>
      <c r="BD25" s="58">
        <v>2158</v>
      </c>
      <c r="BE25" s="58">
        <v>2161.5762943</v>
      </c>
      <c r="BF25" s="58">
        <v>2786.5833609800002</v>
      </c>
      <c r="BG25" s="58">
        <v>2902.2429999999999</v>
      </c>
      <c r="BH25" s="58">
        <v>2648.5610000000001</v>
      </c>
      <c r="BI25" s="58">
        <v>2633.2932059959999</v>
      </c>
      <c r="BJ25" s="58">
        <v>2589.3560000000002</v>
      </c>
      <c r="BK25" s="58">
        <v>2558.2060000000001</v>
      </c>
      <c r="BL25" s="58">
        <v>2488.989</v>
      </c>
      <c r="BM25" s="58">
        <v>3514.277</v>
      </c>
      <c r="BN25" s="58">
        <v>3205.6260000000002</v>
      </c>
      <c r="BO25" s="58">
        <v>4029.7130000000002</v>
      </c>
      <c r="BP25" s="58">
        <v>3885.1410000000001</v>
      </c>
      <c r="BQ25" s="58">
        <v>4444.0780000000004</v>
      </c>
      <c r="BR25" s="58">
        <v>4214.8620000000001</v>
      </c>
      <c r="BS25" s="58">
        <v>3263.2170000000001</v>
      </c>
      <c r="BT25" s="58">
        <v>3049.8490000000002</v>
      </c>
      <c r="BU25" s="58">
        <v>3190.9859999999999</v>
      </c>
      <c r="BV25" s="55"/>
      <c r="BW25" s="58">
        <v>1015.509</v>
      </c>
      <c r="BX25" s="58">
        <v>975.01199999999994</v>
      </c>
      <c r="BY25" s="58">
        <v>877.78099999999995</v>
      </c>
      <c r="BZ25" s="58">
        <v>861.73400000000004</v>
      </c>
      <c r="CA25" s="58">
        <v>1165.5650000000001</v>
      </c>
      <c r="CB25" s="58">
        <v>994.38499999999999</v>
      </c>
      <c r="CC25" s="58">
        <v>1189.2449999999999</v>
      </c>
      <c r="CD25" s="58">
        <v>1558.3107178299999</v>
      </c>
      <c r="CE25" s="58">
        <v>2902.2429999999999</v>
      </c>
      <c r="CF25" s="58">
        <v>2558.2060000000001</v>
      </c>
      <c r="CG25" s="58">
        <v>4029.7130000000002</v>
      </c>
      <c r="CH25" s="58">
        <v>3263.2170000000001</v>
      </c>
    </row>
    <row r="26" spans="1:86" ht="6.75" customHeight="1" x14ac:dyDescent="0.35">
      <c r="A26" s="6"/>
      <c r="B26" s="10"/>
      <c r="C26" s="59"/>
      <c r="D26" s="10"/>
      <c r="E26" s="59"/>
      <c r="F26" s="59"/>
      <c r="G26" s="59"/>
      <c r="H26" s="10"/>
      <c r="I26" s="59"/>
      <c r="J26" s="59"/>
      <c r="K26" s="59"/>
      <c r="L26" s="10"/>
      <c r="M26" s="59"/>
      <c r="N26" s="59"/>
      <c r="O26" s="59"/>
      <c r="P26" s="10"/>
      <c r="Q26" s="59"/>
      <c r="R26" s="59"/>
      <c r="S26" s="59"/>
      <c r="T26" s="10"/>
      <c r="U26" s="59"/>
      <c r="V26" s="59"/>
      <c r="W26" s="59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241"/>
      <c r="BU26" s="241"/>
      <c r="BV26" s="55"/>
      <c r="BW26" s="57"/>
      <c r="BX26" s="57"/>
      <c r="BY26" s="63"/>
      <c r="BZ26" s="63"/>
      <c r="CA26" s="63"/>
      <c r="CB26" s="63"/>
      <c r="CC26" s="63"/>
      <c r="CD26" s="63"/>
      <c r="CE26" s="63"/>
      <c r="CF26" s="63"/>
      <c r="CG26" s="63"/>
      <c r="CH26" s="63"/>
    </row>
    <row r="27" spans="1:86" s="6" customFormat="1" ht="15" customHeight="1" x14ac:dyDescent="0.35">
      <c r="B27" s="31" t="str">
        <f>IF(Control!$D$5=1,"EBITDA Reconciliation","Reconciliação EBITDA")</f>
        <v>Reconciliação EBITDA</v>
      </c>
      <c r="C27" s="138"/>
      <c r="D27" s="31"/>
      <c r="E27" s="138"/>
      <c r="F27" s="138"/>
      <c r="G27" s="138"/>
      <c r="H27" s="31"/>
      <c r="I27" s="138"/>
      <c r="J27" s="138"/>
      <c r="K27" s="138"/>
      <c r="L27" s="31"/>
      <c r="M27" s="138"/>
      <c r="N27" s="138"/>
      <c r="O27" s="138"/>
      <c r="P27" s="31"/>
      <c r="Q27" s="138"/>
      <c r="R27" s="138"/>
      <c r="S27" s="138"/>
      <c r="T27" s="31"/>
      <c r="U27" s="138"/>
      <c r="V27" s="138"/>
      <c r="W27" s="138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181"/>
      <c r="BO27" s="181"/>
      <c r="BP27" s="181"/>
      <c r="BQ27" s="181"/>
      <c r="BR27" s="181"/>
      <c r="BS27" s="181"/>
      <c r="BT27" s="181"/>
      <c r="BU27" s="181"/>
      <c r="BV27" s="55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</row>
    <row r="28" spans="1:86" ht="15" customHeight="1" x14ac:dyDescent="0.35">
      <c r="A28" s="18"/>
      <c r="B28" s="10" t="str">
        <f>IF(Control!$D$5=1,"Net Income","Lucro Líquido")</f>
        <v>Lucro Líquido</v>
      </c>
      <c r="C28" s="59"/>
      <c r="D28" s="10"/>
      <c r="E28" s="59"/>
      <c r="F28" s="59"/>
      <c r="G28" s="59"/>
      <c r="H28" s="10"/>
      <c r="I28" s="59"/>
      <c r="J28" s="59"/>
      <c r="K28" s="59"/>
      <c r="L28" s="10"/>
      <c r="M28" s="59"/>
      <c r="N28" s="59"/>
      <c r="O28" s="59"/>
      <c r="P28" s="10"/>
      <c r="Q28" s="59"/>
      <c r="R28" s="59"/>
      <c r="S28" s="59"/>
      <c r="T28" s="10"/>
      <c r="U28" s="59"/>
      <c r="V28" s="59"/>
      <c r="W28" s="59"/>
      <c r="X28" s="71">
        <f t="shared" ref="X28:AZ28" si="5">+X20</f>
        <v>35.326000000000008</v>
      </c>
      <c r="Y28" s="71">
        <f t="shared" si="5"/>
        <v>21.571999999999971</v>
      </c>
      <c r="Z28" s="71">
        <f t="shared" si="5"/>
        <v>20.283000000000051</v>
      </c>
      <c r="AA28" s="71">
        <f t="shared" si="5"/>
        <v>15.527999999999942</v>
      </c>
      <c r="AB28" s="71">
        <f t="shared" si="5"/>
        <v>27.434999999999988</v>
      </c>
      <c r="AC28" s="71">
        <f t="shared" si="5"/>
        <v>19.014000000000031</v>
      </c>
      <c r="AD28" s="71">
        <f t="shared" si="5"/>
        <v>10.460999999999951</v>
      </c>
      <c r="AE28" s="71">
        <f t="shared" si="5"/>
        <v>9.2290000000000507</v>
      </c>
      <c r="AF28" s="71">
        <f t="shared" si="5"/>
        <v>25.173000000000009</v>
      </c>
      <c r="AG28" s="71">
        <f t="shared" si="5"/>
        <v>12.979999999999988</v>
      </c>
      <c r="AH28" s="71">
        <f t="shared" si="5"/>
        <v>15.492999999999975</v>
      </c>
      <c r="AI28" s="71">
        <f t="shared" si="5"/>
        <v>20.930000000000035</v>
      </c>
      <c r="AJ28" s="71">
        <f t="shared" si="5"/>
        <v>37.234000000000009</v>
      </c>
      <c r="AK28" s="71">
        <f t="shared" si="5"/>
        <v>42.970000000000006</v>
      </c>
      <c r="AL28" s="71">
        <f t="shared" si="5"/>
        <v>47.919000000000054</v>
      </c>
      <c r="AM28" s="71">
        <f t="shared" si="5"/>
        <v>5.7569999999998558</v>
      </c>
      <c r="AN28" s="71">
        <f t="shared" si="5"/>
        <v>38.720000000000013</v>
      </c>
      <c r="AO28" s="71">
        <f t="shared" si="5"/>
        <v>24.244999999999994</v>
      </c>
      <c r="AP28" s="71">
        <f t="shared" si="5"/>
        <v>48.521000000000015</v>
      </c>
      <c r="AQ28" s="71">
        <f t="shared" si="5"/>
        <v>62.213999999999999</v>
      </c>
      <c r="AR28" s="71">
        <f t="shared" si="5"/>
        <v>16.600000000000001</v>
      </c>
      <c r="AS28" s="71">
        <f t="shared" si="5"/>
        <v>42.50000000000005</v>
      </c>
      <c r="AT28" s="71">
        <f t="shared" si="5"/>
        <v>123.30000000000024</v>
      </c>
      <c r="AU28" s="71">
        <f t="shared" si="5"/>
        <v>78.5</v>
      </c>
      <c r="AV28" s="71">
        <f t="shared" si="5"/>
        <v>30.686999999999902</v>
      </c>
      <c r="AW28" s="71">
        <f t="shared" si="5"/>
        <v>25.348999999999997</v>
      </c>
      <c r="AX28" s="71">
        <f t="shared" si="5"/>
        <v>44.331999999999994</v>
      </c>
      <c r="AY28" s="71">
        <f t="shared" si="5"/>
        <v>60.270999999999979</v>
      </c>
      <c r="AZ28" s="71">
        <f t="shared" si="5"/>
        <v>68.305000000000149</v>
      </c>
      <c r="BA28" s="71">
        <v>98.143999999999949</v>
      </c>
      <c r="BB28" s="71">
        <f t="shared" ref="BB28:BN28" si="6">BB20</f>
        <v>100.53899999999997</v>
      </c>
      <c r="BC28" s="71">
        <f t="shared" si="6"/>
        <v>75.806356769999837</v>
      </c>
      <c r="BD28" s="71">
        <f t="shared" si="6"/>
        <v>73.118000000000009</v>
      </c>
      <c r="BE28" s="71">
        <f t="shared" si="6"/>
        <v>67.155623870000198</v>
      </c>
      <c r="BF28" s="71">
        <f t="shared" si="6"/>
        <v>82.957734729999586</v>
      </c>
      <c r="BG28" s="71">
        <f t="shared" si="6"/>
        <v>76.539581929999727</v>
      </c>
      <c r="BH28" s="71">
        <f t="shared" si="6"/>
        <v>59.962267879999992</v>
      </c>
      <c r="BI28" s="71">
        <f t="shared" si="6"/>
        <v>56.159732119999916</v>
      </c>
      <c r="BJ28" s="71">
        <f t="shared" si="6"/>
        <v>112.4130000000001</v>
      </c>
      <c r="BK28" s="71">
        <f t="shared" si="6"/>
        <v>4.1610000000001239</v>
      </c>
      <c r="BL28" s="71">
        <f t="shared" si="6"/>
        <v>43.583999999999925</v>
      </c>
      <c r="BM28" s="71">
        <f t="shared" si="6"/>
        <v>8.923524483993468</v>
      </c>
      <c r="BN28" s="215">
        <f t="shared" si="6"/>
        <v>94.477000000000118</v>
      </c>
      <c r="BO28" s="215">
        <f t="shared" ref="BO28:BT28" si="7">BO20</f>
        <v>76.115091998726257</v>
      </c>
      <c r="BP28" s="215">
        <f t="shared" si="7"/>
        <v>39.950000000000003</v>
      </c>
      <c r="BQ28" s="215">
        <f t="shared" si="7"/>
        <v>72.549000000000007</v>
      </c>
      <c r="BR28" s="215">
        <f t="shared" si="7"/>
        <v>14.565999999999924</v>
      </c>
      <c r="BS28" s="215">
        <f t="shared" si="7"/>
        <v>-44.227000000000089</v>
      </c>
      <c r="BT28" s="215">
        <f t="shared" si="7"/>
        <v>24.189</v>
      </c>
      <c r="BU28" s="215">
        <f t="shared" ref="BU28" si="8">BU20</f>
        <v>44.110999999999954</v>
      </c>
      <c r="BV28" s="55"/>
      <c r="BW28" s="71">
        <f t="shared" ref="BW28:CB28" si="9">+BW20</f>
        <v>92.708999999999975</v>
      </c>
      <c r="BX28" s="71">
        <f t="shared" si="9"/>
        <v>66.13900000000001</v>
      </c>
      <c r="BY28" s="71">
        <f t="shared" si="9"/>
        <v>74.576000000000008</v>
      </c>
      <c r="BZ28" s="71">
        <f t="shared" si="9"/>
        <v>133.89400000000006</v>
      </c>
      <c r="CA28" s="71">
        <f t="shared" si="9"/>
        <v>173.70000000000002</v>
      </c>
      <c r="CB28" s="71">
        <f t="shared" si="9"/>
        <v>260.74799999999999</v>
      </c>
      <c r="CC28" s="71">
        <f t="shared" ref="CC28:CH28" si="10">+CC20</f>
        <v>160.6389999999999</v>
      </c>
      <c r="CD28" s="71">
        <f t="shared" si="10"/>
        <v>342.79162388000037</v>
      </c>
      <c r="CE28" s="71">
        <f t="shared" si="10"/>
        <v>299.77094052999951</v>
      </c>
      <c r="CF28" s="71">
        <f t="shared" si="10"/>
        <v>232.69599999999937</v>
      </c>
      <c r="CG28" s="71">
        <f t="shared" si="10"/>
        <v>223.09961648271636</v>
      </c>
      <c r="CH28" s="71">
        <f t="shared" si="10"/>
        <v>82.796999999999954</v>
      </c>
    </row>
    <row r="29" spans="1:86" s="6" customFormat="1" ht="15" customHeight="1" x14ac:dyDescent="0.35">
      <c r="A29" s="18"/>
      <c r="B29" s="10" t="str">
        <f>IF(Control!$D$5=1,"(+) Net Finacial Result","(+) Resultado Financeiro Líquido")</f>
        <v>(+) Resultado Financeiro Líquido</v>
      </c>
      <c r="C29" s="59"/>
      <c r="D29" s="10"/>
      <c r="E29" s="59"/>
      <c r="F29" s="59"/>
      <c r="G29" s="59"/>
      <c r="H29" s="10"/>
      <c r="I29" s="59"/>
      <c r="J29" s="59"/>
      <c r="K29" s="59"/>
      <c r="L29" s="10"/>
      <c r="M29" s="59"/>
      <c r="N29" s="59"/>
      <c r="O29" s="59"/>
      <c r="P29" s="10"/>
      <c r="Q29" s="59"/>
      <c r="R29" s="59"/>
      <c r="S29" s="59"/>
      <c r="T29" s="10"/>
      <c r="U29" s="59"/>
      <c r="V29" s="59"/>
      <c r="W29" s="59"/>
      <c r="X29" s="67">
        <f t="shared" ref="X29:AZ29" si="11">-X15</f>
        <v>15.826999999999998</v>
      </c>
      <c r="Y29" s="67">
        <f t="shared" si="11"/>
        <v>24.542999999999999</v>
      </c>
      <c r="Z29" s="67">
        <f t="shared" si="11"/>
        <v>28.551000000000009</v>
      </c>
      <c r="AA29" s="67">
        <f t="shared" si="11"/>
        <v>26.127999999999993</v>
      </c>
      <c r="AB29" s="67">
        <f t="shared" si="11"/>
        <v>26.817</v>
      </c>
      <c r="AC29" s="67">
        <f t="shared" si="11"/>
        <v>28.774000000000008</v>
      </c>
      <c r="AD29" s="67">
        <f t="shared" si="11"/>
        <v>29.690999999999988</v>
      </c>
      <c r="AE29" s="67">
        <f t="shared" si="11"/>
        <v>25.003</v>
      </c>
      <c r="AF29" s="67">
        <f t="shared" si="11"/>
        <v>22.105</v>
      </c>
      <c r="AG29" s="67">
        <f t="shared" si="11"/>
        <v>34.472999999999999</v>
      </c>
      <c r="AH29" s="67">
        <f t="shared" si="11"/>
        <v>35.441000000000003</v>
      </c>
      <c r="AI29" s="67">
        <f t="shared" si="11"/>
        <v>33.428999999999988</v>
      </c>
      <c r="AJ29" s="67">
        <f t="shared" si="11"/>
        <v>30.342999999999996</v>
      </c>
      <c r="AK29" s="67">
        <f t="shared" si="11"/>
        <v>47.518000000000001</v>
      </c>
      <c r="AL29" s="67">
        <f t="shared" si="11"/>
        <v>27.812000000000005</v>
      </c>
      <c r="AM29" s="67">
        <f t="shared" si="11"/>
        <v>36.832999999999991</v>
      </c>
      <c r="AN29" s="67">
        <f t="shared" si="11"/>
        <v>20.832000000000001</v>
      </c>
      <c r="AO29" s="67">
        <f t="shared" si="11"/>
        <v>20.509000000000007</v>
      </c>
      <c r="AP29" s="67">
        <f t="shared" si="11"/>
        <v>8.0180000000000007</v>
      </c>
      <c r="AQ29" s="67">
        <f t="shared" si="11"/>
        <v>8.4409999999999883</v>
      </c>
      <c r="AR29" s="67">
        <f t="shared" si="11"/>
        <v>8.8000000000000043</v>
      </c>
      <c r="AS29" s="67">
        <f t="shared" si="11"/>
        <v>-3.0000000000000071</v>
      </c>
      <c r="AT29" s="67">
        <f t="shared" si="11"/>
        <v>-22.700000000000003</v>
      </c>
      <c r="AU29" s="67">
        <f t="shared" si="11"/>
        <v>16.600000000000001</v>
      </c>
      <c r="AV29" s="67">
        <f t="shared" si="11"/>
        <v>10.083000000000006</v>
      </c>
      <c r="AW29" s="67">
        <f t="shared" si="11"/>
        <v>15.104000000000003</v>
      </c>
      <c r="AX29" s="67">
        <f t="shared" si="11"/>
        <v>15.196000000000005</v>
      </c>
      <c r="AY29" s="67">
        <f t="shared" si="11"/>
        <v>12.723000000000003</v>
      </c>
      <c r="AZ29" s="67">
        <f t="shared" si="11"/>
        <v>13.054000000000002</v>
      </c>
      <c r="BA29" s="67">
        <v>10.615000000000002</v>
      </c>
      <c r="BB29" s="67">
        <f t="shared" ref="BB29:BN29" si="12">-BB15</f>
        <v>27.894000000000005</v>
      </c>
      <c r="BC29" s="67">
        <f t="shared" si="12"/>
        <v>14.605059739999994</v>
      </c>
      <c r="BD29" s="67">
        <f t="shared" si="12"/>
        <v>22.3</v>
      </c>
      <c r="BE29" s="67">
        <f t="shared" si="12"/>
        <v>25.610630559999997</v>
      </c>
      <c r="BF29" s="67">
        <f t="shared" si="12"/>
        <v>22.339666149999985</v>
      </c>
      <c r="BG29" s="67">
        <f t="shared" si="12"/>
        <v>56.761999070000016</v>
      </c>
      <c r="BH29" s="67">
        <f t="shared" si="12"/>
        <v>86.94</v>
      </c>
      <c r="BI29" s="67">
        <f t="shared" si="12"/>
        <v>37.353999999999985</v>
      </c>
      <c r="BJ29" s="67">
        <f t="shared" si="12"/>
        <v>68.868000000000009</v>
      </c>
      <c r="BK29" s="67">
        <f t="shared" si="12"/>
        <v>77.85799999999999</v>
      </c>
      <c r="BL29" s="67">
        <f t="shared" si="12"/>
        <v>95.545000000000002</v>
      </c>
      <c r="BM29" s="67">
        <f t="shared" si="12"/>
        <v>100.26150473</v>
      </c>
      <c r="BN29" s="67">
        <f t="shared" si="12"/>
        <v>97.199000000000012</v>
      </c>
      <c r="BO29" s="67">
        <f>-BO15</f>
        <v>90.512117790000019</v>
      </c>
      <c r="BP29" s="67">
        <f>-BP15</f>
        <v>89.364999999999995</v>
      </c>
      <c r="BQ29" s="67">
        <f>-BQ15</f>
        <v>76.02</v>
      </c>
      <c r="BR29" s="67">
        <v>92.686000000000007</v>
      </c>
      <c r="BS29" s="67">
        <v>142.15800000000002</v>
      </c>
      <c r="BT29" s="67">
        <f>-BT15</f>
        <v>110.08499999999999</v>
      </c>
      <c r="BU29" s="67">
        <f>-BU15</f>
        <v>127.84800000000003</v>
      </c>
      <c r="BV29" s="55"/>
      <c r="BW29" s="67">
        <f t="shared" ref="BW29:CB29" si="13">-BW15</f>
        <v>95.049000000000007</v>
      </c>
      <c r="BX29" s="67">
        <f t="shared" si="13"/>
        <v>110.285</v>
      </c>
      <c r="BY29" s="67">
        <f t="shared" si="13"/>
        <v>125.44799999999999</v>
      </c>
      <c r="BZ29" s="67">
        <f t="shared" si="13"/>
        <v>142.5</v>
      </c>
      <c r="CA29" s="67">
        <f t="shared" si="13"/>
        <v>57.8</v>
      </c>
      <c r="CB29" s="67">
        <f t="shared" si="13"/>
        <v>-0.36700000000001864</v>
      </c>
      <c r="CC29" s="67">
        <f t="shared" ref="CC29:CH29" si="14">-CC15</f>
        <v>53.106000000000009</v>
      </c>
      <c r="CD29" s="67">
        <f t="shared" si="14"/>
        <v>66.167999999999978</v>
      </c>
      <c r="CE29" s="67">
        <f t="shared" si="14"/>
        <v>127.01229578</v>
      </c>
      <c r="CF29" s="67">
        <f t="shared" si="14"/>
        <v>271.02</v>
      </c>
      <c r="CG29" s="67">
        <f t="shared" si="14"/>
        <v>383.51762252000003</v>
      </c>
      <c r="CH29" s="67">
        <f t="shared" si="14"/>
        <v>400.22900000000004</v>
      </c>
    </row>
    <row r="30" spans="1:86" s="6" customFormat="1" ht="15" customHeight="1" x14ac:dyDescent="0.35">
      <c r="B30" s="10" t="str">
        <f>IF(Control!$D$5=1,"(+) Income Taxes","(+) Imposto de Renda / CSLL")</f>
        <v>(+) Imposto de Renda / CSLL</v>
      </c>
      <c r="C30" s="59"/>
      <c r="D30" s="10"/>
      <c r="E30" s="59"/>
      <c r="F30" s="59"/>
      <c r="G30" s="59"/>
      <c r="H30" s="10"/>
      <c r="I30" s="59"/>
      <c r="J30" s="59"/>
      <c r="K30" s="59"/>
      <c r="L30" s="10"/>
      <c r="M30" s="59"/>
      <c r="N30" s="59"/>
      <c r="O30" s="59"/>
      <c r="P30" s="10"/>
      <c r="Q30" s="59"/>
      <c r="R30" s="59"/>
      <c r="S30" s="59"/>
      <c r="T30" s="10"/>
      <c r="U30" s="59"/>
      <c r="V30" s="59"/>
      <c r="W30" s="59"/>
      <c r="X30" s="67">
        <f t="shared" ref="X30:AZ30" si="15">-X19</f>
        <v>18.745999999999999</v>
      </c>
      <c r="Y30" s="67">
        <f t="shared" si="15"/>
        <v>5.7320000000000029</v>
      </c>
      <c r="Z30" s="67">
        <f t="shared" si="15"/>
        <v>7.9619999999999962</v>
      </c>
      <c r="AA30" s="67">
        <f t="shared" si="15"/>
        <v>10.445</v>
      </c>
      <c r="AB30" s="67">
        <f t="shared" si="15"/>
        <v>12.625999999999999</v>
      </c>
      <c r="AC30" s="67">
        <f t="shared" si="15"/>
        <v>4.4730000000000008</v>
      </c>
      <c r="AD30" s="67">
        <f t="shared" si="15"/>
        <v>10.761000000000001</v>
      </c>
      <c r="AE30" s="67">
        <f t="shared" si="15"/>
        <v>7.0459999999999976</v>
      </c>
      <c r="AF30" s="67">
        <f t="shared" si="15"/>
        <v>13.37</v>
      </c>
      <c r="AG30" s="67">
        <f t="shared" si="15"/>
        <v>8.5589999999999993</v>
      </c>
      <c r="AH30" s="67">
        <f t="shared" si="15"/>
        <v>6.1150000000000002</v>
      </c>
      <c r="AI30" s="67">
        <f t="shared" si="15"/>
        <v>21.784000000000006</v>
      </c>
      <c r="AJ30" s="67">
        <f t="shared" si="15"/>
        <v>18.271999999999998</v>
      </c>
      <c r="AK30" s="67">
        <f t="shared" si="15"/>
        <v>33.088000000000001</v>
      </c>
      <c r="AL30" s="67">
        <f t="shared" si="15"/>
        <v>21.114999999999995</v>
      </c>
      <c r="AM30" s="67">
        <f t="shared" si="15"/>
        <v>13.034000000000006</v>
      </c>
      <c r="AN30" s="67">
        <f t="shared" si="15"/>
        <v>23.477</v>
      </c>
      <c r="AO30" s="67">
        <f t="shared" si="15"/>
        <v>17.389999999999997</v>
      </c>
      <c r="AP30" s="67">
        <f t="shared" si="15"/>
        <v>16.304000000000002</v>
      </c>
      <c r="AQ30" s="67">
        <f t="shared" si="15"/>
        <v>-7.0999999999997954E-2</v>
      </c>
      <c r="AR30" s="67">
        <f t="shared" si="15"/>
        <v>5.9</v>
      </c>
      <c r="AS30" s="67">
        <f t="shared" si="15"/>
        <v>18</v>
      </c>
      <c r="AT30" s="67">
        <f t="shared" si="15"/>
        <v>-7.9999999999999982</v>
      </c>
      <c r="AU30" s="67">
        <f t="shared" si="15"/>
        <v>-33.4</v>
      </c>
      <c r="AV30" s="67">
        <f t="shared" si="15"/>
        <v>-17.073</v>
      </c>
      <c r="AW30" s="67">
        <f t="shared" si="15"/>
        <v>-8.6590000000000007</v>
      </c>
      <c r="AX30" s="67">
        <f t="shared" si="15"/>
        <v>6.657</v>
      </c>
      <c r="AY30" s="67">
        <f t="shared" si="15"/>
        <v>-9.2490000000000006</v>
      </c>
      <c r="AZ30" s="67">
        <f t="shared" si="15"/>
        <v>20.440999999999999</v>
      </c>
      <c r="BA30" s="67">
        <v>1.78</v>
      </c>
      <c r="BB30" s="67">
        <f t="shared" ref="BB30:BN30" si="16">-BB19</f>
        <v>24.242000000000001</v>
      </c>
      <c r="BC30" s="67">
        <f t="shared" si="16"/>
        <v>-13.176960099999997</v>
      </c>
      <c r="BD30" s="67">
        <f t="shared" si="16"/>
        <v>1.36</v>
      </c>
      <c r="BE30" s="67">
        <f t="shared" si="16"/>
        <v>9.1315744300000006</v>
      </c>
      <c r="BF30" s="67">
        <f t="shared" si="16"/>
        <v>0.23600191000000087</v>
      </c>
      <c r="BG30" s="67">
        <f t="shared" si="16"/>
        <v>-26.160615130000007</v>
      </c>
      <c r="BH30" s="67">
        <f t="shared" si="16"/>
        <v>8.2460000000000004</v>
      </c>
      <c r="BI30" s="67">
        <f t="shared" si="16"/>
        <v>7.6849999999999987</v>
      </c>
      <c r="BJ30" s="67">
        <f t="shared" si="16"/>
        <v>25.111999999999998</v>
      </c>
      <c r="BK30" s="67">
        <f t="shared" si="16"/>
        <v>-13.625999999999999</v>
      </c>
      <c r="BL30" s="67">
        <f t="shared" si="16"/>
        <v>-39.457000000000001</v>
      </c>
      <c r="BM30" s="67">
        <f t="shared" si="16"/>
        <v>-15.618085849999993</v>
      </c>
      <c r="BN30" s="67">
        <f t="shared" si="16"/>
        <v>-75.230999999999995</v>
      </c>
      <c r="BO30" s="67">
        <f>-BO19</f>
        <v>-9.1332489499999934</v>
      </c>
      <c r="BP30" s="67">
        <f>-BP19</f>
        <v>9.15</v>
      </c>
      <c r="BQ30" s="67">
        <f>-BQ19</f>
        <v>2.3010000000000002</v>
      </c>
      <c r="BR30" s="67">
        <v>-71.156000000000006</v>
      </c>
      <c r="BS30" s="67">
        <v>-11.59</v>
      </c>
      <c r="BT30" s="67">
        <v>-16.2</v>
      </c>
      <c r="BU30" s="67">
        <v>-33.731000000000002</v>
      </c>
      <c r="BV30" s="55"/>
      <c r="BW30" s="67">
        <f t="shared" ref="BW30:CB30" si="17">-BW19</f>
        <v>42.884999999999998</v>
      </c>
      <c r="BX30" s="67">
        <f t="shared" si="17"/>
        <v>34.905999999999999</v>
      </c>
      <c r="BY30" s="67">
        <f t="shared" si="17"/>
        <v>49.828000000000003</v>
      </c>
      <c r="BZ30" s="67">
        <f t="shared" si="17"/>
        <v>85.5</v>
      </c>
      <c r="CA30" s="67">
        <f t="shared" si="17"/>
        <v>57.1</v>
      </c>
      <c r="CB30" s="67">
        <f t="shared" si="17"/>
        <v>-17.510000000000002</v>
      </c>
      <c r="CC30" s="67">
        <f t="shared" ref="CC30:CH30" si="18">-CC19</f>
        <v>-28.323999999999998</v>
      </c>
      <c r="CD30" s="67">
        <f t="shared" si="18"/>
        <v>33.286999999999999</v>
      </c>
      <c r="CE30" s="67">
        <f t="shared" si="18"/>
        <v>-15.433038790000007</v>
      </c>
      <c r="CF30" s="67">
        <f t="shared" si="18"/>
        <v>27.417000000000002</v>
      </c>
      <c r="CG30" s="67">
        <f t="shared" si="18"/>
        <v>-139.43933479999998</v>
      </c>
      <c r="CH30" s="67">
        <f t="shared" si="18"/>
        <v>-71.295000000000002</v>
      </c>
    </row>
    <row r="31" spans="1:86" ht="15" customHeight="1" x14ac:dyDescent="0.35">
      <c r="B31" s="10" t="str">
        <f>IF(Control!$D$5=1,"(+) Depreciation and Amortization","(+) Depreciação e Amortização")</f>
        <v>(+) Depreciação e Amortização</v>
      </c>
      <c r="C31" s="59"/>
      <c r="D31" s="10"/>
      <c r="E31" s="59"/>
      <c r="F31" s="59"/>
      <c r="G31" s="59"/>
      <c r="H31" s="10"/>
      <c r="I31" s="59"/>
      <c r="J31" s="59"/>
      <c r="K31" s="59"/>
      <c r="L31" s="10"/>
      <c r="M31" s="59"/>
      <c r="N31" s="59"/>
      <c r="O31" s="59"/>
      <c r="P31" s="10"/>
      <c r="Q31" s="59"/>
      <c r="R31" s="59"/>
      <c r="S31" s="59"/>
      <c r="T31" s="10"/>
      <c r="U31" s="59"/>
      <c r="V31" s="59"/>
      <c r="W31" s="59"/>
      <c r="X31" s="139">
        <v>12.700000000000001</v>
      </c>
      <c r="Y31" s="139">
        <v>16.799999999999997</v>
      </c>
      <c r="Z31" s="139">
        <v>12.100000000000003</v>
      </c>
      <c r="AA31" s="139">
        <v>12.5</v>
      </c>
      <c r="AB31" s="139">
        <v>13.1</v>
      </c>
      <c r="AC31" s="139">
        <v>13.4</v>
      </c>
      <c r="AD31" s="139">
        <v>13.799999999999999</v>
      </c>
      <c r="AE31" s="139">
        <v>12.800000000000002</v>
      </c>
      <c r="AF31" s="139">
        <v>13.7</v>
      </c>
      <c r="AG31" s="139">
        <v>13.400000000000002</v>
      </c>
      <c r="AH31" s="139">
        <v>13.100000000000001</v>
      </c>
      <c r="AI31" s="139">
        <v>13.5</v>
      </c>
      <c r="AJ31" s="139">
        <v>13.8</v>
      </c>
      <c r="AK31" s="139">
        <v>13.78</v>
      </c>
      <c r="AL31" s="139">
        <v>11.368000000000002</v>
      </c>
      <c r="AM31" s="139">
        <v>15.594999999999999</v>
      </c>
      <c r="AN31" s="139">
        <v>13.9</v>
      </c>
      <c r="AO31" s="139">
        <v>14.8</v>
      </c>
      <c r="AP31" s="139">
        <v>12.968000000000004</v>
      </c>
      <c r="AQ31" s="139">
        <v>17.138999999999996</v>
      </c>
      <c r="AR31" s="139">
        <v>16.100000000000001</v>
      </c>
      <c r="AS31" s="139">
        <v>14.7</v>
      </c>
      <c r="AT31" s="139">
        <v>15.599999999999998</v>
      </c>
      <c r="AU31" s="139">
        <v>17.427</v>
      </c>
      <c r="AV31" s="139">
        <v>22</v>
      </c>
      <c r="AW31" s="139">
        <v>22.605</v>
      </c>
      <c r="AX31" s="139">
        <v>24.119</v>
      </c>
      <c r="AY31" s="139">
        <v>28.067</v>
      </c>
      <c r="AZ31" s="139">
        <v>26.207000000000001</v>
      </c>
      <c r="BA31" s="139">
        <v>26.753</v>
      </c>
      <c r="BB31" s="139">
        <v>25.92</v>
      </c>
      <c r="BC31" s="139">
        <v>22.169</v>
      </c>
      <c r="BD31" s="139">
        <v>28.2</v>
      </c>
      <c r="BE31" s="139">
        <v>29.473000000000003</v>
      </c>
      <c r="BF31" s="139">
        <v>29.548999999999999</v>
      </c>
      <c r="BG31" s="139">
        <v>36.139999999999986</v>
      </c>
      <c r="BH31" s="139">
        <v>40.9</v>
      </c>
      <c r="BI31" s="139">
        <v>38.981000000000002</v>
      </c>
      <c r="BJ31" s="139">
        <v>42.234000000000002</v>
      </c>
      <c r="BK31" s="139">
        <v>48.046999999999997</v>
      </c>
      <c r="BL31" s="139">
        <v>49.1</v>
      </c>
      <c r="BM31" s="139">
        <v>49.452000000000005</v>
      </c>
      <c r="BN31" s="139">
        <v>49.667000000000002</v>
      </c>
      <c r="BO31" s="139">
        <v>47.470999999999997</v>
      </c>
      <c r="BP31" s="139">
        <v>45.825000000000003</v>
      </c>
      <c r="BQ31" s="139">
        <v>44.954000000000001</v>
      </c>
      <c r="BR31" s="139">
        <v>45.896999999999998</v>
      </c>
      <c r="BS31" s="139">
        <v>44.353999999999999</v>
      </c>
      <c r="BT31" s="139">
        <v>44.813000000000002</v>
      </c>
      <c r="BU31" s="139">
        <v>45.268000000000001</v>
      </c>
      <c r="BV31" s="55"/>
      <c r="BW31" s="139">
        <v>54.951999999999998</v>
      </c>
      <c r="BX31" s="139">
        <v>53.143999999999998</v>
      </c>
      <c r="BY31" s="139">
        <v>54.753999999999998</v>
      </c>
      <c r="BZ31" s="139">
        <v>56</v>
      </c>
      <c r="CA31" s="139">
        <v>58.826000000000001</v>
      </c>
      <c r="CB31" s="139">
        <v>63.826999999999998</v>
      </c>
      <c r="CC31" s="139">
        <v>96.790999999999997</v>
      </c>
      <c r="CD31" s="139">
        <v>101.04899999999999</v>
      </c>
      <c r="CE31" s="139">
        <v>123.36199999999999</v>
      </c>
      <c r="CF31" s="139">
        <v>170.16200000000001</v>
      </c>
      <c r="CG31" s="139">
        <v>195.69</v>
      </c>
      <c r="CH31" s="139">
        <v>181.02999999999997</v>
      </c>
    </row>
    <row r="32" spans="1:86" s="6" customFormat="1" ht="15" customHeight="1" x14ac:dyDescent="0.35">
      <c r="A32" s="5"/>
      <c r="B32" s="32" t="str">
        <f>IF(Control!$D$5=1,"(=) EBITDA","(=) EBITDA")</f>
        <v>(=) EBITDA</v>
      </c>
      <c r="C32" s="140"/>
      <c r="D32" s="32"/>
      <c r="E32" s="140"/>
      <c r="F32" s="140"/>
      <c r="G32" s="140"/>
      <c r="H32" s="32"/>
      <c r="I32" s="140"/>
      <c r="J32" s="140"/>
      <c r="K32" s="140"/>
      <c r="L32" s="32"/>
      <c r="M32" s="140"/>
      <c r="N32" s="140"/>
      <c r="O32" s="140"/>
      <c r="P32" s="32"/>
      <c r="Q32" s="140"/>
      <c r="R32" s="140"/>
      <c r="S32" s="140"/>
      <c r="T32" s="32"/>
      <c r="U32" s="140"/>
      <c r="V32" s="140"/>
      <c r="W32" s="140"/>
      <c r="X32" s="115">
        <f t="shared" ref="X32:AK32" si="19">SUM(X28:X31)</f>
        <v>82.599000000000004</v>
      </c>
      <c r="Y32" s="115">
        <f t="shared" si="19"/>
        <v>68.646999999999963</v>
      </c>
      <c r="Z32" s="115">
        <f t="shared" si="19"/>
        <v>68.896000000000058</v>
      </c>
      <c r="AA32" s="115">
        <f t="shared" si="19"/>
        <v>64.600999999999942</v>
      </c>
      <c r="AB32" s="115">
        <f t="shared" si="19"/>
        <v>79.97799999999998</v>
      </c>
      <c r="AC32" s="115">
        <f t="shared" si="19"/>
        <v>65.661000000000044</v>
      </c>
      <c r="AD32" s="115">
        <f t="shared" si="19"/>
        <v>64.712999999999937</v>
      </c>
      <c r="AE32" s="115">
        <f t="shared" si="19"/>
        <v>54.078000000000053</v>
      </c>
      <c r="AF32" s="115">
        <f t="shared" si="19"/>
        <v>74.347999999999999</v>
      </c>
      <c r="AG32" s="115">
        <f t="shared" si="19"/>
        <v>69.411999999999992</v>
      </c>
      <c r="AH32" s="115">
        <f t="shared" si="19"/>
        <v>70.148999999999972</v>
      </c>
      <c r="AI32" s="115">
        <f t="shared" si="19"/>
        <v>89.643000000000029</v>
      </c>
      <c r="AJ32" s="115">
        <f t="shared" si="19"/>
        <v>99.648999999999987</v>
      </c>
      <c r="AK32" s="115">
        <f t="shared" si="19"/>
        <v>137.35599999999999</v>
      </c>
      <c r="AL32" s="115">
        <f t="shared" ref="AL32:AY32" si="20">SUM(AL28:AL31)</f>
        <v>108.21400000000006</v>
      </c>
      <c r="AM32" s="115">
        <f t="shared" si="20"/>
        <v>71.218999999999852</v>
      </c>
      <c r="AN32" s="115">
        <f t="shared" si="20"/>
        <v>96.929000000000016</v>
      </c>
      <c r="AO32" s="115">
        <f t="shared" si="20"/>
        <v>76.944000000000003</v>
      </c>
      <c r="AP32" s="115">
        <f t="shared" si="20"/>
        <v>85.811000000000021</v>
      </c>
      <c r="AQ32" s="115">
        <f t="shared" si="20"/>
        <v>87.722999999999985</v>
      </c>
      <c r="AR32" s="115">
        <f t="shared" si="20"/>
        <v>47.400000000000006</v>
      </c>
      <c r="AS32" s="115">
        <f t="shared" si="20"/>
        <v>72.200000000000045</v>
      </c>
      <c r="AT32" s="115">
        <f t="shared" si="20"/>
        <v>108.20000000000023</v>
      </c>
      <c r="AU32" s="115">
        <f t="shared" si="20"/>
        <v>79.126999999999995</v>
      </c>
      <c r="AV32" s="115">
        <f t="shared" si="20"/>
        <v>45.69699999999991</v>
      </c>
      <c r="AW32" s="115">
        <f t="shared" si="20"/>
        <v>54.399000000000001</v>
      </c>
      <c r="AX32" s="115">
        <f t="shared" si="20"/>
        <v>90.304000000000002</v>
      </c>
      <c r="AY32" s="115">
        <f t="shared" si="20"/>
        <v>91.811999999999983</v>
      </c>
      <c r="AZ32" s="115">
        <f t="shared" ref="AZ32:BF32" si="21">SUM(AZ28:AZ31)</f>
        <v>128.00700000000015</v>
      </c>
      <c r="BA32" s="115">
        <f t="shared" si="21"/>
        <v>137.29199999999997</v>
      </c>
      <c r="BB32" s="115">
        <f t="shared" si="21"/>
        <v>178.59499999999997</v>
      </c>
      <c r="BC32" s="115">
        <f t="shared" si="21"/>
        <v>99.403456409999833</v>
      </c>
      <c r="BD32" s="115">
        <f t="shared" si="21"/>
        <v>124.97800000000001</v>
      </c>
      <c r="BE32" s="115">
        <f t="shared" si="21"/>
        <v>131.37082886000022</v>
      </c>
      <c r="BF32" s="115">
        <f t="shared" si="21"/>
        <v>135.08240278999958</v>
      </c>
      <c r="BG32" s="115">
        <f t="shared" ref="BG32:BL32" si="22">SUM(BG28:BG31)</f>
        <v>143.2809658699997</v>
      </c>
      <c r="BH32" s="115">
        <f t="shared" si="22"/>
        <v>196.04826788</v>
      </c>
      <c r="BI32" s="115">
        <f t="shared" si="22"/>
        <v>140.1797321199999</v>
      </c>
      <c r="BJ32" s="115">
        <f t="shared" si="22"/>
        <v>248.62700000000012</v>
      </c>
      <c r="BK32" s="115">
        <f t="shared" si="22"/>
        <v>116.44000000000011</v>
      </c>
      <c r="BL32" s="115">
        <f t="shared" si="22"/>
        <v>148.77199999999993</v>
      </c>
      <c r="BM32" s="115">
        <f t="shared" ref="BM32:BS32" si="23">SUM(BM28:BM31)</f>
        <v>143.01894336399346</v>
      </c>
      <c r="BN32" s="115">
        <f t="shared" si="23"/>
        <v>166.11200000000014</v>
      </c>
      <c r="BO32" s="115">
        <f t="shared" si="23"/>
        <v>204.96496083872628</v>
      </c>
      <c r="BP32" s="115">
        <f t="shared" si="23"/>
        <v>184.29000000000002</v>
      </c>
      <c r="BQ32" s="115">
        <f t="shared" si="23"/>
        <v>195.82400000000001</v>
      </c>
      <c r="BR32" s="115">
        <f t="shared" si="23"/>
        <v>81.99299999999991</v>
      </c>
      <c r="BS32" s="115">
        <f t="shared" si="23"/>
        <v>130.69499999999994</v>
      </c>
      <c r="BT32" s="115">
        <f t="shared" ref="BT32:BU32" si="24">SUM(BT28:BT31)</f>
        <v>162.887</v>
      </c>
      <c r="BU32" s="115">
        <f t="shared" si="24"/>
        <v>183.49599999999998</v>
      </c>
      <c r="BV32" s="55"/>
      <c r="BW32" s="115">
        <f t="shared" ref="BW32:CD32" si="25">SUM(BW28:BW31)</f>
        <v>285.59499999999997</v>
      </c>
      <c r="BX32" s="115">
        <f t="shared" si="25"/>
        <v>264.47399999999999</v>
      </c>
      <c r="BY32" s="115">
        <f t="shared" si="25"/>
        <v>304.60599999999999</v>
      </c>
      <c r="BZ32" s="115">
        <f t="shared" si="25"/>
        <v>417.89400000000006</v>
      </c>
      <c r="CA32" s="115">
        <f t="shared" si="25"/>
        <v>347.42600000000004</v>
      </c>
      <c r="CB32" s="115">
        <f t="shared" si="25"/>
        <v>306.69799999999998</v>
      </c>
      <c r="CC32" s="115">
        <f t="shared" si="25"/>
        <v>282.21199999999988</v>
      </c>
      <c r="CD32" s="115">
        <f t="shared" si="25"/>
        <v>543.29562388000033</v>
      </c>
      <c r="CE32" s="115">
        <f>SUM(CE28:CE31)</f>
        <v>534.71219751999945</v>
      </c>
      <c r="CF32" s="115">
        <f>SUM(CF28:CF31)</f>
        <v>701.29499999999939</v>
      </c>
      <c r="CG32" s="115">
        <f>SUM(CG28:CG31)</f>
        <v>662.86790420271632</v>
      </c>
      <c r="CH32" s="115">
        <v>592.76099999999997</v>
      </c>
    </row>
    <row r="33" spans="1:86" ht="6" customHeight="1" x14ac:dyDescent="0.35">
      <c r="A33" s="6"/>
      <c r="B33" s="10"/>
      <c r="C33" s="59"/>
      <c r="D33" s="10"/>
      <c r="E33" s="59"/>
      <c r="F33" s="59"/>
      <c r="G33" s="59"/>
      <c r="H33" s="10"/>
      <c r="I33" s="59"/>
      <c r="J33" s="59"/>
      <c r="K33" s="59"/>
      <c r="L33" s="10"/>
      <c r="M33" s="59"/>
      <c r="N33" s="59"/>
      <c r="O33" s="59"/>
      <c r="P33" s="10"/>
      <c r="Q33" s="59"/>
      <c r="R33" s="59"/>
      <c r="S33" s="59"/>
      <c r="T33" s="10"/>
      <c r="U33" s="59"/>
      <c r="V33" s="59"/>
      <c r="W33" s="59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67"/>
      <c r="BU33" s="67"/>
      <c r="BV33" s="55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</row>
    <row r="34" spans="1:86" s="6" customFormat="1" ht="15" customHeight="1" x14ac:dyDescent="0.35">
      <c r="A34" s="5"/>
      <c r="B34" s="33" t="str">
        <f>IF(Control!$D$5=1,"Operating Metrics and Margins","Crescimento e Margens")</f>
        <v>Crescimento e Margens</v>
      </c>
      <c r="C34" s="68"/>
      <c r="D34" s="33"/>
      <c r="E34" s="68"/>
      <c r="F34" s="68"/>
      <c r="G34" s="68"/>
      <c r="H34" s="33"/>
      <c r="I34" s="68"/>
      <c r="J34" s="68"/>
      <c r="K34" s="68"/>
      <c r="L34" s="33"/>
      <c r="M34" s="68"/>
      <c r="N34" s="68"/>
      <c r="O34" s="68"/>
      <c r="P34" s="33"/>
      <c r="Q34" s="68"/>
      <c r="R34" s="68"/>
      <c r="S34" s="68"/>
      <c r="T34" s="33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216"/>
      <c r="BO34" s="216"/>
      <c r="BP34" s="216"/>
      <c r="BQ34" s="216"/>
      <c r="BR34" s="216"/>
      <c r="BS34" s="216"/>
      <c r="BT34" s="242"/>
      <c r="BU34" s="242"/>
      <c r="BV34" s="55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</row>
    <row r="35" spans="1:86" ht="15" customHeight="1" x14ac:dyDescent="0.35">
      <c r="B35" s="10" t="str">
        <f>IF(Control!$D$5=1,"Net Revenues Growth","Receita Líquida - Var. (%)")</f>
        <v>Receita Líquida - Var. (%)</v>
      </c>
      <c r="C35" s="59"/>
      <c r="D35" s="10"/>
      <c r="E35" s="59"/>
      <c r="F35" s="59"/>
      <c r="G35" s="59"/>
      <c r="H35" s="10"/>
      <c r="I35" s="59"/>
      <c r="J35" s="59"/>
      <c r="K35" s="59"/>
      <c r="L35" s="10"/>
      <c r="M35" s="59"/>
      <c r="N35" s="59"/>
      <c r="O35" s="59"/>
      <c r="P35" s="10"/>
      <c r="Q35" s="59"/>
      <c r="R35" s="59"/>
      <c r="S35" s="59"/>
      <c r="T35" s="10"/>
      <c r="U35" s="59"/>
      <c r="V35" s="59"/>
      <c r="W35" s="59"/>
      <c r="X35" s="35" t="str">
        <f>IF(ISERROR(X9/U9-1),"--  ",X9/U9-1)</f>
        <v xml:space="preserve">--  </v>
      </c>
      <c r="Y35" s="35" t="str">
        <f>IF(ISERROR(Y9/V9-1),"--  ",Y9/V9-1)</f>
        <v xml:space="preserve">--  </v>
      </c>
      <c r="Z35" s="35" t="str">
        <f>IF(ISERROR(Z9/#REF!-1),"--  ",Z9/#REF!-1)</f>
        <v xml:space="preserve">--  </v>
      </c>
      <c r="AA35" s="35" t="str">
        <f t="shared" ref="AA35:BU35" si="26">IF(ISERROR(AA9/W9-1),"--  ",AA9/W9-1)</f>
        <v xml:space="preserve">--  </v>
      </c>
      <c r="AB35" s="35">
        <f t="shared" si="26"/>
        <v>1.0066236046161414E-2</v>
      </c>
      <c r="AC35" s="35">
        <f t="shared" si="26"/>
        <v>-5.2929327431118445E-2</v>
      </c>
      <c r="AD35" s="35">
        <f t="shared" si="26"/>
        <v>-1.5227174650142006E-3</v>
      </c>
      <c r="AE35" s="35">
        <f t="shared" si="26"/>
        <v>-1.5067794010054314E-2</v>
      </c>
      <c r="AF35" s="35">
        <f t="shared" si="26"/>
        <v>-5.5093431411087357E-3</v>
      </c>
      <c r="AG35" s="35">
        <f t="shared" si="26"/>
        <v>0.10756285743727156</v>
      </c>
      <c r="AH35" s="35">
        <f t="shared" si="26"/>
        <v>0.19396714064323328</v>
      </c>
      <c r="AI35" s="35">
        <f t="shared" si="26"/>
        <v>0.21850593286717057</v>
      </c>
      <c r="AJ35" s="35">
        <f t="shared" si="26"/>
        <v>0.21843087664034044</v>
      </c>
      <c r="AK35" s="35">
        <f t="shared" si="26"/>
        <v>0.4226421512616767</v>
      </c>
      <c r="AL35" s="35">
        <f t="shared" si="26"/>
        <v>0.23825166706743506</v>
      </c>
      <c r="AM35" s="35">
        <f t="shared" si="26"/>
        <v>0.15815698198917993</v>
      </c>
      <c r="AN35" s="35">
        <f t="shared" si="26"/>
        <v>0.15721857070410783</v>
      </c>
      <c r="AO35" s="35">
        <f t="shared" si="26"/>
        <v>-0.16777485190986974</v>
      </c>
      <c r="AP35" s="35">
        <f t="shared" si="26"/>
        <v>-0.14497731793005864</v>
      </c>
      <c r="AQ35" s="35">
        <f t="shared" si="26"/>
        <v>-0.18604332793520573</v>
      </c>
      <c r="AR35" s="35">
        <f t="shared" si="26"/>
        <v>-0.24771004829091414</v>
      </c>
      <c r="AS35" s="35">
        <f t="shared" si="26"/>
        <v>-1.662250533496723E-2</v>
      </c>
      <c r="AT35" s="35">
        <f t="shared" si="26"/>
        <v>4.7078863659952841E-2</v>
      </c>
      <c r="AU35" s="35">
        <f t="shared" si="26"/>
        <v>0.28762583230876948</v>
      </c>
      <c r="AV35" s="35">
        <f t="shared" si="26"/>
        <v>0.34418046830382631</v>
      </c>
      <c r="AW35" s="35">
        <f t="shared" si="26"/>
        <v>0.1067898614059184</v>
      </c>
      <c r="AX35" s="35">
        <f t="shared" si="26"/>
        <v>0.16875102040816281</v>
      </c>
      <c r="AY35" s="35">
        <f t="shared" si="26"/>
        <v>9.8255366545159983E-2</v>
      </c>
      <c r="AZ35" s="35">
        <f t="shared" si="26"/>
        <v>0.28549365668788207</v>
      </c>
      <c r="BA35" s="35">
        <f t="shared" si="26"/>
        <v>0.5144501301854183</v>
      </c>
      <c r="BB35" s="35">
        <f t="shared" si="26"/>
        <v>0.43818723533332538</v>
      </c>
      <c r="BC35" s="35">
        <f t="shared" si="26"/>
        <v>0.2541956433350514</v>
      </c>
      <c r="BD35" s="35">
        <f t="shared" si="26"/>
        <v>0.44948134511495996</v>
      </c>
      <c r="BE35" s="35">
        <f t="shared" si="26"/>
        <v>0.24385843505647498</v>
      </c>
      <c r="BF35" s="35">
        <f t="shared" si="26"/>
        <v>0.15340437196336487</v>
      </c>
      <c r="BG35" s="35">
        <f t="shared" si="26"/>
        <v>0.20075297085229038</v>
      </c>
      <c r="BH35" s="35">
        <f t="shared" si="26"/>
        <v>6.4455666848513005E-2</v>
      </c>
      <c r="BI35" s="35">
        <f t="shared" si="26"/>
        <v>0.12236296269236369</v>
      </c>
      <c r="BJ35" s="35">
        <f t="shared" si="26"/>
        <v>0.13191989570304696</v>
      </c>
      <c r="BK35" s="35">
        <f t="shared" si="26"/>
        <v>0.2047746808464912</v>
      </c>
      <c r="BL35" s="35">
        <f t="shared" si="26"/>
        <v>6.6145271860585719E-2</v>
      </c>
      <c r="BM35" s="35">
        <f t="shared" si="26"/>
        <v>0.14888381402899808</v>
      </c>
      <c r="BN35" s="35">
        <f t="shared" si="26"/>
        <v>0.14234076246957672</v>
      </c>
      <c r="BO35" s="35">
        <f t="shared" si="26"/>
        <v>6.7699902621945807E-2</v>
      </c>
      <c r="BP35" s="35">
        <f t="shared" si="26"/>
        <v>9.9082183551234326E-2</v>
      </c>
      <c r="BQ35" s="35">
        <f t="shared" si="26"/>
        <v>9.4759447577923872E-2</v>
      </c>
      <c r="BR35" s="35">
        <f t="shared" si="26"/>
        <v>2.0804937026489112E-2</v>
      </c>
      <c r="BS35" s="35">
        <f t="shared" si="26"/>
        <v>3.5096607435416205E-2</v>
      </c>
      <c r="BT35" s="35">
        <f t="shared" si="26"/>
        <v>-0.11672591228966578</v>
      </c>
      <c r="BU35" s="35">
        <f t="shared" si="26"/>
        <v>-0.12368032323012923</v>
      </c>
      <c r="BV35" s="55"/>
      <c r="BW35" s="35" t="str">
        <f>IF(ISERROR(BW9/#REF!-1),"--  ",BW9/#REF!-1)</f>
        <v xml:space="preserve">--  </v>
      </c>
      <c r="BX35" s="35">
        <f t="shared" ref="BX35:CH35" si="27">IF(ISERROR(BX9/BW9-1),"--  ",BX9/BW9-1)</f>
        <v>-1.4885672715206244E-2</v>
      </c>
      <c r="BY35" s="35">
        <f t="shared" si="27"/>
        <v>0.12870411101335688</v>
      </c>
      <c r="BZ35" s="35">
        <f t="shared" si="27"/>
        <v>0.25481418645571985</v>
      </c>
      <c r="CA35" s="35">
        <f t="shared" si="27"/>
        <v>-9.5539326147747961E-2</v>
      </c>
      <c r="CB35" s="35">
        <f t="shared" si="27"/>
        <v>4.4788977607010949E-3</v>
      </c>
      <c r="CC35" s="35">
        <f t="shared" si="27"/>
        <v>0.16986176759491967</v>
      </c>
      <c r="CD35" s="35">
        <f t="shared" si="27"/>
        <v>0.36775662605853343</v>
      </c>
      <c r="CE35" s="35">
        <f t="shared" si="27"/>
        <v>0.25503392666445301</v>
      </c>
      <c r="CF35" s="35">
        <f t="shared" si="27"/>
        <v>0.12964278506431515</v>
      </c>
      <c r="CG35" s="35">
        <f t="shared" si="27"/>
        <v>0.10545267737335573</v>
      </c>
      <c r="CH35" s="35">
        <f t="shared" si="27"/>
        <v>6.2308540784574928E-2</v>
      </c>
    </row>
    <row r="36" spans="1:86" ht="15" customHeight="1" x14ac:dyDescent="0.35">
      <c r="B36" s="10" t="str">
        <f>IF(Control!$D$5=1,"EBITDA Growth","EBITDA - Var. (%)")</f>
        <v>EBITDA - Var. (%)</v>
      </c>
      <c r="C36" s="59"/>
      <c r="D36" s="10"/>
      <c r="E36" s="59"/>
      <c r="F36" s="59"/>
      <c r="G36" s="59"/>
      <c r="H36" s="10"/>
      <c r="I36" s="59"/>
      <c r="J36" s="59"/>
      <c r="K36" s="59"/>
      <c r="L36" s="10"/>
      <c r="M36" s="59"/>
      <c r="N36" s="59"/>
      <c r="O36" s="59"/>
      <c r="P36" s="10"/>
      <c r="Q36" s="59"/>
      <c r="R36" s="59"/>
      <c r="S36" s="59"/>
      <c r="T36" s="10"/>
      <c r="U36" s="59"/>
      <c r="V36" s="59"/>
      <c r="W36" s="59"/>
      <c r="X36" s="35" t="str">
        <f>IF(ISERROR(X32/U32-1),"--  ",X32/U32-1)</f>
        <v xml:space="preserve">--  </v>
      </c>
      <c r="Y36" s="35" t="str">
        <f>IF(ISERROR(Y32/V32-1),"--  ",Y32/V32-1)</f>
        <v xml:space="preserve">--  </v>
      </c>
      <c r="Z36" s="35" t="str">
        <f>IF(ISERROR(Z32/#REF!-1),"--  ",Z32/#REF!-1)</f>
        <v xml:space="preserve">--  </v>
      </c>
      <c r="AA36" s="35" t="str">
        <f t="shared" ref="AA36:AK36" si="28">IF(ISERROR(AA32/W32-1),"--  ",AA32/W32-1)</f>
        <v xml:space="preserve">--  </v>
      </c>
      <c r="AB36" s="35">
        <f t="shared" si="28"/>
        <v>-3.1731619026865054E-2</v>
      </c>
      <c r="AC36" s="35">
        <f t="shared" si="28"/>
        <v>-4.3497895028186573E-2</v>
      </c>
      <c r="AD36" s="35">
        <f t="shared" si="28"/>
        <v>-6.0714700418023071E-2</v>
      </c>
      <c r="AE36" s="35">
        <f t="shared" si="28"/>
        <v>-0.16289221529078346</v>
      </c>
      <c r="AF36" s="35">
        <f t="shared" si="28"/>
        <v>-7.0394358448573113E-2</v>
      </c>
      <c r="AG36" s="35">
        <f t="shared" si="28"/>
        <v>5.7126757131325201E-2</v>
      </c>
      <c r="AH36" s="35">
        <f t="shared" si="28"/>
        <v>8.4001668907329963E-2</v>
      </c>
      <c r="AI36" s="35">
        <f t="shared" si="28"/>
        <v>0.65766115610784315</v>
      </c>
      <c r="AJ36" s="35">
        <f t="shared" si="28"/>
        <v>0.34030505191800708</v>
      </c>
      <c r="AK36" s="35">
        <f t="shared" si="28"/>
        <v>0.97885091914942679</v>
      </c>
      <c r="AL36" s="35">
        <f>IF(ISERROR(AL32/AH32-1),"--  ",AL32/AH32-1)</f>
        <v>0.54263068611099374</v>
      </c>
      <c r="AM36" s="35">
        <f>IF(ISERROR(AM32/AI32-1),"--  ",AM32/AI32-1)</f>
        <v>-0.20552636569503668</v>
      </c>
      <c r="AN36" s="35">
        <f>IF(ISERROR(AN32/AJ32-1),"--  ",AN32/AJ32-1)</f>
        <v>-2.7295808287087331E-2</v>
      </c>
      <c r="AO36" s="35">
        <f>IF(ISERROR(AO32/AK32-1),"--  ",AO32/AK32-1)</f>
        <v>-0.43982061213197821</v>
      </c>
      <c r="AP36" s="35">
        <f>IF(ISERROR(AP32/AL32-1),"--  ",AP32/AL32-1)</f>
        <v>-0.20702496904282275</v>
      </c>
      <c r="AQ36" s="35">
        <f t="shared" ref="AQ36:AZ36" si="29">IF(ISERROR(AQ32/AM32-1),"--  ",AQ32/AM32-1)</f>
        <v>0.23173591316924091</v>
      </c>
      <c r="AR36" s="35">
        <f t="shared" si="29"/>
        <v>-0.51098226536949731</v>
      </c>
      <c r="AS36" s="35">
        <f t="shared" si="29"/>
        <v>-6.1655229777499931E-2</v>
      </c>
      <c r="AT36" s="35">
        <f t="shared" si="29"/>
        <v>0.26091060586638304</v>
      </c>
      <c r="AU36" s="35">
        <f t="shared" si="29"/>
        <v>-9.7990264810824845E-2</v>
      </c>
      <c r="AV36" s="35">
        <f t="shared" si="29"/>
        <v>-3.592827004219612E-2</v>
      </c>
      <c r="AW36" s="35">
        <f t="shared" si="29"/>
        <v>-0.24655124653739657</v>
      </c>
      <c r="AX36" s="35">
        <f t="shared" si="29"/>
        <v>-0.16539741219963211</v>
      </c>
      <c r="AY36" s="35">
        <f t="shared" si="29"/>
        <v>0.16031190364856474</v>
      </c>
      <c r="AZ36" s="35">
        <f t="shared" si="29"/>
        <v>1.8012123334135808</v>
      </c>
      <c r="BA36" s="35">
        <f t="shared" ref="BA36:BJ36" si="30">IF(ISERROR(BA32/AW32-1),"--  ",BA32/AW32-1)</f>
        <v>1.523796393316053</v>
      </c>
      <c r="BB36" s="35">
        <f t="shared" si="30"/>
        <v>0.97770862863217545</v>
      </c>
      <c r="BC36" s="35">
        <f t="shared" si="30"/>
        <v>8.2684795124818633E-2</v>
      </c>
      <c r="BD36" s="35">
        <f t="shared" si="30"/>
        <v>-2.3662768442351823E-2</v>
      </c>
      <c r="BE36" s="35">
        <f t="shared" si="30"/>
        <v>-4.3128304198349232E-2</v>
      </c>
      <c r="BF36" s="35">
        <f t="shared" si="30"/>
        <v>-0.24363838410929983</v>
      </c>
      <c r="BG36" s="35">
        <f t="shared" si="30"/>
        <v>0.44140828744447824</v>
      </c>
      <c r="BH36" s="35">
        <f t="shared" si="30"/>
        <v>0.56866222759205609</v>
      </c>
      <c r="BI36" s="35">
        <f t="shared" si="30"/>
        <v>6.7053723695289946E-2</v>
      </c>
      <c r="BJ36" s="35">
        <f t="shared" si="30"/>
        <v>0.840558021362102</v>
      </c>
      <c r="BK36" s="35">
        <f t="shared" ref="BK36:BU36" si="31">IF(ISERROR(BK32/BG32-1),"--  ",BK32/BG32-1)</f>
        <v>-0.18733099478372217</v>
      </c>
      <c r="BL36" s="35">
        <f t="shared" si="31"/>
        <v>-0.24114606260605975</v>
      </c>
      <c r="BM36" s="35">
        <f t="shared" si="31"/>
        <v>2.0254078111399787E-2</v>
      </c>
      <c r="BN36" s="35">
        <f t="shared" si="31"/>
        <v>-0.33188269978723128</v>
      </c>
      <c r="BO36" s="35">
        <f t="shared" si="31"/>
        <v>0.76026245996844799</v>
      </c>
      <c r="BP36" s="35">
        <f t="shared" si="31"/>
        <v>0.23874116097115117</v>
      </c>
      <c r="BQ36" s="35">
        <f t="shared" si="31"/>
        <v>0.36921721971902643</v>
      </c>
      <c r="BR36" s="35">
        <f t="shared" si="31"/>
        <v>-0.50639929685995089</v>
      </c>
      <c r="BS36" s="35">
        <f t="shared" si="31"/>
        <v>-0.36235442650690231</v>
      </c>
      <c r="BT36" s="35">
        <f t="shared" si="31"/>
        <v>-0.11613760920288685</v>
      </c>
      <c r="BU36" s="35">
        <f t="shared" si="31"/>
        <v>-6.295448974589446E-2</v>
      </c>
      <c r="BV36" s="55"/>
      <c r="BW36" s="35" t="str">
        <f>IF(ISERROR(BW32/#REF!-1),"--  ",BW32/#REF!-1)</f>
        <v xml:space="preserve">--  </v>
      </c>
      <c r="BX36" s="35">
        <f>IF(ISERROR(BX32/BW32-1),"--  ",BX32/BW32-1)</f>
        <v>-7.3954375951959861E-2</v>
      </c>
      <c r="BY36" s="35">
        <f t="shared" ref="BY36:CH36" si="32">IF(ISERROR(BY32/BX32-1),"--  ",BY32/BX32-1)</f>
        <v>0.15174270438682069</v>
      </c>
      <c r="BZ36" s="35">
        <f t="shared" si="32"/>
        <v>0.37191650853889957</v>
      </c>
      <c r="CA36" s="35">
        <f t="shared" si="32"/>
        <v>-0.16862649379986316</v>
      </c>
      <c r="CB36" s="35">
        <f t="shared" si="32"/>
        <v>-0.11722784132448361</v>
      </c>
      <c r="CC36" s="35">
        <f t="shared" si="32"/>
        <v>-7.9837494864655523E-2</v>
      </c>
      <c r="CD36" s="35">
        <f t="shared" si="32"/>
        <v>0.92513296344592222</v>
      </c>
      <c r="CE36" s="35">
        <f t="shared" si="32"/>
        <v>-1.5798813726312533E-2</v>
      </c>
      <c r="CF36" s="35">
        <f t="shared" si="32"/>
        <v>0.31153731531207374</v>
      </c>
      <c r="CG36" s="35">
        <f t="shared" si="32"/>
        <v>-5.4794481348481194E-2</v>
      </c>
      <c r="CH36" s="35">
        <f t="shared" si="32"/>
        <v>-0.10576300912779824</v>
      </c>
    </row>
    <row r="37" spans="1:86" ht="15" customHeight="1" x14ac:dyDescent="0.35">
      <c r="B37" s="36" t="str">
        <f>IF(Control!$D$5=1,"EBIT Growth","Lucro Operacional (EBIT) - Var. (%)")</f>
        <v>Lucro Operacional (EBIT) - Var. (%)</v>
      </c>
      <c r="C37" s="141"/>
      <c r="D37" s="36"/>
      <c r="E37" s="141"/>
      <c r="F37" s="141"/>
      <c r="G37" s="141"/>
      <c r="H37" s="36"/>
      <c r="I37" s="141"/>
      <c r="J37" s="141"/>
      <c r="K37" s="141"/>
      <c r="L37" s="36"/>
      <c r="M37" s="141"/>
      <c r="N37" s="141"/>
      <c r="O37" s="141"/>
      <c r="P37" s="36"/>
      <c r="Q37" s="141"/>
      <c r="R37" s="141"/>
      <c r="S37" s="141"/>
      <c r="T37" s="36"/>
      <c r="U37" s="141"/>
      <c r="V37" s="141"/>
      <c r="W37" s="141"/>
      <c r="X37" s="37" t="str">
        <f>IF(ISERROR(X14/U14-1),"--  ",X14/U14-1)</f>
        <v xml:space="preserve">--  </v>
      </c>
      <c r="Y37" s="37" t="str">
        <f>IF(ISERROR(Y14/V14-1),"--  ",Y14/V14-1)</f>
        <v xml:space="preserve">--  </v>
      </c>
      <c r="Z37" s="37" t="str">
        <f>IF(ISERROR(Z14/#REF!-1),"--  ",Z14/#REF!-1)</f>
        <v xml:space="preserve">--  </v>
      </c>
      <c r="AA37" s="37" t="str">
        <f t="shared" ref="AA37:BU37" si="33">IF(ISERROR(AA14/W14-1),"--  ",AA14/W14-1)</f>
        <v xml:space="preserve">--  </v>
      </c>
      <c r="AB37" s="37">
        <f t="shared" si="33"/>
        <v>-4.3219502424927558E-2</v>
      </c>
      <c r="AC37" s="37">
        <f t="shared" si="33"/>
        <v>7.9850328852213437E-3</v>
      </c>
      <c r="AD37" s="37">
        <f t="shared" si="33"/>
        <v>-0.10358123811536202</v>
      </c>
      <c r="AE37" s="37">
        <f t="shared" si="33"/>
        <v>-0.20773113759812467</v>
      </c>
      <c r="AF37" s="37">
        <f t="shared" si="33"/>
        <v>-9.3154699602260527E-2</v>
      </c>
      <c r="AG37" s="37">
        <f t="shared" si="33"/>
        <v>7.1774363291937426E-2</v>
      </c>
      <c r="AH37" s="37">
        <f t="shared" si="33"/>
        <v>0.12051931726671072</v>
      </c>
      <c r="AI37" s="37">
        <f t="shared" si="33"/>
        <v>0.84463879063907954</v>
      </c>
      <c r="AJ37" s="37">
        <f t="shared" si="33"/>
        <v>0.41552895396385692</v>
      </c>
      <c r="AK37" s="37">
        <f t="shared" si="33"/>
        <v>1.2062415196743563</v>
      </c>
      <c r="AL37" s="37">
        <f t="shared" si="33"/>
        <v>0.69759329699030803</v>
      </c>
      <c r="AM37" s="37">
        <f t="shared" si="33"/>
        <v>-0.26947979459701077</v>
      </c>
      <c r="AN37" s="37">
        <f t="shared" si="33"/>
        <v>-3.2848373306619716E-2</v>
      </c>
      <c r="AO37" s="37">
        <f t="shared" si="33"/>
        <v>-0.49711918171813296</v>
      </c>
      <c r="AP37" s="37">
        <f t="shared" si="33"/>
        <v>-0.24784709745368982</v>
      </c>
      <c r="AQ37" s="37">
        <f t="shared" si="33"/>
        <v>0.26894865525672795</v>
      </c>
      <c r="AR37" s="37">
        <f t="shared" si="33"/>
        <v>-0.62302328102229343</v>
      </c>
      <c r="AS37" s="37">
        <f t="shared" si="33"/>
        <v>-7.4729660144180587E-2</v>
      </c>
      <c r="AT37" s="37">
        <f t="shared" si="33"/>
        <v>0.2712271597820004</v>
      </c>
      <c r="AU37" s="37">
        <f t="shared" si="33"/>
        <v>-0.12586421851977825</v>
      </c>
      <c r="AV37" s="37">
        <f t="shared" si="33"/>
        <v>-0.24290734824281457</v>
      </c>
      <c r="AW37" s="37">
        <f t="shared" si="33"/>
        <v>-0.44706086956521784</v>
      </c>
      <c r="AX37" s="37">
        <f t="shared" si="33"/>
        <v>-0.28525917926566013</v>
      </c>
      <c r="AY37" s="37">
        <f t="shared" si="33"/>
        <v>3.3144246353322249E-2</v>
      </c>
      <c r="AZ37" s="37">
        <f t="shared" si="33"/>
        <v>3.2959024349073953</v>
      </c>
      <c r="BA37" s="37">
        <f t="shared" si="33"/>
        <v>2.4767251682707414</v>
      </c>
      <c r="BB37" s="37">
        <f t="shared" si="33"/>
        <v>1.3067915690866494</v>
      </c>
      <c r="BC37" s="37">
        <f t="shared" si="33"/>
        <v>0.21161591356184584</v>
      </c>
      <c r="BD37" s="37">
        <f t="shared" si="33"/>
        <v>-4.9656188605109342E-2</v>
      </c>
      <c r="BE37" s="37">
        <f t="shared" si="33"/>
        <v>-7.8173053311498819E-2</v>
      </c>
      <c r="BF37" s="37">
        <f t="shared" si="33"/>
        <v>-0.30877090034387045</v>
      </c>
      <c r="BG37" s="37">
        <f t="shared" si="33"/>
        <v>0.38721719359609286</v>
      </c>
      <c r="BH37" s="37">
        <f t="shared" si="33"/>
        <v>0.60368254566127399</v>
      </c>
      <c r="BI37" s="37">
        <f t="shared" si="33"/>
        <v>-6.8607618810091475E-3</v>
      </c>
      <c r="BJ37" s="37">
        <f t="shared" si="33"/>
        <v>0.95571254734105904</v>
      </c>
      <c r="BK37" s="37">
        <f t="shared" si="33"/>
        <v>-0.36165406532749333</v>
      </c>
      <c r="BL37" s="37">
        <f t="shared" si="33"/>
        <v>-0.35756936663262262</v>
      </c>
      <c r="BM37" s="37">
        <f t="shared" si="33"/>
        <v>-7.5413877191235712E-2</v>
      </c>
      <c r="BN37" s="37">
        <f t="shared" si="33"/>
        <v>-0.43580935399940846</v>
      </c>
      <c r="BO37" s="37">
        <f t="shared" si="33"/>
        <v>1.3027789516284711</v>
      </c>
      <c r="BP37" s="37">
        <f t="shared" si="33"/>
        <v>0.38920659764026122</v>
      </c>
      <c r="BQ37" s="37">
        <f t="shared" si="33"/>
        <v>0.61242843440002925</v>
      </c>
      <c r="BR37" s="37">
        <f t="shared" si="33"/>
        <v>-0.69001674610331154</v>
      </c>
      <c r="BS37" s="37">
        <f t="shared" si="33"/>
        <v>-0.45204248124554347</v>
      </c>
      <c r="BT37" s="37">
        <f t="shared" si="33"/>
        <v>-0.14729353988372518</v>
      </c>
      <c r="BU37" s="37">
        <f t="shared" si="33"/>
        <v>-8.3793994829987395E-2</v>
      </c>
      <c r="BV37" s="37"/>
      <c r="BW37" s="37" t="str">
        <f>IF(ISERROR(BW14/#REF!-1),"--  ",BW14/#REF!-1)</f>
        <v xml:space="preserve">--  </v>
      </c>
      <c r="BX37" s="37">
        <f t="shared" ref="BX37:CH37" si="34">IF(ISERROR(BX14/BW14-1),"--  ",BX14/BW14-1)</f>
        <v>-8.3735469968739373E-2</v>
      </c>
      <c r="BY37" s="37">
        <f t="shared" si="34"/>
        <v>0.18228363223394695</v>
      </c>
      <c r="BZ37" s="37">
        <f t="shared" si="34"/>
        <v>0.44843347261578881</v>
      </c>
      <c r="CA37" s="37">
        <f t="shared" si="34"/>
        <v>-0.20252891730727784</v>
      </c>
      <c r="CB37" s="37">
        <f t="shared" si="34"/>
        <v>-0.15845114345114353</v>
      </c>
      <c r="CC37" s="37">
        <f t="shared" si="34"/>
        <v>-0.23654532653136884</v>
      </c>
      <c r="CD37" s="37">
        <f t="shared" si="34"/>
        <v>1.385094589501731</v>
      </c>
      <c r="CE37" s="37">
        <f t="shared" si="34"/>
        <v>-6.9937054778723029E-2</v>
      </c>
      <c r="CF37" s="37">
        <f t="shared" si="34"/>
        <v>0.2912978188182227</v>
      </c>
      <c r="CG37" s="37">
        <f t="shared" si="34"/>
        <v>-0.12041258177760195</v>
      </c>
      <c r="CH37" s="37">
        <f t="shared" si="34"/>
        <v>-0.11868477448080894</v>
      </c>
    </row>
    <row r="38" spans="1:86" ht="15" customHeight="1" x14ac:dyDescent="0.35">
      <c r="B38" s="10" t="str">
        <f>IF(Control!$D$5=1,"Gross Margin","Margem Bruta")</f>
        <v>Margem Bruta</v>
      </c>
      <c r="C38" s="59"/>
      <c r="D38" s="10"/>
      <c r="E38" s="59"/>
      <c r="F38" s="59"/>
      <c r="G38" s="59"/>
      <c r="H38" s="10"/>
      <c r="I38" s="59"/>
      <c r="J38" s="59"/>
      <c r="K38" s="59"/>
      <c r="L38" s="10"/>
      <c r="M38" s="59"/>
      <c r="N38" s="59"/>
      <c r="O38" s="59"/>
      <c r="P38" s="10"/>
      <c r="Q38" s="59"/>
      <c r="R38" s="59"/>
      <c r="S38" s="59"/>
      <c r="T38" s="10"/>
      <c r="U38" s="59"/>
      <c r="V38" s="59"/>
      <c r="W38" s="59"/>
      <c r="X38" s="35">
        <f t="shared" ref="X38:BM38" si="35">IF(ISERROR(X11/X$9),"--  ",X11/X$9)</f>
        <v>0.28265023290626246</v>
      </c>
      <c r="Y38" s="35">
        <f t="shared" si="35"/>
        <v>0.25244015315668367</v>
      </c>
      <c r="Z38" s="35">
        <f t="shared" si="35"/>
        <v>0.23120183712471493</v>
      </c>
      <c r="AA38" s="35">
        <f t="shared" si="35"/>
        <v>0.228222133062708</v>
      </c>
      <c r="AB38" s="35">
        <f t="shared" si="35"/>
        <v>0.26902553304928134</v>
      </c>
      <c r="AC38" s="35">
        <f t="shared" si="35"/>
        <v>0.24990822556545939</v>
      </c>
      <c r="AD38" s="35">
        <f t="shared" si="35"/>
        <v>0.22714755839296619</v>
      </c>
      <c r="AE38" s="35">
        <f t="shared" si="35"/>
        <v>0.19987389942805464</v>
      </c>
      <c r="AF38" s="35">
        <f t="shared" si="35"/>
        <v>0.24983151725339051</v>
      </c>
      <c r="AG38" s="35">
        <f t="shared" si="35"/>
        <v>0.24059084684558954</v>
      </c>
      <c r="AH38" s="35">
        <f t="shared" si="35"/>
        <v>0.24695868465212004</v>
      </c>
      <c r="AI38" s="35">
        <f t="shared" si="35"/>
        <v>0.25390291806268772</v>
      </c>
      <c r="AJ38" s="35">
        <f t="shared" si="35"/>
        <v>0.27205992025217024</v>
      </c>
      <c r="AK38" s="35">
        <f t="shared" si="35"/>
        <v>0.27125861027746018</v>
      </c>
      <c r="AL38" s="35">
        <f t="shared" si="35"/>
        <v>0.22238973486252425</v>
      </c>
      <c r="AM38" s="35">
        <f t="shared" si="35"/>
        <v>0.2077295813868589</v>
      </c>
      <c r="AN38" s="35">
        <f t="shared" si="35"/>
        <v>0.23946428878310333</v>
      </c>
      <c r="AO38" s="35">
        <f t="shared" si="35"/>
        <v>0.23554279147092841</v>
      </c>
      <c r="AP38" s="35">
        <f t="shared" si="35"/>
        <v>0.23520505040021006</v>
      </c>
      <c r="AQ38" s="35">
        <f t="shared" si="35"/>
        <v>0.25006486369497505</v>
      </c>
      <c r="AR38" s="35">
        <f t="shared" si="35"/>
        <v>0.25342661336379213</v>
      </c>
      <c r="AS38" s="35">
        <f t="shared" si="35"/>
        <v>0.26495192907978532</v>
      </c>
      <c r="AT38" s="35">
        <f t="shared" si="35"/>
        <v>0.24431486880466494</v>
      </c>
      <c r="AU38" s="35">
        <f t="shared" si="35"/>
        <v>0.2287363304981774</v>
      </c>
      <c r="AV38" s="35">
        <f t="shared" si="35"/>
        <v>0.21475807890689386</v>
      </c>
      <c r="AW38" s="35">
        <f t="shared" si="35"/>
        <v>0.21820497547460144</v>
      </c>
      <c r="AX38" s="35">
        <f t="shared" si="35"/>
        <v>0.23071051402708437</v>
      </c>
      <c r="AY38" s="35">
        <f t="shared" si="35"/>
        <v>0.21505443756759171</v>
      </c>
      <c r="AZ38" s="35">
        <f t="shared" si="35"/>
        <v>0.21990405256452006</v>
      </c>
      <c r="BA38" s="35">
        <f t="shared" si="35"/>
        <v>0.20618257202683746</v>
      </c>
      <c r="BB38" s="35">
        <f t="shared" si="35"/>
        <v>0.22554162501032016</v>
      </c>
      <c r="BC38" s="35">
        <f t="shared" si="35"/>
        <v>0.16899598741350541</v>
      </c>
      <c r="BD38" s="35">
        <f t="shared" si="35"/>
        <v>0.18002210657787551</v>
      </c>
      <c r="BE38" s="35">
        <f t="shared" si="35"/>
        <v>0.17976794168110447</v>
      </c>
      <c r="BF38" s="35">
        <f t="shared" si="35"/>
        <v>0.18951968074260778</v>
      </c>
      <c r="BG38" s="35">
        <f t="shared" si="35"/>
        <v>0.15991899708861954</v>
      </c>
      <c r="BH38" s="35">
        <f t="shared" si="35"/>
        <v>0.21675211093670591</v>
      </c>
      <c r="BI38" s="35">
        <f t="shared" si="35"/>
        <v>0.1939526492909025</v>
      </c>
      <c r="BJ38" s="35">
        <f t="shared" si="35"/>
        <v>0.18516510963024374</v>
      </c>
      <c r="BK38" s="35">
        <f t="shared" si="35"/>
        <v>0.17784542930432418</v>
      </c>
      <c r="BL38" s="35">
        <f t="shared" si="35"/>
        <v>0.20040717054146748</v>
      </c>
      <c r="BM38" s="35">
        <f t="shared" si="35"/>
        <v>0.18735699648800411</v>
      </c>
      <c r="BN38" s="35">
        <f t="shared" ref="BN38:BS38" si="36">IF(ISERROR(BN11/BN$9),"--  ",BN11/BN$9)</f>
        <v>0.1797105925939021</v>
      </c>
      <c r="BO38" s="35">
        <f t="shared" si="36"/>
        <v>0.20681751005402974</v>
      </c>
      <c r="BP38" s="35">
        <f t="shared" si="36"/>
        <v>0.20850787864717063</v>
      </c>
      <c r="BQ38" s="35">
        <f t="shared" si="36"/>
        <v>0.2047648784196206</v>
      </c>
      <c r="BR38" s="35">
        <f t="shared" si="36"/>
        <v>0.155492474560885</v>
      </c>
      <c r="BS38" s="35">
        <f t="shared" si="36"/>
        <v>0.1596855027817371</v>
      </c>
      <c r="BT38" s="35">
        <f t="shared" ref="BT38:BU38" si="37">IF(ISERROR(BT11/BT$9),"--  ",BT11/BT$9)</f>
        <v>0.21775820086492104</v>
      </c>
      <c r="BU38" s="35">
        <f t="shared" si="37"/>
        <v>0.22531812984286906</v>
      </c>
      <c r="BV38" s="55"/>
      <c r="BW38" s="35">
        <f t="shared" ref="BW38:CF38" si="38">IF(ISERROR(BW11/BW$9),"--  ",BW11/BW$9)</f>
        <v>0.2485233459637618</v>
      </c>
      <c r="BX38" s="35">
        <f t="shared" si="38"/>
        <v>0.23627252536314364</v>
      </c>
      <c r="BY38" s="35">
        <f t="shared" si="38"/>
        <v>0.24803744717383194</v>
      </c>
      <c r="BZ38" s="35">
        <f t="shared" si="38"/>
        <v>0.24247278255911817</v>
      </c>
      <c r="CA38" s="35">
        <f t="shared" si="38"/>
        <v>0.2398991415020712</v>
      </c>
      <c r="CB38" s="35">
        <f t="shared" si="38"/>
        <v>0.24653940850265113</v>
      </c>
      <c r="CC38" s="35">
        <f t="shared" si="38"/>
        <v>0.21970463886042804</v>
      </c>
      <c r="CD38" s="35">
        <f t="shared" si="38"/>
        <v>0.20504773455560496</v>
      </c>
      <c r="CE38" s="35">
        <f t="shared" si="38"/>
        <v>0.17742205411322878</v>
      </c>
      <c r="CF38" s="35">
        <f t="shared" si="38"/>
        <v>0.193206826370181</v>
      </c>
      <c r="CG38" s="35">
        <f>IF(ISERROR(CG11/CG$9),"--  ",CG11/CG$9)</f>
        <v>0.19343651536127598</v>
      </c>
      <c r="CH38" s="35">
        <f>IF(ISERROR(CH11/CH$9),"--  ",CH11/CH$9)</f>
        <v>0.1825568125921179</v>
      </c>
    </row>
    <row r="39" spans="1:86" ht="15" customHeight="1" x14ac:dyDescent="0.35">
      <c r="A39" s="6"/>
      <c r="B39" s="10" t="str">
        <f>IF(Control!$D$5=1,"EBITDA Margin","Margem EBITDA")</f>
        <v>Margem EBITDA</v>
      </c>
      <c r="C39" s="59"/>
      <c r="D39" s="10"/>
      <c r="E39" s="59"/>
      <c r="F39" s="59"/>
      <c r="G39" s="59"/>
      <c r="H39" s="10"/>
      <c r="I39" s="59"/>
      <c r="J39" s="59"/>
      <c r="K39" s="59"/>
      <c r="L39" s="10"/>
      <c r="M39" s="59"/>
      <c r="N39" s="59"/>
      <c r="O39" s="59"/>
      <c r="P39" s="10"/>
      <c r="Q39" s="59"/>
      <c r="R39" s="59"/>
      <c r="S39" s="59"/>
      <c r="T39" s="10"/>
      <c r="U39" s="59"/>
      <c r="V39" s="59"/>
      <c r="W39" s="59"/>
      <c r="X39" s="35">
        <f t="shared" ref="X39:AK39" si="39">IF(ISERROR(X32/X$9),"--  ",X32/X$9)</f>
        <v>0.12565528656141514</v>
      </c>
      <c r="Y39" s="35">
        <f t="shared" si="39"/>
        <v>0.10467689032767656</v>
      </c>
      <c r="Z39" s="35">
        <f t="shared" si="39"/>
        <v>0.10618334258060549</v>
      </c>
      <c r="AA39" s="35">
        <f t="shared" si="39"/>
        <v>9.5290705907342219E-2</v>
      </c>
      <c r="AB39" s="35">
        <f t="shared" si="39"/>
        <v>0.12045550730989525</v>
      </c>
      <c r="AC39" s="35">
        <f t="shared" si="39"/>
        <v>0.10571931835746311</v>
      </c>
      <c r="AD39" s="35">
        <f t="shared" si="39"/>
        <v>9.9888554793378617E-2</v>
      </c>
      <c r="AE39" s="35">
        <f t="shared" si="39"/>
        <v>8.0988916029299765E-2</v>
      </c>
      <c r="AF39" s="35">
        <f t="shared" si="39"/>
        <v>0.11259645163977254</v>
      </c>
      <c r="AG39" s="35">
        <f t="shared" si="39"/>
        <v>0.10090508130613143</v>
      </c>
      <c r="AH39" s="35">
        <f t="shared" si="39"/>
        <v>9.0688727030150684E-2</v>
      </c>
      <c r="AI39" s="35">
        <f t="shared" si="39"/>
        <v>0.11017769922642218</v>
      </c>
      <c r="AJ39" s="35">
        <f t="shared" si="39"/>
        <v>0.12385896964212911</v>
      </c>
      <c r="AK39" s="35">
        <f t="shared" si="39"/>
        <v>0.14035582504876729</v>
      </c>
      <c r="AL39" s="35">
        <f t="shared" ref="AL39:AQ39" si="40">IF(ISERROR(AL32/AL$9),"--  ",AL32/AL$9)</f>
        <v>0.11298124357254354</v>
      </c>
      <c r="AM39" s="35">
        <f t="shared" si="40"/>
        <v>7.557980350248629E-2</v>
      </c>
      <c r="AN39" s="35">
        <f t="shared" si="40"/>
        <v>0.10411009812851228</v>
      </c>
      <c r="AO39" s="35">
        <f t="shared" si="40"/>
        <v>9.447496310339154E-2</v>
      </c>
      <c r="AP39" s="35">
        <f t="shared" si="40"/>
        <v>0.10478237244259384</v>
      </c>
      <c r="AQ39" s="35">
        <f t="shared" si="40"/>
        <v>0.11437262139289406</v>
      </c>
      <c r="AR39" s="35">
        <f t="shared" ref="AR39:BE39" si="41">IF(ISERROR(AR32/AR$9),"--  ",AR32/AR$9)</f>
        <v>6.7675613934894352E-2</v>
      </c>
      <c r="AS39" s="35">
        <f t="shared" si="41"/>
        <v>9.0148582844300218E-2</v>
      </c>
      <c r="AT39" s="35">
        <f t="shared" si="41"/>
        <v>0.12618075801749296</v>
      </c>
      <c r="AU39" s="35">
        <f t="shared" si="41"/>
        <v>8.0120494127176992E-2</v>
      </c>
      <c r="AV39" s="35">
        <f t="shared" si="41"/>
        <v>4.8538234069491676E-2</v>
      </c>
      <c r="AW39" s="35">
        <f t="shared" si="41"/>
        <v>6.1368774452070556E-2</v>
      </c>
      <c r="AX39" s="35">
        <f t="shared" si="41"/>
        <v>9.0105407681470046E-2</v>
      </c>
      <c r="AY39" s="35">
        <f t="shared" si="41"/>
        <v>8.4647674752013791E-2</v>
      </c>
      <c r="AZ39" s="35">
        <f t="shared" si="41"/>
        <v>0.10576940555886996</v>
      </c>
      <c r="BA39" s="35">
        <f t="shared" si="41"/>
        <v>0.10226965453487685</v>
      </c>
      <c r="BB39" s="35">
        <f t="shared" si="41"/>
        <v>0.12390753990857226</v>
      </c>
      <c r="BC39" s="35">
        <f t="shared" si="41"/>
        <v>7.3072132632335599E-2</v>
      </c>
      <c r="BD39" s="35">
        <f t="shared" si="41"/>
        <v>7.1243834185844609E-2</v>
      </c>
      <c r="BE39" s="35">
        <f t="shared" si="41"/>
        <v>7.8673693891373991E-2</v>
      </c>
      <c r="BF39" s="35">
        <f t="shared" ref="BF39:BR39" si="42">IF(ISERROR(BF32/BF$9),"--  ",BF32/BF$9)</f>
        <v>8.125416322703681E-2</v>
      </c>
      <c r="BG39" s="35">
        <f t="shared" si="42"/>
        <v>8.7717274172330426E-2</v>
      </c>
      <c r="BH39" s="35">
        <f t="shared" si="42"/>
        <v>0.10499029233132991</v>
      </c>
      <c r="BI39" s="35">
        <f t="shared" si="42"/>
        <v>7.4796710880653122E-2</v>
      </c>
      <c r="BJ39" s="35">
        <f t="shared" si="42"/>
        <v>0.13212330878211062</v>
      </c>
      <c r="BK39" s="35">
        <f t="shared" si="42"/>
        <v>5.916883138000989E-2</v>
      </c>
      <c r="BL39" s="35">
        <f t="shared" si="42"/>
        <v>7.4729306433756651E-2</v>
      </c>
      <c r="BM39" s="35">
        <f t="shared" si="42"/>
        <v>6.6422425290935061E-2</v>
      </c>
      <c r="BN39" s="35">
        <f t="shared" si="42"/>
        <v>7.727454999316169E-2</v>
      </c>
      <c r="BO39" s="35">
        <f t="shared" si="42"/>
        <v>9.7548639297116421E-2</v>
      </c>
      <c r="BP39" s="35">
        <f t="shared" si="42"/>
        <v>8.4225064509023048E-2</v>
      </c>
      <c r="BQ39" s="35">
        <f t="shared" si="42"/>
        <v>8.3074623091914754E-2</v>
      </c>
      <c r="BR39" s="35">
        <f t="shared" si="42"/>
        <v>3.7365387673929044E-2</v>
      </c>
      <c r="BS39" s="35">
        <f t="shared" ref="BS39:BT39" si="43">IF(ISERROR(BS32/BS$9),"--  ",BS32/BS$9)</f>
        <v>6.0092418042208808E-2</v>
      </c>
      <c r="BT39" s="35">
        <f t="shared" si="43"/>
        <v>8.428116245882622E-2</v>
      </c>
      <c r="BU39" s="35">
        <f t="shared" ref="BU39" si="44">IF(ISERROR(BU32/BU$9),"--  ",BU32/BU$9)</f>
        <v>8.8831398686912588E-2</v>
      </c>
      <c r="BV39" s="55"/>
      <c r="BW39" s="35">
        <f t="shared" ref="BW39:CD39" si="45">IF(ISERROR(BW32/BW$9),"--  ",BW32/BW$9)</f>
        <v>0.10818316154157644</v>
      </c>
      <c r="BX39" s="35">
        <f t="shared" si="45"/>
        <v>0.1016963621038643</v>
      </c>
      <c r="BY39" s="35">
        <f t="shared" si="45"/>
        <v>0.10377214185093013</v>
      </c>
      <c r="BZ39" s="35">
        <f t="shared" si="45"/>
        <v>0.11345641137023865</v>
      </c>
      <c r="CA39" s="35">
        <f t="shared" si="45"/>
        <v>0.10428828720657983</v>
      </c>
      <c r="CB39" s="35">
        <f t="shared" si="45"/>
        <v>9.1652295162358899E-2</v>
      </c>
      <c r="CC39" s="35">
        <f t="shared" si="45"/>
        <v>7.208971850698373E-2</v>
      </c>
      <c r="CD39" s="35">
        <f t="shared" si="45"/>
        <v>0.10146709639657245</v>
      </c>
      <c r="CE39" s="35">
        <f>IF(ISERROR(CE32/CE$9),"--  ",CE32/CE$9)</f>
        <v>7.9570786509863767E-2</v>
      </c>
      <c r="CF39" s="35">
        <f>IF(ISERROR(CF32/CF$9),"--  ",CF32/CF$9)</f>
        <v>9.2383235741620107E-2</v>
      </c>
      <c r="CG39" s="35">
        <f>IF(ISERROR(CG32/CG$9),"--  ",CG32/CG$9)</f>
        <v>7.8991300162523106E-2</v>
      </c>
      <c r="CH39" s="35">
        <f>IF(ISERROR(CH32/CH$9),"--  ",CH32/CH$9)</f>
        <v>6.6493810273094617E-2</v>
      </c>
    </row>
    <row r="40" spans="1:86" ht="15" customHeight="1" x14ac:dyDescent="0.35">
      <c r="B40" s="10" t="str">
        <f>IF(Control!$D$5=1,"EBIT Margin","Margem EBIT")</f>
        <v>Margem EBIT</v>
      </c>
      <c r="C40" s="59"/>
      <c r="D40" s="10"/>
      <c r="E40" s="59"/>
      <c r="F40" s="59"/>
      <c r="G40" s="59"/>
      <c r="H40" s="10"/>
      <c r="I40" s="59"/>
      <c r="J40" s="59"/>
      <c r="K40" s="59"/>
      <c r="L40" s="10"/>
      <c r="M40" s="59"/>
      <c r="N40" s="59"/>
      <c r="O40" s="59"/>
      <c r="P40" s="10"/>
      <c r="Q40" s="59"/>
      <c r="R40" s="59"/>
      <c r="S40" s="59"/>
      <c r="T40" s="10"/>
      <c r="U40" s="59"/>
      <c r="V40" s="59"/>
      <c r="W40" s="59"/>
      <c r="X40" s="35">
        <f t="shared" ref="X40:BM40" si="46">IF(ISERROR(X14/X$9),"--  ",X14/X$9)</f>
        <v>0.10633517204029537</v>
      </c>
      <c r="Y40" s="35">
        <f t="shared" si="46"/>
        <v>7.9059284933340815E-2</v>
      </c>
      <c r="Z40" s="35">
        <f t="shared" si="46"/>
        <v>8.7534677270205377E-2</v>
      </c>
      <c r="AA40" s="35">
        <f t="shared" si="46"/>
        <v>7.685238724599365E-2</v>
      </c>
      <c r="AB40" s="35">
        <f t="shared" si="46"/>
        <v>0.10072549223375397</v>
      </c>
      <c r="AC40" s="35">
        <f t="shared" si="46"/>
        <v>8.4144275851409212E-2</v>
      </c>
      <c r="AD40" s="35">
        <f t="shared" si="46"/>
        <v>7.85873934170149E-2</v>
      </c>
      <c r="AE40" s="35">
        <f t="shared" si="46"/>
        <v>6.1819232883195338E-2</v>
      </c>
      <c r="AF40" s="35">
        <f t="shared" si="46"/>
        <v>9.1848463967409019E-2</v>
      </c>
      <c r="AG40" s="35">
        <f t="shared" si="46"/>
        <v>8.1425335880237329E-2</v>
      </c>
      <c r="AH40" s="35">
        <f t="shared" si="46"/>
        <v>7.3753028387333622E-2</v>
      </c>
      <c r="AI40" s="35">
        <f t="shared" si="46"/>
        <v>9.3585227538095173E-2</v>
      </c>
      <c r="AJ40" s="35">
        <f t="shared" si="46"/>
        <v>0.10670622570027943</v>
      </c>
      <c r="AK40" s="35">
        <f t="shared" si="46"/>
        <v>0.12627487285758518</v>
      </c>
      <c r="AL40" s="35">
        <f t="shared" si="46"/>
        <v>0.10111243937962325</v>
      </c>
      <c r="AM40" s="35">
        <f t="shared" si="46"/>
        <v>5.9029907609237618E-2</v>
      </c>
      <c r="AN40" s="35">
        <f t="shared" si="46"/>
        <v>8.9180300400419341E-2</v>
      </c>
      <c r="AO40" s="35">
        <f t="shared" si="46"/>
        <v>7.6302922997207895E-2</v>
      </c>
      <c r="AP40" s="35">
        <f t="shared" si="46"/>
        <v>8.8947365207675697E-2</v>
      </c>
      <c r="AQ40" s="35">
        <f t="shared" si="46"/>
        <v>9.2026915499880749E-2</v>
      </c>
      <c r="AR40" s="35">
        <f t="shared" si="46"/>
        <v>4.4688749286122223E-2</v>
      </c>
      <c r="AS40" s="35">
        <f t="shared" si="46"/>
        <v>7.1794231489574284E-2</v>
      </c>
      <c r="AT40" s="35">
        <f t="shared" si="46"/>
        <v>0.10798833819242007</v>
      </c>
      <c r="AU40" s="35">
        <f t="shared" si="46"/>
        <v>6.2474686107735926E-2</v>
      </c>
      <c r="AV40" s="35">
        <f t="shared" si="46"/>
        <v>2.5170372951063353E-2</v>
      </c>
      <c r="AW40" s="35">
        <f t="shared" si="46"/>
        <v>3.5867549310265472E-2</v>
      </c>
      <c r="AX40" s="35">
        <f t="shared" si="46"/>
        <v>6.603944905428441E-2</v>
      </c>
      <c r="AY40" s="35">
        <f t="shared" si="46"/>
        <v>5.8770814567454352E-2</v>
      </c>
      <c r="AZ40" s="35">
        <f t="shared" si="46"/>
        <v>8.4115130312349837E-2</v>
      </c>
      <c r="BA40" s="35">
        <f t="shared" si="46"/>
        <v>8.2341180422972574E-2</v>
      </c>
      <c r="BB40" s="35">
        <f t="shared" si="46"/>
        <v>0.10592448643882119</v>
      </c>
      <c r="BC40" s="35">
        <f t="shared" si="46"/>
        <v>5.6775555361977377E-2</v>
      </c>
      <c r="BD40" s="35">
        <f t="shared" si="46"/>
        <v>5.5149584233301366E-2</v>
      </c>
      <c r="BE40" s="35">
        <f t="shared" si="46"/>
        <v>6.1023277888202367E-2</v>
      </c>
      <c r="BF40" s="35">
        <f t="shared" si="46"/>
        <v>6.3479980805005887E-2</v>
      </c>
      <c r="BG40" s="35">
        <f t="shared" si="46"/>
        <v>6.559219796741228E-2</v>
      </c>
      <c r="BH40" s="35">
        <f t="shared" si="46"/>
        <v>8.3086997786642622E-2</v>
      </c>
      <c r="BI40" s="35">
        <f t="shared" si="46"/>
        <v>5.3997337513732889E-2</v>
      </c>
      <c r="BJ40" s="35">
        <f t="shared" si="46"/>
        <v>0.10967966499803382</v>
      </c>
      <c r="BK40" s="35">
        <f t="shared" si="46"/>
        <v>3.4753812131338192E-2</v>
      </c>
      <c r="BL40" s="35">
        <f t="shared" si="46"/>
        <v>5.0066003218787077E-2</v>
      </c>
      <c r="BM40" s="35">
        <f t="shared" si="46"/>
        <v>4.3455385413375153E-2</v>
      </c>
      <c r="BN40" s="35">
        <f t="shared" ref="BN40:BS40" si="47">IF(ISERROR(BN14/BN$9),"--  ",BN14/BN$9)</f>
        <v>5.416968656059596E-2</v>
      </c>
      <c r="BO40" s="35">
        <f t="shared" si="47"/>
        <v>7.4955843742577521E-2</v>
      </c>
      <c r="BP40" s="35">
        <f t="shared" si="47"/>
        <v>6.3281911971576732E-2</v>
      </c>
      <c r="BQ40" s="35">
        <f t="shared" si="47"/>
        <v>6.4003740021024977E-2</v>
      </c>
      <c r="BR40" s="35">
        <f t="shared" si="47"/>
        <v>1.6449465606553502E-2</v>
      </c>
      <c r="BS40" s="35">
        <f t="shared" si="47"/>
        <v>3.9679985286679847E-2</v>
      </c>
      <c r="BT40" s="35">
        <f t="shared" ref="BT40:BU40" si="48">IF(ISERROR(BT14/BT$9),"--  ",BT14/BT$9)</f>
        <v>6.1091903291936193E-2</v>
      </c>
      <c r="BU40" s="35">
        <f t="shared" si="48"/>
        <v>6.691691686845791E-2</v>
      </c>
      <c r="BV40" s="55"/>
      <c r="BW40" s="35">
        <f t="shared" ref="BW40:CF40" si="49">IF(ISERROR(BW14/BW$9),"--  ",BW14/BW$9)</f>
        <v>8.7367387130145177E-2</v>
      </c>
      <c r="BX40" s="35">
        <f t="shared" si="49"/>
        <v>8.1261266526802808E-2</v>
      </c>
      <c r="BY40" s="35">
        <f t="shared" si="49"/>
        <v>8.511873431822943E-2</v>
      </c>
      <c r="BZ40" s="35">
        <f t="shared" si="49"/>
        <v>9.8252653870170778E-2</v>
      </c>
      <c r="CA40" s="35">
        <f t="shared" si="49"/>
        <v>8.6630245542414608E-2</v>
      </c>
      <c r="CB40" s="35">
        <f t="shared" si="49"/>
        <v>7.2578512342360471E-2</v>
      </c>
      <c r="CC40" s="35">
        <f t="shared" si="49"/>
        <v>4.7364916074736127E-2</v>
      </c>
      <c r="CD40" s="35">
        <f t="shared" si="49"/>
        <v>8.2594960908799961E-2</v>
      </c>
      <c r="CE40" s="35">
        <f t="shared" si="49"/>
        <v>6.1208315545252197E-2</v>
      </c>
      <c r="CF40" s="35">
        <f t="shared" si="49"/>
        <v>6.9967396244310726E-2</v>
      </c>
      <c r="CG40" s="35">
        <f>IF(ISERROR(CG14/CG$9),"--  ",CG14/CG$9)</f>
        <v>5.5671710496469698E-2</v>
      </c>
      <c r="CH40" s="35">
        <f>IF(ISERROR(CH14/CH$9),"--  ",CH14/CH$9)</f>
        <v>4.6186511929009369E-2</v>
      </c>
    </row>
    <row r="41" spans="1:86" ht="15" customHeight="1" x14ac:dyDescent="0.35">
      <c r="A41" s="6"/>
      <c r="B41" s="134" t="str">
        <f>IF(Control!$D$5=1,"Net Margin","Margem Líquida")</f>
        <v>Margem Líquida</v>
      </c>
      <c r="C41" s="120"/>
      <c r="D41" s="134"/>
      <c r="E41" s="120"/>
      <c r="F41" s="120"/>
      <c r="G41" s="120"/>
      <c r="H41" s="134"/>
      <c r="I41" s="120"/>
      <c r="J41" s="120"/>
      <c r="K41" s="120"/>
      <c r="L41" s="134"/>
      <c r="M41" s="120"/>
      <c r="N41" s="120"/>
      <c r="O41" s="120"/>
      <c r="P41" s="134"/>
      <c r="Q41" s="120"/>
      <c r="R41" s="120"/>
      <c r="S41" s="120"/>
      <c r="T41" s="134"/>
      <c r="U41" s="120"/>
      <c r="V41" s="120"/>
      <c r="W41" s="120"/>
      <c r="X41" s="93">
        <f t="shared" ref="X41:BM41" si="50">IF(ISERROR(X20/X$9),"--  ",X20/X$9)</f>
        <v>5.3740343745911599E-2</v>
      </c>
      <c r="Y41" s="93">
        <f t="shared" si="50"/>
        <v>3.2894225212298234E-2</v>
      </c>
      <c r="Z41" s="93">
        <f t="shared" si="50"/>
        <v>3.1260403181061672E-2</v>
      </c>
      <c r="AA41" s="93">
        <f t="shared" si="50"/>
        <v>2.2904816973873556E-2</v>
      </c>
      <c r="AB41" s="93">
        <f t="shared" si="50"/>
        <v>4.1320073558315733E-2</v>
      </c>
      <c r="AC41" s="93">
        <f t="shared" si="50"/>
        <v>3.0614019269411149E-2</v>
      </c>
      <c r="AD41" s="93">
        <f t="shared" si="50"/>
        <v>1.6147206460734781E-2</v>
      </c>
      <c r="AE41" s="93">
        <f t="shared" si="50"/>
        <v>1.3821641074640536E-2</v>
      </c>
      <c r="AF41" s="93">
        <f t="shared" si="50"/>
        <v>3.812329150922681E-2</v>
      </c>
      <c r="AG41" s="93">
        <f t="shared" si="50"/>
        <v>1.8869186240903373E-2</v>
      </c>
      <c r="AH41" s="93">
        <f t="shared" si="50"/>
        <v>2.0029372448333159E-2</v>
      </c>
      <c r="AI41" s="93">
        <f t="shared" si="50"/>
        <v>2.5724476476791484E-2</v>
      </c>
      <c r="AJ41" s="93">
        <f t="shared" si="50"/>
        <v>4.6280091879045825E-2</v>
      </c>
      <c r="AK41" s="93">
        <f t="shared" si="50"/>
        <v>4.3908455417641247E-2</v>
      </c>
      <c r="AL41" s="93">
        <f t="shared" si="50"/>
        <v>5.003001654825362E-2</v>
      </c>
      <c r="AM41" s="93">
        <f t="shared" si="50"/>
        <v>6.1095062941603166E-3</v>
      </c>
      <c r="AN41" s="93">
        <f t="shared" si="50"/>
        <v>4.1588616405162503E-2</v>
      </c>
      <c r="AO41" s="93">
        <f t="shared" si="50"/>
        <v>2.9768994079352872E-2</v>
      </c>
      <c r="AP41" s="93">
        <f t="shared" si="50"/>
        <v>5.9248179059643816E-2</v>
      </c>
      <c r="AQ41" s="93">
        <f t="shared" si="50"/>
        <v>8.1114169229706143E-2</v>
      </c>
      <c r="AR41" s="93">
        <f t="shared" si="50"/>
        <v>2.3700742432895491E-2</v>
      </c>
      <c r="AS41" s="93">
        <f t="shared" si="50"/>
        <v>5.3065301535772318E-2</v>
      </c>
      <c r="AT41" s="93">
        <f t="shared" si="50"/>
        <v>0.14379008746355709</v>
      </c>
      <c r="AU41" s="93">
        <f t="shared" si="50"/>
        <v>7.9485621709194001E-2</v>
      </c>
      <c r="AV41" s="93">
        <f t="shared" si="50"/>
        <v>3.2594979733691257E-2</v>
      </c>
      <c r="AW41" s="93">
        <f t="shared" si="50"/>
        <v>2.8596795227587572E-2</v>
      </c>
      <c r="AX41" s="93">
        <f t="shared" si="50"/>
        <v>4.4234507146249664E-2</v>
      </c>
      <c r="AY41" s="93">
        <f t="shared" si="50"/>
        <v>5.5567899675190852E-2</v>
      </c>
      <c r="AZ41" s="93">
        <f t="shared" si="50"/>
        <v>5.6438938860364045E-2</v>
      </c>
      <c r="BA41" s="93">
        <f t="shared" si="50"/>
        <v>7.3108068748877944E-2</v>
      </c>
      <c r="BB41" s="93">
        <f t="shared" si="50"/>
        <v>6.9753017468954584E-2</v>
      </c>
      <c r="BC41" s="93">
        <f t="shared" si="50"/>
        <v>5.5725749952034179E-2</v>
      </c>
      <c r="BD41" s="93">
        <f t="shared" si="50"/>
        <v>4.1680989198103556E-2</v>
      </c>
      <c r="BE41" s="93">
        <f t="shared" si="50"/>
        <v>4.0217307306959736E-2</v>
      </c>
      <c r="BF41" s="93">
        <f t="shared" si="50"/>
        <v>4.9900365846880179E-2</v>
      </c>
      <c r="BG41" s="93">
        <f t="shared" si="50"/>
        <v>4.685788829257944E-2</v>
      </c>
      <c r="BH41" s="93">
        <f t="shared" si="50"/>
        <v>3.2111765646530094E-2</v>
      </c>
      <c r="BI41" s="93">
        <f t="shared" si="50"/>
        <v>2.9965553386267704E-2</v>
      </c>
      <c r="BJ41" s="93">
        <f t="shared" si="50"/>
        <v>5.9737588878614981E-2</v>
      </c>
      <c r="BK41" s="93">
        <f t="shared" si="50"/>
        <v>2.1144066246326712E-3</v>
      </c>
      <c r="BL41" s="93">
        <f t="shared" si="50"/>
        <v>2.1892574487194134E-2</v>
      </c>
      <c r="BM41" s="93">
        <f t="shared" si="50"/>
        <v>4.1443610505593345E-3</v>
      </c>
      <c r="BN41" s="93">
        <f t="shared" ref="BN41:BS41" si="51">IF(ISERROR(BN20/BN$9),"--  ",BN20/BN$9)</f>
        <v>4.3950272464987117E-2</v>
      </c>
      <c r="BO41" s="93">
        <f t="shared" si="51"/>
        <v>3.622533151065159E-2</v>
      </c>
      <c r="BP41" s="93">
        <f t="shared" si="51"/>
        <v>1.8258132981363452E-2</v>
      </c>
      <c r="BQ41" s="93">
        <f t="shared" si="51"/>
        <v>3.0777539171374924E-2</v>
      </c>
      <c r="BR41" s="93">
        <f t="shared" si="51"/>
        <v>6.6379353951977384E-3</v>
      </c>
      <c r="BS41" s="93">
        <f t="shared" si="51"/>
        <v>-2.0335187824727614E-2</v>
      </c>
      <c r="BT41" s="93">
        <f t="shared" ref="BT41:BU41" si="52">IF(ISERROR(BT20/BT$9),"--  ",BT20/BT$9)</f>
        <v>1.2515897761740025E-2</v>
      </c>
      <c r="BU41" s="93">
        <f t="shared" si="52"/>
        <v>2.1354371907171803E-2</v>
      </c>
      <c r="BV41" s="55"/>
      <c r="BW41" s="93">
        <f t="shared" ref="BW41:CF41" si="53">IF(ISERROR(BW20/BW$9),"--  ",BW20/BW$9)</f>
        <v>3.5118096336973714E-2</v>
      </c>
      <c r="BX41" s="93">
        <f t="shared" si="53"/>
        <v>2.5431973249497048E-2</v>
      </c>
      <c r="BY41" s="93">
        <f t="shared" si="53"/>
        <v>2.5406299451340309E-2</v>
      </c>
      <c r="BZ41" s="93">
        <f t="shared" si="53"/>
        <v>3.6351641191323017E-2</v>
      </c>
      <c r="CA41" s="93">
        <f t="shared" si="53"/>
        <v>5.2140241339977189E-2</v>
      </c>
      <c r="CB41" s="93">
        <f t="shared" si="53"/>
        <v>7.7920797197877908E-2</v>
      </c>
      <c r="CC41" s="93">
        <f t="shared" si="53"/>
        <v>4.1034471571879852E-2</v>
      </c>
      <c r="CD41" s="93">
        <f t="shared" si="53"/>
        <v>6.4020524398429618E-2</v>
      </c>
      <c r="CE41" s="93">
        <f t="shared" si="53"/>
        <v>4.4609061886757319E-2</v>
      </c>
      <c r="CF41" s="93">
        <f t="shared" si="53"/>
        <v>3.065359003576525E-2</v>
      </c>
      <c r="CG41" s="93">
        <f>IF(ISERROR(CG20/CG$9),"--  ",CG20/CG$9)</f>
        <v>2.658588334115607E-2</v>
      </c>
      <c r="CH41" s="93">
        <f>IF(ISERROR(CH20/CH$9),"--  ",CH20/CH$9)</f>
        <v>9.2878715185064683E-3</v>
      </c>
    </row>
    <row r="42" spans="1:86" ht="14.5" x14ac:dyDescent="0.35">
      <c r="A42" s="6"/>
      <c r="B42" s="10"/>
      <c r="C42" s="59"/>
      <c r="D42" s="10"/>
      <c r="E42" s="59"/>
      <c r="F42" s="59"/>
      <c r="G42" s="59"/>
      <c r="H42" s="10"/>
      <c r="I42" s="59"/>
      <c r="J42" s="59"/>
      <c r="K42" s="59"/>
      <c r="L42" s="10"/>
      <c r="M42" s="59"/>
      <c r="N42" s="59"/>
      <c r="O42" s="59"/>
      <c r="P42" s="10"/>
      <c r="Q42" s="59"/>
      <c r="R42" s="59"/>
      <c r="S42" s="59"/>
      <c r="T42" s="10"/>
      <c r="U42" s="59"/>
      <c r="V42" s="59"/>
      <c r="W42" s="59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67"/>
      <c r="BU42" s="93"/>
      <c r="BV42" s="55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</row>
    <row r="43" spans="1:86" s="6" customFormat="1" ht="14.5" x14ac:dyDescent="0.35">
      <c r="B43" s="22" t="str">
        <f>IF(Control!$D$5=1,"Food Products International","Alimentício Internacional")</f>
        <v>Alimentício Internacional</v>
      </c>
      <c r="C43" s="81"/>
      <c r="D43" s="81"/>
      <c r="E43" s="81"/>
      <c r="F43" s="81"/>
      <c r="G43" s="81"/>
      <c r="H43" s="81"/>
      <c r="I43" s="81"/>
      <c r="J43" s="82"/>
      <c r="K43" s="81"/>
      <c r="L43" s="81"/>
      <c r="M43" s="81"/>
      <c r="N43" s="82"/>
      <c r="O43" s="81"/>
      <c r="P43" s="81"/>
      <c r="Q43" s="81"/>
      <c r="R43" s="82"/>
      <c r="S43" s="81"/>
      <c r="T43" s="81"/>
      <c r="U43" s="81"/>
      <c r="V43" s="82"/>
      <c r="W43" s="81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243"/>
      <c r="BU43" s="243"/>
      <c r="BV43" s="55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</row>
    <row r="44" spans="1:86" s="6" customFormat="1" ht="14.5" x14ac:dyDescent="0.35">
      <c r="B44" s="22" t="str">
        <f>IF(Control!$D$5=1,"In "&amp;TEXT(Control!$D$8,0)&amp;" "&amp;TEXT(Control!$D$7,0)&amp;", except where noted","Em "&amp;TEXT(Control!$D$8,0)&amp;" "&amp;TEXT(Control!$D$7,0)&amp;", exceto se especificado")</f>
        <v>Em milhões R$, exceto se especificado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 t="str">
        <f>IF(Control!$D$5=1,"1Q13","1T13")</f>
        <v>1T13</v>
      </c>
      <c r="Y44" s="56" t="str">
        <f>IF(Control!$D$5=1,"2Q13","2T13")</f>
        <v>2T13</v>
      </c>
      <c r="Z44" s="56" t="str">
        <f>IF(Control!$D$5=1,"3Q13","3T13")</f>
        <v>3T13</v>
      </c>
      <c r="AA44" s="56" t="str">
        <f>IF(Control!$D$5=1,"4Q13","4T13")</f>
        <v>4T13</v>
      </c>
      <c r="AB44" s="56" t="str">
        <f>IF(Control!$D$5=1,"1Q14","1T14")</f>
        <v>1T14</v>
      </c>
      <c r="AC44" s="56" t="str">
        <f>IF(Control!$D$5=1,"2Q14","2T14")</f>
        <v>2T14</v>
      </c>
      <c r="AD44" s="56" t="str">
        <f>IF(Control!$D$5=1,"3Q14","3T14")</f>
        <v>3T14</v>
      </c>
      <c r="AE44" s="56" t="str">
        <f>IF(Control!$D$5=1,"4Q14","4T14")</f>
        <v>4T14</v>
      </c>
      <c r="AF44" s="56" t="str">
        <f>IF(Control!$D$5=1,"1Q15","1T15")</f>
        <v>1T15</v>
      </c>
      <c r="AG44" s="56" t="str">
        <f>IF(Control!$D$5=1,"2Q15","2T15")</f>
        <v>2T15</v>
      </c>
      <c r="AH44" s="56" t="str">
        <f>IF(Control!$D$5=1,"3Q15","3T15")</f>
        <v>3T15</v>
      </c>
      <c r="AI44" s="56" t="str">
        <f>IF(Control!$D$5=1,"4Q15","4T15")</f>
        <v>4T15</v>
      </c>
      <c r="AJ44" s="56" t="str">
        <f>IF(Control!$D$5=1,"1Q16","1T16")</f>
        <v>1T16</v>
      </c>
      <c r="AK44" s="56" t="str">
        <f>IF(Control!$D$5=1,"2Q16","2T16")</f>
        <v>2T16</v>
      </c>
      <c r="AL44" s="56" t="str">
        <f>IF(Control!$D$5=1,"3Q16","3T16")</f>
        <v>3T16</v>
      </c>
      <c r="AM44" s="56" t="str">
        <f>IF(Control!$D$5=1,"4Q16","4T16")</f>
        <v>4T16</v>
      </c>
      <c r="AN44" s="56" t="str">
        <f>IF(Control!$D$5=1,"1Q17","1T17")</f>
        <v>1T17</v>
      </c>
      <c r="AO44" s="56" t="str">
        <f>IF(Control!$D$5=1,"2Q17","2T17")</f>
        <v>2T17</v>
      </c>
      <c r="AP44" s="56" t="str">
        <f>IF(Control!$D$5=1,"3Q17","3T17")</f>
        <v>3T17</v>
      </c>
      <c r="AQ44" s="56" t="str">
        <f>IF(Control!$D$5=1,"4Q17","4T17")</f>
        <v>4T17</v>
      </c>
      <c r="AR44" s="56" t="str">
        <f>IF(Control!$D$5=1,"1Q18","1T18")</f>
        <v>1T18</v>
      </c>
      <c r="AS44" s="56" t="str">
        <f>IF(Control!$D$5=1,"2Q18","2T18")</f>
        <v>2T18</v>
      </c>
      <c r="AT44" s="56" t="str">
        <f>IF(Control!$D$5=1,"3Q18","3T18")</f>
        <v>3T18</v>
      </c>
      <c r="AU44" s="56" t="str">
        <f>IF(Control!$D$5=1,"4Q18","4T18")</f>
        <v>4T18</v>
      </c>
      <c r="AV44" s="56" t="str">
        <f>IF(Control!$D$5=1,"1Q19","1T19")</f>
        <v>1T19</v>
      </c>
      <c r="AW44" s="56" t="str">
        <f>IF(Control!$D$5=1,"2Q19","2T19")</f>
        <v>2T19</v>
      </c>
      <c r="AX44" s="56" t="str">
        <f>IF(Control!$D$5=1,"3Q19","3T19")</f>
        <v>3T19</v>
      </c>
      <c r="AY44" s="56" t="str">
        <f>IF(Control!$D$5=1,"4Q19","4T19")</f>
        <v>4T19</v>
      </c>
      <c r="AZ44" s="56" t="str">
        <f>IF(Control!$D$5=1,"1Q20","1T20")</f>
        <v>1T20</v>
      </c>
      <c r="BA44" s="56" t="str">
        <f>IF(Control!$D$5=1,"2Q20","2T20")</f>
        <v>2T20</v>
      </c>
      <c r="BB44" s="56" t="str">
        <f>IF(Control!$D$5=1,"3Q20","3T20")</f>
        <v>3T20</v>
      </c>
      <c r="BC44" s="56" t="str">
        <f>IF(Control!$D$5=1,"4Q20","4T20")</f>
        <v>4T20</v>
      </c>
      <c r="BD44" s="56" t="str">
        <f>IF(Control!$D$5=1,"1Q21","1T21")</f>
        <v>1T21</v>
      </c>
      <c r="BE44" s="56" t="str">
        <f>IF(Control!$D$5=1,"2Q21","2T21")</f>
        <v>2T21</v>
      </c>
      <c r="BF44" s="56" t="str">
        <f>IF(Control!$D$5=1,"3Q21","3T21")</f>
        <v>3T21</v>
      </c>
      <c r="BG44" s="56" t="str">
        <f>IF(Control!$D$5=1,"4Q21","4T21")</f>
        <v>4T21</v>
      </c>
      <c r="BH44" s="56" t="str">
        <f>IF(Control!$D$5=1,"1Q22","1T22")</f>
        <v>1T22</v>
      </c>
      <c r="BI44" s="56" t="str">
        <f>IF(Control!$D$5=1,"2Q22","2T22")</f>
        <v>2T22</v>
      </c>
      <c r="BJ44" s="56" t="str">
        <f>IF(Control!$D$5=1,"3Q22","3T22")</f>
        <v>3T22</v>
      </c>
      <c r="BK44" s="56" t="str">
        <f>IF(Control!$D$5=1,"4Q22","4T22")</f>
        <v>4T22</v>
      </c>
      <c r="BL44" s="56" t="str">
        <f>IF(Control!$D$5=1,"1Q23","1T23")</f>
        <v>1T23</v>
      </c>
      <c r="BM44" s="56" t="str">
        <f>IF(Control!$D$5=1,"2Q23","2T23")</f>
        <v>2T23</v>
      </c>
      <c r="BN44" s="56" t="str">
        <f>IF(Control!$D$5=1,"3Q23","3T23")</f>
        <v>3T23</v>
      </c>
      <c r="BO44" s="56" t="str">
        <f>IF(Control!$D$5=1,"4Q23","4T23")</f>
        <v>4T23</v>
      </c>
      <c r="BP44" s="56" t="str">
        <f>IF(Control!$D$5=1,"1Q24","1T24")</f>
        <v>1T24</v>
      </c>
      <c r="BQ44" s="56" t="str">
        <f>IF(Control!$D$5=1,"2Q24","2T24")</f>
        <v>2T24</v>
      </c>
      <c r="BR44" s="56" t="str">
        <f>IF(Control!$D$5=1,"3Q24","3T24")</f>
        <v>3T24</v>
      </c>
      <c r="BS44" s="56" t="str">
        <f>IF(Control!$D$5=1,"4Q24","4T24")</f>
        <v>4T24</v>
      </c>
      <c r="BT44" s="243" t="str">
        <f>IF(Control!$D$5=1,"1Q25","1T25")</f>
        <v>1T25</v>
      </c>
      <c r="BU44" s="243" t="str">
        <f>IF(Control!$D$5=1,"2Q25","2T25")</f>
        <v>2T25</v>
      </c>
      <c r="BV44" s="55"/>
      <c r="BW44" s="56" t="str">
        <f t="shared" ref="BW44:CC45" si="54">BW6</f>
        <v>12M13</v>
      </c>
      <c r="BX44" s="56" t="str">
        <f t="shared" si="54"/>
        <v>12M14</v>
      </c>
      <c r="BY44" s="56" t="str">
        <f t="shared" si="54"/>
        <v>12M15</v>
      </c>
      <c r="BZ44" s="56" t="str">
        <f t="shared" si="54"/>
        <v>12M16</v>
      </c>
      <c r="CA44" s="56" t="str">
        <f t="shared" si="54"/>
        <v>12M17</v>
      </c>
      <c r="CB44" s="56" t="str">
        <f t="shared" si="54"/>
        <v>12M18</v>
      </c>
      <c r="CC44" s="56" t="str">
        <f t="shared" si="54"/>
        <v>12M19</v>
      </c>
      <c r="CD44" s="56" t="s">
        <v>12</v>
      </c>
      <c r="CE44" s="56" t="s">
        <v>15</v>
      </c>
      <c r="CF44" s="56" t="s">
        <v>16</v>
      </c>
      <c r="CG44" s="56" t="s">
        <v>20</v>
      </c>
      <c r="CH44" s="56" t="s">
        <v>27</v>
      </c>
    </row>
    <row r="45" spans="1:86" s="61" customFormat="1" ht="14.5" x14ac:dyDescent="0.35">
      <c r="A45" s="5"/>
      <c r="B45" s="22" t="str">
        <f>IF(Control!$D$5=1,"Closing Date","Data Fechamento")</f>
        <v>Data Fechamento</v>
      </c>
      <c r="C45" s="237">
        <v>39506</v>
      </c>
      <c r="D45" s="237">
        <v>39599</v>
      </c>
      <c r="E45" s="237">
        <v>39691</v>
      </c>
      <c r="F45" s="237">
        <v>39782</v>
      </c>
      <c r="G45" s="237">
        <v>39872</v>
      </c>
      <c r="H45" s="237">
        <v>39964</v>
      </c>
      <c r="I45" s="237">
        <v>40056</v>
      </c>
      <c r="J45" s="237">
        <v>40147</v>
      </c>
      <c r="K45" s="237">
        <v>40237</v>
      </c>
      <c r="L45" s="237">
        <v>40329</v>
      </c>
      <c r="M45" s="237">
        <v>40421</v>
      </c>
      <c r="N45" s="237">
        <v>40512</v>
      </c>
      <c r="O45" s="237">
        <v>40602</v>
      </c>
      <c r="P45" s="237">
        <v>40694</v>
      </c>
      <c r="Q45" s="237">
        <v>40786</v>
      </c>
      <c r="R45" s="237">
        <v>40877</v>
      </c>
      <c r="S45" s="237">
        <v>40967</v>
      </c>
      <c r="T45" s="237">
        <v>41060</v>
      </c>
      <c r="U45" s="237">
        <v>41152</v>
      </c>
      <c r="V45" s="237">
        <v>41243</v>
      </c>
      <c r="W45" s="238">
        <v>41333</v>
      </c>
      <c r="X45" s="238">
        <f t="shared" ref="X45:BB45" si="55">X7</f>
        <v>41425</v>
      </c>
      <c r="Y45" s="238">
        <f t="shared" si="55"/>
        <v>41517</v>
      </c>
      <c r="Z45" s="238">
        <f t="shared" si="55"/>
        <v>41608</v>
      </c>
      <c r="AA45" s="238">
        <f t="shared" si="55"/>
        <v>41698</v>
      </c>
      <c r="AB45" s="238">
        <f t="shared" si="55"/>
        <v>41790</v>
      </c>
      <c r="AC45" s="238">
        <f t="shared" si="55"/>
        <v>41882</v>
      </c>
      <c r="AD45" s="238">
        <f t="shared" si="55"/>
        <v>41973</v>
      </c>
      <c r="AE45" s="238">
        <f t="shared" si="55"/>
        <v>42063</v>
      </c>
      <c r="AF45" s="238">
        <f t="shared" si="55"/>
        <v>42155</v>
      </c>
      <c r="AG45" s="238">
        <f t="shared" si="55"/>
        <v>42247</v>
      </c>
      <c r="AH45" s="238">
        <f t="shared" si="55"/>
        <v>42338</v>
      </c>
      <c r="AI45" s="238">
        <f t="shared" si="55"/>
        <v>42429</v>
      </c>
      <c r="AJ45" s="238">
        <f t="shared" si="55"/>
        <v>42521</v>
      </c>
      <c r="AK45" s="238">
        <f t="shared" si="55"/>
        <v>42613</v>
      </c>
      <c r="AL45" s="238">
        <f t="shared" si="55"/>
        <v>42704</v>
      </c>
      <c r="AM45" s="238">
        <f t="shared" si="55"/>
        <v>42794</v>
      </c>
      <c r="AN45" s="238">
        <f t="shared" si="55"/>
        <v>42886</v>
      </c>
      <c r="AO45" s="238">
        <f t="shared" si="55"/>
        <v>42978</v>
      </c>
      <c r="AP45" s="238">
        <f t="shared" si="55"/>
        <v>43069</v>
      </c>
      <c r="AQ45" s="238">
        <f t="shared" si="55"/>
        <v>43159</v>
      </c>
      <c r="AR45" s="238">
        <f t="shared" si="55"/>
        <v>43251</v>
      </c>
      <c r="AS45" s="238">
        <f t="shared" si="55"/>
        <v>43343</v>
      </c>
      <c r="AT45" s="238">
        <f t="shared" si="55"/>
        <v>43434</v>
      </c>
      <c r="AU45" s="238">
        <f t="shared" si="55"/>
        <v>43524</v>
      </c>
      <c r="AV45" s="238">
        <f t="shared" si="55"/>
        <v>43616</v>
      </c>
      <c r="AW45" s="238">
        <f t="shared" si="55"/>
        <v>43708</v>
      </c>
      <c r="AX45" s="238">
        <f t="shared" si="55"/>
        <v>43799</v>
      </c>
      <c r="AY45" s="238">
        <f t="shared" si="55"/>
        <v>43890</v>
      </c>
      <c r="AZ45" s="238">
        <f t="shared" si="55"/>
        <v>43982</v>
      </c>
      <c r="BA45" s="238">
        <f t="shared" si="55"/>
        <v>44074</v>
      </c>
      <c r="BB45" s="238">
        <f t="shared" si="55"/>
        <v>44165</v>
      </c>
      <c r="BC45" s="238">
        <v>44255</v>
      </c>
      <c r="BD45" s="238">
        <v>44347</v>
      </c>
      <c r="BE45" s="238">
        <v>44439</v>
      </c>
      <c r="BF45" s="238">
        <v>44530</v>
      </c>
      <c r="BG45" s="238">
        <v>44620</v>
      </c>
      <c r="BH45" s="238">
        <v>44712</v>
      </c>
      <c r="BI45" s="238">
        <v>44804</v>
      </c>
      <c r="BJ45" s="238">
        <v>44895</v>
      </c>
      <c r="BK45" s="238">
        <v>44985</v>
      </c>
      <c r="BL45" s="238">
        <v>45077</v>
      </c>
      <c r="BM45" s="238">
        <v>45169</v>
      </c>
      <c r="BN45" s="238">
        <v>45260</v>
      </c>
      <c r="BO45" s="238">
        <v>45351</v>
      </c>
      <c r="BP45" s="238">
        <v>45443</v>
      </c>
      <c r="BQ45" s="238">
        <v>45535</v>
      </c>
      <c r="BR45" s="238">
        <v>45626</v>
      </c>
      <c r="BS45" s="238">
        <v>45716</v>
      </c>
      <c r="BT45" s="238">
        <v>45808</v>
      </c>
      <c r="BU45" s="238">
        <v>45900</v>
      </c>
      <c r="BV45" s="55"/>
      <c r="BW45" s="56">
        <f t="shared" si="54"/>
        <v>41698</v>
      </c>
      <c r="BX45" s="56">
        <f t="shared" si="54"/>
        <v>42063</v>
      </c>
      <c r="BY45" s="56">
        <f t="shared" si="54"/>
        <v>42429</v>
      </c>
      <c r="BZ45" s="56">
        <f t="shared" si="54"/>
        <v>42794</v>
      </c>
      <c r="CA45" s="56">
        <f t="shared" si="54"/>
        <v>43159</v>
      </c>
      <c r="CB45" s="56">
        <f t="shared" si="54"/>
        <v>43524</v>
      </c>
      <c r="CC45" s="56">
        <f t="shared" si="54"/>
        <v>43890</v>
      </c>
      <c r="CD45" s="56">
        <v>44255</v>
      </c>
      <c r="CE45" s="56">
        <v>44620</v>
      </c>
      <c r="CF45" s="56">
        <v>44985</v>
      </c>
      <c r="CG45" s="56">
        <v>45351</v>
      </c>
      <c r="CH45" s="56">
        <v>45716</v>
      </c>
    </row>
    <row r="46" spans="1:86" ht="5.25" customHeight="1" x14ac:dyDescent="0.35">
      <c r="A46" s="6"/>
      <c r="B46" s="10"/>
      <c r="C46" s="59"/>
      <c r="D46" s="10"/>
      <c r="E46" s="59"/>
      <c r="F46" s="59"/>
      <c r="G46" s="59"/>
      <c r="H46" s="10"/>
      <c r="I46" s="59"/>
      <c r="J46" s="59"/>
      <c r="K46" s="59"/>
      <c r="L46" s="10"/>
      <c r="M46" s="59"/>
      <c r="N46" s="59"/>
      <c r="O46" s="59"/>
      <c r="P46" s="10"/>
      <c r="Q46" s="59"/>
      <c r="R46" s="59"/>
      <c r="S46" s="59"/>
      <c r="T46" s="10"/>
      <c r="U46" s="59"/>
      <c r="V46" s="59"/>
      <c r="W46" s="59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241"/>
      <c r="BU46" s="241"/>
      <c r="BV46" s="55"/>
      <c r="BW46" s="57"/>
      <c r="BX46" s="57"/>
      <c r="BY46" s="63"/>
      <c r="BZ46" s="63"/>
      <c r="CA46" s="63"/>
      <c r="CB46" s="63"/>
      <c r="CC46" s="63"/>
      <c r="CD46" s="63"/>
      <c r="CE46" s="63"/>
      <c r="CF46" s="63"/>
      <c r="CG46" s="63"/>
      <c r="CH46" s="63"/>
    </row>
    <row r="47" spans="1:86" ht="14.5" x14ac:dyDescent="0.35">
      <c r="A47" s="20"/>
      <c r="B47" s="28" t="str">
        <f>IF(Control!$D$5=1,"Net Revenues","Receita Líquida")</f>
        <v>Receita Líquida</v>
      </c>
      <c r="C47" s="69" t="s">
        <v>3</v>
      </c>
      <c r="D47" s="69" t="s">
        <v>3</v>
      </c>
      <c r="E47" s="69" t="s">
        <v>3</v>
      </c>
      <c r="F47" s="69" t="s">
        <v>3</v>
      </c>
      <c r="G47" s="69" t="s">
        <v>3</v>
      </c>
      <c r="H47" s="69" t="s">
        <v>3</v>
      </c>
      <c r="I47" s="69" t="s">
        <v>3</v>
      </c>
      <c r="J47" s="69" t="s">
        <v>3</v>
      </c>
      <c r="K47" s="69" t="s">
        <v>3</v>
      </c>
      <c r="L47" s="69" t="s">
        <v>3</v>
      </c>
      <c r="M47" s="69" t="s">
        <v>3</v>
      </c>
      <c r="N47" s="69" t="s">
        <v>3</v>
      </c>
      <c r="O47" s="69" t="s">
        <v>3</v>
      </c>
      <c r="P47" s="69" t="s">
        <v>3</v>
      </c>
      <c r="Q47" s="69" t="s">
        <v>3</v>
      </c>
      <c r="R47" s="69" t="s">
        <v>3</v>
      </c>
      <c r="S47" s="69" t="s">
        <v>3</v>
      </c>
      <c r="T47" s="69" t="s">
        <v>3</v>
      </c>
      <c r="U47" s="69" t="s">
        <v>3</v>
      </c>
      <c r="V47" s="69" t="s">
        <v>3</v>
      </c>
      <c r="W47" s="69" t="s">
        <v>3</v>
      </c>
      <c r="X47" s="90">
        <v>195.74</v>
      </c>
      <c r="Y47" s="90">
        <v>237.03199999999998</v>
      </c>
      <c r="Z47" s="90">
        <v>265.60999999999996</v>
      </c>
      <c r="AA47" s="90">
        <v>243.26000000000016</v>
      </c>
      <c r="AB47" s="90">
        <v>261.19200000000001</v>
      </c>
      <c r="AC47" s="90">
        <v>274.255</v>
      </c>
      <c r="AD47" s="90">
        <v>282.83500000000004</v>
      </c>
      <c r="AE47" s="90">
        <v>256.87599999999986</v>
      </c>
      <c r="AF47" s="90">
        <v>301.43700000000001</v>
      </c>
      <c r="AG47" s="90">
        <v>336.58100000000002</v>
      </c>
      <c r="AH47" s="90">
        <v>370.29199999999992</v>
      </c>
      <c r="AI47" s="90">
        <v>285.30400000000009</v>
      </c>
      <c r="AJ47" s="90">
        <v>331.68099999999998</v>
      </c>
      <c r="AK47" s="90">
        <v>294.44400000000002</v>
      </c>
      <c r="AL47" s="90">
        <v>318.32700000000006</v>
      </c>
      <c r="AM47" s="90">
        <v>320.0080000000001</v>
      </c>
      <c r="AN47" s="90">
        <v>294.53500000000003</v>
      </c>
      <c r="AO47" s="70">
        <v>347.44699999999995</v>
      </c>
      <c r="AP47" s="90">
        <v>340.21800000000007</v>
      </c>
      <c r="AQ47" s="90">
        <v>349.29999999999995</v>
      </c>
      <c r="AR47" s="90">
        <v>304</v>
      </c>
      <c r="AS47" s="90">
        <v>344.70000000000005</v>
      </c>
      <c r="AT47" s="90">
        <v>409.29999999999995</v>
      </c>
      <c r="AU47" s="90">
        <v>344.4</v>
      </c>
      <c r="AV47" s="90">
        <v>295.60000000000002</v>
      </c>
      <c r="AW47" s="90">
        <v>337.12700000000001</v>
      </c>
      <c r="AX47" s="90">
        <v>441.30499999999984</v>
      </c>
      <c r="AY47" s="90">
        <v>407.28399999999999</v>
      </c>
      <c r="AZ47" s="90">
        <v>518.73699999999997</v>
      </c>
      <c r="BA47" s="90">
        <v>570.15700000000004</v>
      </c>
      <c r="BB47" s="90">
        <v>552.46199999999999</v>
      </c>
      <c r="BC47" s="90">
        <v>470.22</v>
      </c>
      <c r="BD47" s="90">
        <v>502.93599999999998</v>
      </c>
      <c r="BE47" s="90">
        <v>548.70600000000002</v>
      </c>
      <c r="BF47" s="90">
        <v>610.49159322874129</v>
      </c>
      <c r="BG47" s="90">
        <v>633.76673705981955</v>
      </c>
      <c r="BH47" s="90">
        <v>529.32600000000002</v>
      </c>
      <c r="BI47" s="90">
        <v>822.36599999999999</v>
      </c>
      <c r="BJ47" s="90">
        <v>718.33299999999997</v>
      </c>
      <c r="BK47" s="90">
        <v>544.31200000000001</v>
      </c>
      <c r="BL47" s="90">
        <v>663.21500000000003</v>
      </c>
      <c r="BM47" s="90">
        <v>759.65342200048315</v>
      </c>
      <c r="BN47" s="90">
        <v>853.92499999999995</v>
      </c>
      <c r="BO47" s="90">
        <v>581.1740423500687</v>
      </c>
      <c r="BP47" s="90">
        <v>711.55100000000004</v>
      </c>
      <c r="BQ47" s="70">
        <v>904.35299999999995</v>
      </c>
      <c r="BR47" s="70">
        <v>910.25800000000004</v>
      </c>
      <c r="BS47" s="70">
        <v>822.27099999999996</v>
      </c>
      <c r="BT47" s="70">
        <v>754.66599999999994</v>
      </c>
      <c r="BU47" s="70">
        <v>914.00199999999995</v>
      </c>
      <c r="BV47" s="55"/>
      <c r="BW47" s="90">
        <v>941.64200000000005</v>
      </c>
      <c r="BX47" s="90">
        <v>1075.1579999999999</v>
      </c>
      <c r="BY47" s="90">
        <v>1293.614</v>
      </c>
      <c r="BZ47" s="90">
        <v>1264.5</v>
      </c>
      <c r="CA47" s="90">
        <v>1331.5</v>
      </c>
      <c r="CB47" s="90">
        <v>1402.5039999999999</v>
      </c>
      <c r="CC47" s="90">
        <v>1481.3159999999998</v>
      </c>
      <c r="CD47" s="90">
        <v>2111.5770000000002</v>
      </c>
      <c r="CE47" s="90">
        <v>2290.142534608498</v>
      </c>
      <c r="CF47" s="90">
        <v>2614.337</v>
      </c>
      <c r="CG47" s="90">
        <v>2857.9674643505518</v>
      </c>
      <c r="CH47" s="90">
        <v>3348.433</v>
      </c>
    </row>
    <row r="48" spans="1:86" ht="14.5" x14ac:dyDescent="0.35">
      <c r="B48" s="29" t="str">
        <f>IF(Control!$D$5=1,"(-) Cost of Sales and Services","(-) Custo das Vendas e Serviços")</f>
        <v>(-) Custo das Vendas e Serviços</v>
      </c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58">
        <f t="shared" ref="X48:AP48" si="56">X49-X47</f>
        <v>-139.857</v>
      </c>
      <c r="Y48" s="58">
        <f t="shared" si="56"/>
        <v>-178.226</v>
      </c>
      <c r="Z48" s="58">
        <f t="shared" si="56"/>
        <v>-217.42999999999995</v>
      </c>
      <c r="AA48" s="58">
        <f t="shared" si="56"/>
        <v>-183.10200000000017</v>
      </c>
      <c r="AB48" s="58">
        <f t="shared" si="56"/>
        <v>-203.34300000000002</v>
      </c>
      <c r="AC48" s="58">
        <f t="shared" si="56"/>
        <v>-212.38299999999998</v>
      </c>
      <c r="AD48" s="58">
        <f t="shared" si="56"/>
        <v>-222.96400000000003</v>
      </c>
      <c r="AE48" s="58">
        <f t="shared" si="56"/>
        <v>-199.50699999999986</v>
      </c>
      <c r="AF48" s="58">
        <f t="shared" si="56"/>
        <v>-232.685</v>
      </c>
      <c r="AG48" s="58">
        <f t="shared" si="56"/>
        <v>-254.464</v>
      </c>
      <c r="AH48" s="58">
        <f t="shared" si="56"/>
        <v>-282.71099999999996</v>
      </c>
      <c r="AI48" s="58">
        <f t="shared" si="56"/>
        <v>-217.67800000000005</v>
      </c>
      <c r="AJ48" s="58">
        <f t="shared" si="56"/>
        <v>-256.70499999999998</v>
      </c>
      <c r="AK48" s="58">
        <f t="shared" si="56"/>
        <v>-206.97900000000001</v>
      </c>
      <c r="AL48" s="58">
        <f t="shared" si="56"/>
        <v>-237.38700000000006</v>
      </c>
      <c r="AM48" s="58">
        <f t="shared" si="56"/>
        <v>-235.34400000000008</v>
      </c>
      <c r="AN48" s="58">
        <f t="shared" si="56"/>
        <v>-220.08200000000002</v>
      </c>
      <c r="AO48" s="71">
        <f t="shared" si="56"/>
        <v>-257.02699999999993</v>
      </c>
      <c r="AP48" s="58">
        <f t="shared" si="56"/>
        <v>-246.89600000000007</v>
      </c>
      <c r="AQ48" s="58">
        <v>-256.19499999999994</v>
      </c>
      <c r="AR48" s="58">
        <v>-218.2</v>
      </c>
      <c r="AS48" s="58">
        <v>-240.8</v>
      </c>
      <c r="AT48" s="58">
        <v>-298.89999999999998</v>
      </c>
      <c r="AU48" s="58">
        <v>-247.9</v>
      </c>
      <c r="AV48" s="58">
        <v>-211</v>
      </c>
      <c r="AW48" s="58">
        <v>-246.89</v>
      </c>
      <c r="AX48" s="58">
        <v>-329.82399999999996</v>
      </c>
      <c r="AY48" s="58">
        <v>-302.87099999999998</v>
      </c>
      <c r="AZ48" s="58">
        <v>-371.28300000000002</v>
      </c>
      <c r="BA48" s="58">
        <v>-412.47699999999998</v>
      </c>
      <c r="BB48" s="58">
        <v>-408.447</v>
      </c>
      <c r="BC48" s="58">
        <v>-356.29261650784781</v>
      </c>
      <c r="BD48" s="58">
        <v>-371.07900000000001</v>
      </c>
      <c r="BE48" s="58">
        <v>-415.93777963906115</v>
      </c>
      <c r="BF48" s="58">
        <v>-453.85271355748722</v>
      </c>
      <c r="BG48" s="58">
        <v>-469.1256046216921</v>
      </c>
      <c r="BH48" s="58">
        <v>-386.67700000000002</v>
      </c>
      <c r="BI48" s="58">
        <v>-614.72799999999995</v>
      </c>
      <c r="BJ48" s="58">
        <v>-546.12599999999998</v>
      </c>
      <c r="BK48" s="58">
        <v>-413.60599999999999</v>
      </c>
      <c r="BL48" s="58">
        <v>-512.197</v>
      </c>
      <c r="BM48" s="58">
        <v>-589.39931340117107</v>
      </c>
      <c r="BN48" s="58">
        <v>-660.51199999999994</v>
      </c>
      <c r="BO48" s="58">
        <v>-443.14194845044892</v>
      </c>
      <c r="BP48" s="58">
        <v>-541.80899999999997</v>
      </c>
      <c r="BQ48" s="71">
        <v>-688.76300000000003</v>
      </c>
      <c r="BR48" s="71">
        <v>-717.22900000000004</v>
      </c>
      <c r="BS48" s="71">
        <v>-638.13199999999995</v>
      </c>
      <c r="BT48" s="71">
        <v>-569.43399999999997</v>
      </c>
      <c r="BU48" s="71">
        <v>-705.65300000000002</v>
      </c>
      <c r="BV48" s="119"/>
      <c r="BW48" s="58">
        <f>BW49-BW47</f>
        <v>-718.61500000000001</v>
      </c>
      <c r="BX48" s="58">
        <f>BX49-BX47</f>
        <v>-838.19699999999989</v>
      </c>
      <c r="BY48" s="58">
        <f>BY49-BY47</f>
        <v>-987.53800000000001</v>
      </c>
      <c r="BZ48" s="58">
        <v>-936.4</v>
      </c>
      <c r="CA48" s="58">
        <v>-980.2</v>
      </c>
      <c r="CB48" s="58">
        <v>-1005.747</v>
      </c>
      <c r="CC48" s="58">
        <v>-1090.585</v>
      </c>
      <c r="CD48" s="58">
        <v>-1548.5</v>
      </c>
      <c r="CE48" s="58">
        <v>-1704.2357324682405</v>
      </c>
      <c r="CF48" s="58">
        <v>-1961.1369999999999</v>
      </c>
      <c r="CG48" s="58">
        <v>-2205.2502618516201</v>
      </c>
      <c r="CH48" s="58">
        <v>-2585.933</v>
      </c>
    </row>
    <row r="49" spans="1:86" ht="14.5" x14ac:dyDescent="0.35">
      <c r="B49" s="28" t="str">
        <f>IF(Control!$D$5=1,"Gross Profit","Lucro Bruto")</f>
        <v>Lucro Bruto</v>
      </c>
      <c r="C49" s="69" t="s">
        <v>3</v>
      </c>
      <c r="D49" s="69" t="s">
        <v>3</v>
      </c>
      <c r="E49" s="69" t="s">
        <v>3</v>
      </c>
      <c r="F49" s="69" t="s">
        <v>3</v>
      </c>
      <c r="G49" s="69" t="s">
        <v>3</v>
      </c>
      <c r="H49" s="69" t="s">
        <v>3</v>
      </c>
      <c r="I49" s="69" t="s">
        <v>3</v>
      </c>
      <c r="J49" s="69" t="s">
        <v>3</v>
      </c>
      <c r="K49" s="69" t="s">
        <v>3</v>
      </c>
      <c r="L49" s="69" t="s">
        <v>3</v>
      </c>
      <c r="M49" s="69" t="s">
        <v>3</v>
      </c>
      <c r="N49" s="69" t="s">
        <v>3</v>
      </c>
      <c r="O49" s="69" t="s">
        <v>3</v>
      </c>
      <c r="P49" s="69" t="s">
        <v>3</v>
      </c>
      <c r="Q49" s="69" t="s">
        <v>3</v>
      </c>
      <c r="R49" s="69" t="s">
        <v>3</v>
      </c>
      <c r="S49" s="69" t="s">
        <v>3</v>
      </c>
      <c r="T49" s="69" t="s">
        <v>3</v>
      </c>
      <c r="U49" s="69" t="s">
        <v>3</v>
      </c>
      <c r="V49" s="69" t="s">
        <v>3</v>
      </c>
      <c r="W49" s="69" t="s">
        <v>3</v>
      </c>
      <c r="X49" s="90">
        <v>55.883000000000003</v>
      </c>
      <c r="Y49" s="90">
        <v>58.80599999999999</v>
      </c>
      <c r="Z49" s="90">
        <v>48.180000000000014</v>
      </c>
      <c r="AA49" s="90">
        <v>60.157999999999994</v>
      </c>
      <c r="AB49" s="90">
        <v>57.848999999999997</v>
      </c>
      <c r="AC49" s="90">
        <v>61.872000000000007</v>
      </c>
      <c r="AD49" s="90">
        <v>59.871000000000002</v>
      </c>
      <c r="AE49" s="90">
        <v>57.368999999999993</v>
      </c>
      <c r="AF49" s="90">
        <v>68.751999999999995</v>
      </c>
      <c r="AG49" s="90">
        <v>82.117000000000004</v>
      </c>
      <c r="AH49" s="90">
        <v>87.580999999999975</v>
      </c>
      <c r="AI49" s="90">
        <v>67.626000000000047</v>
      </c>
      <c r="AJ49" s="90">
        <v>74.975999999999999</v>
      </c>
      <c r="AK49" s="90">
        <v>87.465000000000003</v>
      </c>
      <c r="AL49" s="90">
        <v>80.94</v>
      </c>
      <c r="AM49" s="90">
        <v>84.664000000000016</v>
      </c>
      <c r="AN49" s="90">
        <v>74.453000000000003</v>
      </c>
      <c r="AO49" s="70">
        <v>90.419999999999987</v>
      </c>
      <c r="AP49" s="90">
        <v>93.322000000000003</v>
      </c>
      <c r="AQ49" s="90">
        <f>AQ47+AQ48</f>
        <v>93.105000000000018</v>
      </c>
      <c r="AR49" s="90">
        <f>SUM(AR47:AR48)</f>
        <v>85.800000000000011</v>
      </c>
      <c r="AS49" s="90">
        <f>SUM(AS47:AS48)</f>
        <v>103.90000000000003</v>
      </c>
      <c r="AT49" s="90">
        <v>110.39999999999998</v>
      </c>
      <c r="AU49" s="90">
        <v>96.5</v>
      </c>
      <c r="AV49" s="90">
        <v>84.600000000000023</v>
      </c>
      <c r="AW49" s="90">
        <v>90.237000000000023</v>
      </c>
      <c r="AX49" s="90">
        <v>111.48099999999988</v>
      </c>
      <c r="AY49" s="90">
        <v>104.41300000000001</v>
      </c>
      <c r="AZ49" s="90">
        <v>147.45399999999995</v>
      </c>
      <c r="BA49" s="90">
        <v>157.68000000000006</v>
      </c>
      <c r="BB49" s="90">
        <v>144.01499999999999</v>
      </c>
      <c r="BC49" s="90">
        <v>113.92738349215222</v>
      </c>
      <c r="BD49" s="90">
        <v>131.85699999999997</v>
      </c>
      <c r="BE49" s="90">
        <v>132.76822036093887</v>
      </c>
      <c r="BF49" s="90">
        <v>156.63887987308163</v>
      </c>
      <c r="BG49" s="90">
        <v>164.64113243812744</v>
      </c>
      <c r="BH49" s="90">
        <v>142.649</v>
      </c>
      <c r="BI49" s="90">
        <v>207.63800000000003</v>
      </c>
      <c r="BJ49" s="90">
        <v>172.20699999999999</v>
      </c>
      <c r="BK49" s="90">
        <v>130.70600000000002</v>
      </c>
      <c r="BL49" s="90">
        <v>151.01800000000003</v>
      </c>
      <c r="BM49" s="90">
        <v>170.25410859931208</v>
      </c>
      <c r="BN49" s="90">
        <v>193.41300000000001</v>
      </c>
      <c r="BO49" s="90">
        <v>138.03209389961978</v>
      </c>
      <c r="BP49" s="90">
        <v>169.74199999999999</v>
      </c>
      <c r="BQ49" s="70">
        <v>215.58999999999992</v>
      </c>
      <c r="BR49" s="70">
        <v>193.029</v>
      </c>
      <c r="BS49" s="70">
        <v>184.13900000000001</v>
      </c>
      <c r="BT49" s="70">
        <f>BT47+BT48</f>
        <v>185.23199999999997</v>
      </c>
      <c r="BU49" s="70">
        <f>BU47+BU48</f>
        <v>208.34899999999993</v>
      </c>
      <c r="BV49" s="55"/>
      <c r="BW49" s="90">
        <v>223.02699999999999</v>
      </c>
      <c r="BX49" s="90">
        <v>236.96100000000001</v>
      </c>
      <c r="BY49" s="90">
        <v>306.07600000000002</v>
      </c>
      <c r="BZ49" s="90">
        <v>328.1</v>
      </c>
      <c r="CA49" s="90">
        <v>351.29999999999995</v>
      </c>
      <c r="CB49" s="90">
        <v>396.75700000000001</v>
      </c>
      <c r="CC49" s="90">
        <v>390.73099999999994</v>
      </c>
      <c r="CD49" s="90">
        <v>563.07700000000023</v>
      </c>
      <c r="CE49" s="90">
        <v>585.90523267214792</v>
      </c>
      <c r="CF49" s="90">
        <v>653.20000000000005</v>
      </c>
      <c r="CG49" s="90">
        <v>652.7172024989319</v>
      </c>
      <c r="CH49" s="90">
        <v>762.5</v>
      </c>
    </row>
    <row r="50" spans="1:86" ht="14.5" x14ac:dyDescent="0.35">
      <c r="B50" s="29" t="str">
        <f>IF(Control!$D$5=1,"(-) SG&amp;A Expenses","(-) Despesas com Vendas, Gerais e Administrativas")</f>
        <v>(-) Despesas com Vendas, Gerais e Administrativas</v>
      </c>
      <c r="C50" s="69" t="s">
        <v>3</v>
      </c>
      <c r="D50" s="69" t="s">
        <v>3</v>
      </c>
      <c r="E50" s="69" t="s">
        <v>3</v>
      </c>
      <c r="F50" s="69" t="s">
        <v>3</v>
      </c>
      <c r="G50" s="69" t="s">
        <v>3</v>
      </c>
      <c r="H50" s="69" t="s">
        <v>3</v>
      </c>
      <c r="I50" s="69" t="s">
        <v>3</v>
      </c>
      <c r="J50" s="69" t="s">
        <v>3</v>
      </c>
      <c r="K50" s="69" t="s">
        <v>3</v>
      </c>
      <c r="L50" s="69" t="s">
        <v>3</v>
      </c>
      <c r="M50" s="69" t="s">
        <v>3</v>
      </c>
      <c r="N50" s="69" t="s">
        <v>3</v>
      </c>
      <c r="O50" s="69" t="s">
        <v>3</v>
      </c>
      <c r="P50" s="69" t="s">
        <v>3</v>
      </c>
      <c r="Q50" s="69" t="s">
        <v>3</v>
      </c>
      <c r="R50" s="69" t="s">
        <v>3</v>
      </c>
      <c r="S50" s="69" t="s">
        <v>3</v>
      </c>
      <c r="T50" s="69" t="s">
        <v>3</v>
      </c>
      <c r="U50" s="69" t="s">
        <v>3</v>
      </c>
      <c r="V50" s="69" t="s">
        <v>3</v>
      </c>
      <c r="W50" s="69" t="s">
        <v>3</v>
      </c>
      <c r="X50" s="58">
        <v>-36.408000000000001</v>
      </c>
      <c r="Y50" s="58">
        <v>-50.981999999999999</v>
      </c>
      <c r="Z50" s="58">
        <v>-41.614999999999995</v>
      </c>
      <c r="AA50" s="58">
        <v>-40.677999999999983</v>
      </c>
      <c r="AB50" s="58">
        <v>-41.448</v>
      </c>
      <c r="AC50" s="58">
        <v>-44.198</v>
      </c>
      <c r="AD50" s="58">
        <v>-42.856000000000002</v>
      </c>
      <c r="AE50" s="58">
        <v>-44.434000000000005</v>
      </c>
      <c r="AF50" s="58">
        <v>-48.314999999999998</v>
      </c>
      <c r="AG50" s="58">
        <v>-52.356000000000009</v>
      </c>
      <c r="AH50" s="58">
        <v>-59.14</v>
      </c>
      <c r="AI50" s="58">
        <v>-53.472999999999999</v>
      </c>
      <c r="AJ50" s="58">
        <v>-56.871000000000002</v>
      </c>
      <c r="AK50" s="58">
        <v>-56.112999999999992</v>
      </c>
      <c r="AL50" s="58">
        <v>-63.085999999999991</v>
      </c>
      <c r="AM50" s="58">
        <v>-62.81600000000001</v>
      </c>
      <c r="AN50" s="58">
        <v>-54.177999999999997</v>
      </c>
      <c r="AO50" s="71">
        <v>-60.868000000000009</v>
      </c>
      <c r="AP50" s="58">
        <v>-60.112999999999985</v>
      </c>
      <c r="AQ50" s="58">
        <v>-67.540999999999997</v>
      </c>
      <c r="AR50" s="58">
        <v>-57.9</v>
      </c>
      <c r="AS50" s="58">
        <v>-69</v>
      </c>
      <c r="AT50" s="58">
        <v>-74.900000000000006</v>
      </c>
      <c r="AU50" s="58">
        <v>-72.2</v>
      </c>
      <c r="AV50" s="58">
        <v>-59.300000000000004</v>
      </c>
      <c r="AW50" s="58">
        <v>-66.134</v>
      </c>
      <c r="AX50" s="58">
        <v>-79.22199999999998</v>
      </c>
      <c r="AY50" s="58">
        <v>-73.965999999999994</v>
      </c>
      <c r="AZ50" s="58">
        <v>-94.100000000000009</v>
      </c>
      <c r="BA50" s="58">
        <v>-102.003</v>
      </c>
      <c r="BB50" s="58">
        <v>-99.138999999999982</v>
      </c>
      <c r="BC50" s="58">
        <v>-87.753729975000141</v>
      </c>
      <c r="BD50" s="58">
        <v>-86.114999999999995</v>
      </c>
      <c r="BE50" s="58">
        <v>-91.058492310614653</v>
      </c>
      <c r="BF50" s="58">
        <v>-110.30203120634592</v>
      </c>
      <c r="BG50" s="58">
        <v>-128.93515676266315</v>
      </c>
      <c r="BH50" s="58">
        <v>-110.93129305411969</v>
      </c>
      <c r="BI50" s="58">
        <v>-154.0077069458803</v>
      </c>
      <c r="BJ50" s="58">
        <v>-127.876</v>
      </c>
      <c r="BK50" s="58">
        <v>-110.58399999999999</v>
      </c>
      <c r="BL50" s="58">
        <v>-118.52100000000002</v>
      </c>
      <c r="BM50" s="58">
        <v>-119.717</v>
      </c>
      <c r="BN50" s="58">
        <v>-131.66</v>
      </c>
      <c r="BO50" s="58">
        <v>-105.85899999999999</v>
      </c>
      <c r="BP50" s="58">
        <v>-120.95099999999999</v>
      </c>
      <c r="BQ50" s="71">
        <v>-146.345</v>
      </c>
      <c r="BR50" s="71">
        <v>-126.071</v>
      </c>
      <c r="BS50" s="71">
        <v>-140.64400000000001</v>
      </c>
      <c r="BT50" s="71">
        <v>-138.041</v>
      </c>
      <c r="BU50" s="71">
        <v>-168.125</v>
      </c>
      <c r="BV50" s="55"/>
      <c r="BW50" s="58">
        <v>-169.68299999999999</v>
      </c>
      <c r="BX50" s="58">
        <v>-172.93600000000001</v>
      </c>
      <c r="BY50" s="58">
        <v>-213.28399999999999</v>
      </c>
      <c r="BZ50" s="58">
        <v>-238.9</v>
      </c>
      <c r="CA50" s="58">
        <v>-242.7</v>
      </c>
      <c r="CB50" s="58">
        <f>-236.438-37.589</f>
        <v>-274.02699999999999</v>
      </c>
      <c r="CC50" s="58">
        <v>-278.62199999999996</v>
      </c>
      <c r="CD50" s="58">
        <v>-382.99623351551497</v>
      </c>
      <c r="CE50" s="58">
        <v>-416.4106802796237</v>
      </c>
      <c r="CF50" s="58">
        <v>-503.399</v>
      </c>
      <c r="CG50" s="58">
        <v>-475.75700000000001</v>
      </c>
      <c r="CH50" s="58">
        <v>-534.01099999999997</v>
      </c>
    </row>
    <row r="51" spans="1:86" ht="14.5" x14ac:dyDescent="0.35">
      <c r="B51" s="29" t="str">
        <f>IF(Control!$D$5=1,"(+/-) Other operating income (expenses) and Equity (Earnings)/Losses in Uncons. Subs.","(+/-) Outras receitas (despesas) operacionais e Resultado da Equivalência Patrimonial")</f>
        <v>(+/-) Outras receitas (despesas) operacionais e Resultado da Equivalência Patrimonial</v>
      </c>
      <c r="C51" s="69" t="s">
        <v>3</v>
      </c>
      <c r="D51" s="69" t="s">
        <v>3</v>
      </c>
      <c r="E51" s="69" t="s">
        <v>3</v>
      </c>
      <c r="F51" s="69" t="s">
        <v>3</v>
      </c>
      <c r="G51" s="69" t="s">
        <v>3</v>
      </c>
      <c r="H51" s="69" t="s">
        <v>3</v>
      </c>
      <c r="I51" s="69" t="s">
        <v>3</v>
      </c>
      <c r="J51" s="69" t="s">
        <v>3</v>
      </c>
      <c r="K51" s="69" t="s">
        <v>3</v>
      </c>
      <c r="L51" s="69" t="s">
        <v>3</v>
      </c>
      <c r="M51" s="69" t="s">
        <v>3</v>
      </c>
      <c r="N51" s="69" t="s">
        <v>3</v>
      </c>
      <c r="O51" s="69" t="s">
        <v>3</v>
      </c>
      <c r="P51" s="69" t="s">
        <v>3</v>
      </c>
      <c r="Q51" s="69" t="s">
        <v>3</v>
      </c>
      <c r="R51" s="69" t="s">
        <v>3</v>
      </c>
      <c r="S51" s="69" t="s">
        <v>3</v>
      </c>
      <c r="T51" s="69" t="s">
        <v>3</v>
      </c>
      <c r="U51" s="69" t="s">
        <v>3</v>
      </c>
      <c r="V51" s="69" t="s">
        <v>3</v>
      </c>
      <c r="W51" s="69" t="s">
        <v>3</v>
      </c>
      <c r="X51" s="58">
        <v>0.44500000000000001</v>
      </c>
      <c r="Y51" s="58">
        <v>10.328999999999999</v>
      </c>
      <c r="Z51" s="58">
        <v>2.5430000000000015</v>
      </c>
      <c r="AA51" s="58">
        <v>1.587</v>
      </c>
      <c r="AB51" s="58">
        <v>2.3650000000000002</v>
      </c>
      <c r="AC51" s="58">
        <v>2.7629999999999999</v>
      </c>
      <c r="AD51" s="58">
        <v>2.3019999999999996</v>
      </c>
      <c r="AE51" s="58">
        <v>2.2390000000000008</v>
      </c>
      <c r="AF51" s="58">
        <v>1.1559999999999999</v>
      </c>
      <c r="AG51" s="58">
        <v>-0.7669999999999999</v>
      </c>
      <c r="AH51" s="58">
        <v>1.5810000000000002</v>
      </c>
      <c r="AI51" s="58">
        <v>-7.4580000000000011</v>
      </c>
      <c r="AJ51" s="58">
        <v>-0.58499999999999996</v>
      </c>
      <c r="AK51" s="58">
        <v>0.68399999999999994</v>
      </c>
      <c r="AL51" s="58">
        <v>9.7570000000000014</v>
      </c>
      <c r="AM51" s="58">
        <v>-0.51800000000000224</v>
      </c>
      <c r="AN51" s="58">
        <v>2.7469999999999999</v>
      </c>
      <c r="AO51" s="71">
        <v>5.8000000000000274E-2</v>
      </c>
      <c r="AP51" s="58">
        <v>-0.38800000000000034</v>
      </c>
      <c r="AQ51" s="58">
        <v>-1.6999999999999904E-2</v>
      </c>
      <c r="AR51" s="58">
        <v>-1.9</v>
      </c>
      <c r="AS51" s="58">
        <v>16.599999999999998</v>
      </c>
      <c r="AT51" s="58">
        <v>-0.39999999999999858</v>
      </c>
      <c r="AU51" s="58">
        <v>2</v>
      </c>
      <c r="AV51" s="58">
        <v>0.3</v>
      </c>
      <c r="AW51" s="58">
        <v>-0.92200000000000004</v>
      </c>
      <c r="AX51" s="58">
        <v>-1.466</v>
      </c>
      <c r="AY51" s="58">
        <v>2.855</v>
      </c>
      <c r="AZ51" s="58">
        <v>0.47899999999999998</v>
      </c>
      <c r="BA51" s="58">
        <v>6.6000000000000003E-2</v>
      </c>
      <c r="BB51" s="58">
        <v>-1.694</v>
      </c>
      <c r="BC51" s="58">
        <v>1.0138597302790422</v>
      </c>
      <c r="BD51" s="58">
        <v>0.27700000000000002</v>
      </c>
      <c r="BE51" s="58">
        <v>6.8785076056442165</v>
      </c>
      <c r="BF51" s="58">
        <v>6.9534016727595507</v>
      </c>
      <c r="BG51" s="58">
        <v>42.007497608811242</v>
      </c>
      <c r="BH51" s="58">
        <v>3.1429999999999998</v>
      </c>
      <c r="BI51" s="58">
        <v>-1.8999999999999684E-2</v>
      </c>
      <c r="BJ51" s="58">
        <v>6.0000000000000001E-3</v>
      </c>
      <c r="BK51" s="58">
        <v>1.7270000000000001</v>
      </c>
      <c r="BL51" s="58">
        <v>1.538</v>
      </c>
      <c r="BM51" s="58">
        <v>3.0449999999999999</v>
      </c>
      <c r="BN51" s="58">
        <v>4.7309999999999999</v>
      </c>
      <c r="BO51" s="58">
        <v>-1.3540554659395858</v>
      </c>
      <c r="BP51" s="58">
        <v>2.395</v>
      </c>
      <c r="BQ51" s="71">
        <v>1.3129999999999999</v>
      </c>
      <c r="BR51" s="71">
        <v>2.8000000000000001E-2</v>
      </c>
      <c r="BS51" s="71">
        <v>-2.9990000000000001</v>
      </c>
      <c r="BT51" s="71">
        <v>0.98</v>
      </c>
      <c r="BU51" s="71">
        <v>5.2270000000000003</v>
      </c>
      <c r="BV51" s="55"/>
      <c r="BW51" s="58">
        <v>14.904</v>
      </c>
      <c r="BX51" s="58">
        <v>9.6690000000000005</v>
      </c>
      <c r="BY51" s="58">
        <v>-5.4880000000000004</v>
      </c>
      <c r="BZ51" s="58">
        <v>9.3000000000000007</v>
      </c>
      <c r="CA51" s="58">
        <v>2.4</v>
      </c>
      <c r="CB51" s="58">
        <v>16.38</v>
      </c>
      <c r="CC51" s="58">
        <v>0.7669999999999999</v>
      </c>
      <c r="CD51" s="58">
        <v>-0.13600000000000001</v>
      </c>
      <c r="CE51" s="58">
        <v>56.116406887215007</v>
      </c>
      <c r="CF51" s="58">
        <v>4.8550000000000004</v>
      </c>
      <c r="CG51" s="58">
        <v>7.9599445340604138</v>
      </c>
      <c r="CH51" s="58">
        <v>0.7370000000000001</v>
      </c>
    </row>
    <row r="52" spans="1:86" ht="14.5" x14ac:dyDescent="0.35">
      <c r="B52" s="28" t="str">
        <f>IF(Control!$D$5=1,"EBIT","Lucro Operacional (EBIT)")</f>
        <v>Lucro Operacional (EBIT)</v>
      </c>
      <c r="C52" s="69" t="s">
        <v>3</v>
      </c>
      <c r="D52" s="69" t="s">
        <v>3</v>
      </c>
      <c r="E52" s="69" t="s">
        <v>3</v>
      </c>
      <c r="F52" s="69" t="s">
        <v>3</v>
      </c>
      <c r="G52" s="69" t="s">
        <v>3</v>
      </c>
      <c r="H52" s="69" t="s">
        <v>3</v>
      </c>
      <c r="I52" s="69" t="s">
        <v>3</v>
      </c>
      <c r="J52" s="69" t="s">
        <v>3</v>
      </c>
      <c r="K52" s="69" t="s">
        <v>3</v>
      </c>
      <c r="L52" s="69" t="s">
        <v>3</v>
      </c>
      <c r="M52" s="69" t="s">
        <v>3</v>
      </c>
      <c r="N52" s="69" t="s">
        <v>3</v>
      </c>
      <c r="O52" s="69" t="s">
        <v>3</v>
      </c>
      <c r="P52" s="69" t="s">
        <v>3</v>
      </c>
      <c r="Q52" s="69" t="s">
        <v>3</v>
      </c>
      <c r="R52" s="69" t="s">
        <v>3</v>
      </c>
      <c r="S52" s="69" t="s">
        <v>3</v>
      </c>
      <c r="T52" s="69" t="s">
        <v>3</v>
      </c>
      <c r="U52" s="69" t="s">
        <v>3</v>
      </c>
      <c r="V52" s="69" t="s">
        <v>3</v>
      </c>
      <c r="W52" s="69" t="s">
        <v>3</v>
      </c>
      <c r="X52" s="90">
        <v>19.920000000000002</v>
      </c>
      <c r="Y52" s="90">
        <v>18.152999999999992</v>
      </c>
      <c r="Z52" s="90">
        <v>9.1080000000000112</v>
      </c>
      <c r="AA52" s="90">
        <v>21.066999999999986</v>
      </c>
      <c r="AB52" s="90">
        <v>18.765999999999998</v>
      </c>
      <c r="AC52" s="90">
        <v>20.437000000000005</v>
      </c>
      <c r="AD52" s="90">
        <v>19.317</v>
      </c>
      <c r="AE52" s="90">
        <v>15.173999999999999</v>
      </c>
      <c r="AF52" s="90">
        <v>21.592999999999996</v>
      </c>
      <c r="AG52" s="90">
        <v>28.993999999999996</v>
      </c>
      <c r="AH52" s="90">
        <v>30.021999999999984</v>
      </c>
      <c r="AI52" s="90">
        <v>6.6950000000000536</v>
      </c>
      <c r="AJ52" s="90">
        <v>17.519999999999996</v>
      </c>
      <c r="AK52" s="90">
        <v>32.036000000000008</v>
      </c>
      <c r="AL52" s="90">
        <v>27.610999999999997</v>
      </c>
      <c r="AM52" s="90">
        <v>21.33000000000002</v>
      </c>
      <c r="AN52" s="90">
        <v>23.022000000000006</v>
      </c>
      <c r="AO52" s="70">
        <v>29.609999999999978</v>
      </c>
      <c r="AP52" s="90">
        <v>32.821000000000019</v>
      </c>
      <c r="AQ52" s="90">
        <v>25.547000000000025</v>
      </c>
      <c r="AR52" s="90">
        <f>SUM(AR49:AR51)</f>
        <v>26.000000000000014</v>
      </c>
      <c r="AS52" s="90">
        <f>SUM(AS49:AS51)</f>
        <v>51.500000000000028</v>
      </c>
      <c r="AT52" s="90">
        <v>35.099999999999973</v>
      </c>
      <c r="AU52" s="90">
        <v>26.3</v>
      </c>
      <c r="AV52" s="90">
        <v>25.600000000000019</v>
      </c>
      <c r="AW52" s="90">
        <v>23.181000000000022</v>
      </c>
      <c r="AX52" s="90">
        <v>30.7929999999999</v>
      </c>
      <c r="AY52" s="90">
        <v>33.302000000000014</v>
      </c>
      <c r="AZ52" s="90">
        <v>53.832999999999942</v>
      </c>
      <c r="BA52" s="90">
        <v>55.743000000000066</v>
      </c>
      <c r="BB52" s="90">
        <v>43.182000000000002</v>
      </c>
      <c r="BC52" s="90">
        <v>27.187513247431117</v>
      </c>
      <c r="BD52" s="90">
        <v>46.018999999999977</v>
      </c>
      <c r="BE52" s="90">
        <v>48.588235655968433</v>
      </c>
      <c r="BF52" s="90">
        <v>53.290250339495273</v>
      </c>
      <c r="BG52" s="90">
        <v>77.713473284275523</v>
      </c>
      <c r="BH52" s="90">
        <v>34.86070694588031</v>
      </c>
      <c r="BI52" s="90">
        <v>53.611293054119734</v>
      </c>
      <c r="BJ52" s="90">
        <v>44.336999999999989</v>
      </c>
      <c r="BK52" s="90">
        <v>21.849000000000029</v>
      </c>
      <c r="BL52" s="90">
        <v>34.035000000000011</v>
      </c>
      <c r="BM52" s="90">
        <v>53.582108599312079</v>
      </c>
      <c r="BN52" s="90">
        <v>66.484000000000009</v>
      </c>
      <c r="BO52" s="90">
        <v>30.819038433680202</v>
      </c>
      <c r="BP52" s="90">
        <v>51.186</v>
      </c>
      <c r="BQ52" s="70">
        <v>70.557999999999922</v>
      </c>
      <c r="BR52" s="70">
        <v>66.986000000000004</v>
      </c>
      <c r="BS52" s="70">
        <v>40.496000000000002</v>
      </c>
      <c r="BT52" s="70">
        <f>SUM(BT49:BT51)</f>
        <v>48.170999999999971</v>
      </c>
      <c r="BU52" s="70">
        <f>SUM(BU49:BU51)</f>
        <v>45.450999999999937</v>
      </c>
      <c r="BV52" s="55"/>
      <c r="BW52" s="90">
        <v>68.24799999999999</v>
      </c>
      <c r="BX52" s="90">
        <v>73.694000000000003</v>
      </c>
      <c r="BY52" s="90">
        <v>87.30400000000003</v>
      </c>
      <c r="BZ52" s="90">
        <v>98.399999999999991</v>
      </c>
      <c r="CA52" s="90">
        <v>111.00000000000003</v>
      </c>
      <c r="CB52" s="90">
        <v>139.11000000000001</v>
      </c>
      <c r="CC52" s="90">
        <v>112.87599999999995</v>
      </c>
      <c r="CD52" s="90">
        <v>179.94476648448526</v>
      </c>
      <c r="CE52" s="90">
        <v>225.61095927973921</v>
      </c>
      <c r="CF52" s="90">
        <v>154.65600000000003</v>
      </c>
      <c r="CG52" s="90">
        <v>184.9201470329923</v>
      </c>
      <c r="CH52" s="90">
        <v>229.22600000000003</v>
      </c>
    </row>
    <row r="53" spans="1:86" ht="14.5" x14ac:dyDescent="0.35">
      <c r="B53" s="29" t="str">
        <f>IF(Control!$D$5=1,"(+/-) Finacial Result","(+/-) Resultado Financeiro")</f>
        <v>(+/-) Resultado Financeiro</v>
      </c>
      <c r="C53" s="69" t="s">
        <v>3</v>
      </c>
      <c r="D53" s="69" t="s">
        <v>3</v>
      </c>
      <c r="E53" s="69" t="s">
        <v>3</v>
      </c>
      <c r="F53" s="69" t="s">
        <v>3</v>
      </c>
      <c r="G53" s="69" t="s">
        <v>3</v>
      </c>
      <c r="H53" s="69" t="s">
        <v>3</v>
      </c>
      <c r="I53" s="69" t="s">
        <v>3</v>
      </c>
      <c r="J53" s="69" t="s">
        <v>3</v>
      </c>
      <c r="K53" s="69" t="s">
        <v>3</v>
      </c>
      <c r="L53" s="69" t="s">
        <v>3</v>
      </c>
      <c r="M53" s="69" t="s">
        <v>3</v>
      </c>
      <c r="N53" s="69" t="s">
        <v>3</v>
      </c>
      <c r="O53" s="69" t="s">
        <v>3</v>
      </c>
      <c r="P53" s="69" t="s">
        <v>3</v>
      </c>
      <c r="Q53" s="69" t="s">
        <v>3</v>
      </c>
      <c r="R53" s="69" t="s">
        <v>3</v>
      </c>
      <c r="S53" s="69" t="s">
        <v>3</v>
      </c>
      <c r="T53" s="69" t="s">
        <v>3</v>
      </c>
      <c r="U53" s="69" t="s">
        <v>3</v>
      </c>
      <c r="V53" s="69" t="s">
        <v>3</v>
      </c>
      <c r="W53" s="69" t="s">
        <v>3</v>
      </c>
      <c r="X53" s="58">
        <v>-5.3979999999999997</v>
      </c>
      <c r="Y53" s="58">
        <v>-9.4559999999999995</v>
      </c>
      <c r="Z53" s="58">
        <v>-3.7390000000000008</v>
      </c>
      <c r="AA53" s="58">
        <v>-5.9499999999999993</v>
      </c>
      <c r="AB53" s="58">
        <v>-2.8479999999999999</v>
      </c>
      <c r="AC53" s="58">
        <v>-4.2320000000000011</v>
      </c>
      <c r="AD53" s="58">
        <v>-4.9379999999999997</v>
      </c>
      <c r="AE53" s="58">
        <v>-5.9653</v>
      </c>
      <c r="AF53" s="58">
        <v>-5.1700000000000008</v>
      </c>
      <c r="AG53" s="58">
        <v>-7.9349999999999987</v>
      </c>
      <c r="AH53" s="58">
        <v>-8.8689999999999998</v>
      </c>
      <c r="AI53" s="58">
        <v>-8.5230000000000032</v>
      </c>
      <c r="AJ53" s="58">
        <v>-2.37</v>
      </c>
      <c r="AK53" s="58">
        <v>-5.137999999999999</v>
      </c>
      <c r="AL53" s="58">
        <v>-5.5039999999999996</v>
      </c>
      <c r="AM53" s="58">
        <v>-2.4959999999999969</v>
      </c>
      <c r="AN53" s="58">
        <v>-1.9639999999999995</v>
      </c>
      <c r="AO53" s="71">
        <v>-5.52</v>
      </c>
      <c r="AP53" s="58">
        <v>-4.5390000000000024</v>
      </c>
      <c r="AQ53" s="58">
        <v>-4.3769999999999971</v>
      </c>
      <c r="AR53" s="58">
        <f>SUM(AR54:AR55)</f>
        <v>-3.2</v>
      </c>
      <c r="AS53" s="58">
        <f>SUM(AS54:AS55)</f>
        <v>-9.1170000000000009</v>
      </c>
      <c r="AT53" s="58">
        <v>-3.8999999999999968</v>
      </c>
      <c r="AU53" s="58">
        <v>0</v>
      </c>
      <c r="AV53" s="58">
        <v>-0.70000000000000018</v>
      </c>
      <c r="AW53" s="58">
        <v>-3.1020000000000003</v>
      </c>
      <c r="AX53" s="58">
        <v>-4.2090000000000014</v>
      </c>
      <c r="AY53" s="58">
        <v>-0.9480000000000004</v>
      </c>
      <c r="AZ53" s="58">
        <v>-3.7440000000000007</v>
      </c>
      <c r="BA53" s="58">
        <v>-3.7530000000000001</v>
      </c>
      <c r="BB53" s="58">
        <v>-1.5380000000000011</v>
      </c>
      <c r="BC53" s="58">
        <v>-9.8262848908613076</v>
      </c>
      <c r="BD53" s="58">
        <v>-2.7549999999999999</v>
      </c>
      <c r="BE53" s="58">
        <v>1.1333261305350897</v>
      </c>
      <c r="BF53" s="58">
        <v>-3.0589252365954893</v>
      </c>
      <c r="BG53" s="58">
        <v>4.0701409405267333</v>
      </c>
      <c r="BH53" s="58">
        <v>2.0180000000000007</v>
      </c>
      <c r="BI53" s="58">
        <v>-14.179000000000004</v>
      </c>
      <c r="BJ53" s="58">
        <v>-4.9660000000000011</v>
      </c>
      <c r="BK53" s="58">
        <v>-2.4169999999999998</v>
      </c>
      <c r="BL53" s="58">
        <v>-9.6370000000000005</v>
      </c>
      <c r="BM53" s="58">
        <v>-7.6511996339456836</v>
      </c>
      <c r="BN53" s="58">
        <v>-12.819999999999999</v>
      </c>
      <c r="BO53" s="58">
        <v>-10.104648031594726</v>
      </c>
      <c r="BP53" s="58">
        <v>-9.2609999999999992</v>
      </c>
      <c r="BQ53" s="71">
        <v>-13.433000000000002</v>
      </c>
      <c r="BR53" s="71">
        <v>-22.552999999999997</v>
      </c>
      <c r="BS53" s="71">
        <v>-18.890999999999998</v>
      </c>
      <c r="BT53" s="71">
        <f>SUM(BT54:BT55)</f>
        <v>-8.2780000000000005</v>
      </c>
      <c r="BU53" s="71">
        <v>-13.733000000000001</v>
      </c>
      <c r="BV53" s="55"/>
      <c r="BW53" s="58">
        <v>-24.542999999999999</v>
      </c>
      <c r="BX53" s="58">
        <v>-17.9833</v>
      </c>
      <c r="BY53" s="58">
        <v>-30.497000000000003</v>
      </c>
      <c r="BZ53" s="58">
        <v>-15.499999999999996</v>
      </c>
      <c r="CA53" s="58">
        <v>-16.399999999999999</v>
      </c>
      <c r="CB53" s="58">
        <f>+CB54+CB55</f>
        <v>-16.335999999999999</v>
      </c>
      <c r="CC53" s="58">
        <v>-8.9590000000000032</v>
      </c>
      <c r="CD53" s="58">
        <v>-18.861000000000001</v>
      </c>
      <c r="CE53" s="58">
        <v>-0.61045816553366627</v>
      </c>
      <c r="CF53" s="58">
        <v>-19.542999999999999</v>
      </c>
      <c r="CG53" s="58">
        <v>-40.212847665540409</v>
      </c>
      <c r="CH53" s="58">
        <v>-64.138000000000005</v>
      </c>
    </row>
    <row r="54" spans="1:86" ht="14.5" x14ac:dyDescent="0.35">
      <c r="A54" s="135"/>
      <c r="B54" s="30" t="str">
        <f>IF(Control!$D$5=1,"(-) Debt Interest Expense","(-) Despesas Financeiras")</f>
        <v>(-) Despesas Financeiras</v>
      </c>
      <c r="C54" s="69" t="s">
        <v>3</v>
      </c>
      <c r="D54" s="69" t="s">
        <v>3</v>
      </c>
      <c r="E54" s="69" t="s">
        <v>3</v>
      </c>
      <c r="F54" s="69" t="s">
        <v>3</v>
      </c>
      <c r="G54" s="69" t="s">
        <v>3</v>
      </c>
      <c r="H54" s="69" t="s">
        <v>3</v>
      </c>
      <c r="I54" s="69" t="s">
        <v>3</v>
      </c>
      <c r="J54" s="69" t="s">
        <v>3</v>
      </c>
      <c r="K54" s="69" t="s">
        <v>3</v>
      </c>
      <c r="L54" s="69" t="s">
        <v>3</v>
      </c>
      <c r="M54" s="69" t="s">
        <v>3</v>
      </c>
      <c r="N54" s="69" t="s">
        <v>3</v>
      </c>
      <c r="O54" s="69" t="s">
        <v>3</v>
      </c>
      <c r="P54" s="69" t="s">
        <v>3</v>
      </c>
      <c r="Q54" s="69" t="s">
        <v>3</v>
      </c>
      <c r="R54" s="69" t="s">
        <v>3</v>
      </c>
      <c r="S54" s="69" t="s">
        <v>3</v>
      </c>
      <c r="T54" s="69" t="s">
        <v>3</v>
      </c>
      <c r="U54" s="69" t="s">
        <v>3</v>
      </c>
      <c r="V54" s="69" t="s">
        <v>3</v>
      </c>
      <c r="W54" s="69" t="s">
        <v>3</v>
      </c>
      <c r="X54" s="58">
        <v>-8.0579999999999998</v>
      </c>
      <c r="Y54" s="58">
        <v>-12.242999999999999</v>
      </c>
      <c r="Z54" s="58">
        <v>-5.9260000000000019</v>
      </c>
      <c r="AA54" s="58">
        <v>-8.4539999999999971</v>
      </c>
      <c r="AB54" s="58">
        <v>-4.7949999999999999</v>
      </c>
      <c r="AC54" s="58">
        <v>-7.9730000000000008</v>
      </c>
      <c r="AD54" s="58">
        <v>-6.5289999999999999</v>
      </c>
      <c r="AE54" s="58">
        <v>-8.7639999999999993</v>
      </c>
      <c r="AF54" s="58">
        <v>-8.2710000000000008</v>
      </c>
      <c r="AG54" s="58">
        <v>-10.675999999999998</v>
      </c>
      <c r="AH54" s="58">
        <v>-12.376000000000001</v>
      </c>
      <c r="AI54" s="58">
        <v>-15.661000000000005</v>
      </c>
      <c r="AJ54" s="58">
        <v>-7.7469999999999999</v>
      </c>
      <c r="AK54" s="58">
        <v>-9.2139999999999986</v>
      </c>
      <c r="AL54" s="58">
        <v>-8.4920000000000009</v>
      </c>
      <c r="AM54" s="58">
        <v>-8.8319999999999972</v>
      </c>
      <c r="AN54" s="58">
        <v>-6.4909999999999997</v>
      </c>
      <c r="AO54" s="71">
        <v>-8.1669999999999998</v>
      </c>
      <c r="AP54" s="58">
        <v>-6.9590000000000014</v>
      </c>
      <c r="AQ54" s="58">
        <v>-8.3829999999999991</v>
      </c>
      <c r="AR54" s="58">
        <v>-8.4</v>
      </c>
      <c r="AS54" s="58">
        <v>-17.016999999999999</v>
      </c>
      <c r="AT54" s="58">
        <v>-6.8999999999999986</v>
      </c>
      <c r="AU54" s="58">
        <v>-4.5</v>
      </c>
      <c r="AV54" s="58">
        <v>-5.7</v>
      </c>
      <c r="AW54" s="58">
        <v>-7.1890000000000001</v>
      </c>
      <c r="AX54" s="58">
        <v>-7.9600000000000009</v>
      </c>
      <c r="AY54" s="58">
        <v>-6.83</v>
      </c>
      <c r="AZ54" s="58">
        <v>-10.666</v>
      </c>
      <c r="BA54" s="58">
        <v>-12.260999999999999</v>
      </c>
      <c r="BB54" s="58">
        <v>-8.5980000000000008</v>
      </c>
      <c r="BC54" s="58">
        <v>-12.887791634310997</v>
      </c>
      <c r="BD54" s="58">
        <v>-6.7850000000000001</v>
      </c>
      <c r="BE54" s="58">
        <v>-6.4941160415659542</v>
      </c>
      <c r="BF54" s="58">
        <v>-8.3731144408487896</v>
      </c>
      <c r="BG54" s="58">
        <v>-5.8015363060648957</v>
      </c>
      <c r="BH54" s="58">
        <v>-12.449</v>
      </c>
      <c r="BI54" s="58">
        <v>-16.322000000000003</v>
      </c>
      <c r="BJ54" s="58">
        <v>-13.932</v>
      </c>
      <c r="BK54" s="58">
        <v>-11.018000000000001</v>
      </c>
      <c r="BL54" s="58">
        <v>-17.571999999999999</v>
      </c>
      <c r="BM54" s="58">
        <v>-18.875403389167101</v>
      </c>
      <c r="BN54" s="58">
        <v>-21.140999999999998</v>
      </c>
      <c r="BO54" s="58">
        <v>-18.706</v>
      </c>
      <c r="BP54" s="58">
        <v>-16.632000000000001</v>
      </c>
      <c r="BQ54" s="71">
        <v>-21.609000000000002</v>
      </c>
      <c r="BR54" s="71">
        <v>-29.667999999999999</v>
      </c>
      <c r="BS54" s="71">
        <v>-24.962</v>
      </c>
      <c r="BT54" s="71">
        <v>-17.858000000000001</v>
      </c>
      <c r="BU54" s="71">
        <v>-19.474</v>
      </c>
      <c r="BV54" s="55"/>
      <c r="BW54" s="58">
        <v>-34.680999999999997</v>
      </c>
      <c r="BX54" s="58">
        <v>-28.061</v>
      </c>
      <c r="BY54" s="58">
        <v>-46.984000000000002</v>
      </c>
      <c r="BZ54" s="58">
        <v>-34.299999999999997</v>
      </c>
      <c r="CA54" s="58">
        <v>-30</v>
      </c>
      <c r="CB54" s="58">
        <v>-36.878999999999998</v>
      </c>
      <c r="CC54" s="58">
        <v>-27.679000000000002</v>
      </c>
      <c r="CD54" s="58">
        <v>-44.411999999999999</v>
      </c>
      <c r="CE54" s="58">
        <v>-27.453766788479641</v>
      </c>
      <c r="CF54" s="58">
        <v>-53.720999999999997</v>
      </c>
      <c r="CG54" s="58">
        <v>-76.294403389167101</v>
      </c>
      <c r="CH54" s="58">
        <v>-92.870999999999995</v>
      </c>
    </row>
    <row r="55" spans="1:86" ht="14.5" x14ac:dyDescent="0.35">
      <c r="B55" s="30" t="str">
        <f>IF(Control!$D$5=1,"(+) Interest Income","(+) Receitas Financeiras")</f>
        <v>(+) Receitas Financeiras</v>
      </c>
      <c r="C55" s="69" t="s">
        <v>3</v>
      </c>
      <c r="D55" s="69" t="s">
        <v>3</v>
      </c>
      <c r="E55" s="69" t="s">
        <v>3</v>
      </c>
      <c r="F55" s="69" t="s">
        <v>3</v>
      </c>
      <c r="G55" s="69" t="s">
        <v>3</v>
      </c>
      <c r="H55" s="69" t="s">
        <v>3</v>
      </c>
      <c r="I55" s="69" t="s">
        <v>3</v>
      </c>
      <c r="J55" s="69" t="s">
        <v>3</v>
      </c>
      <c r="K55" s="69" t="s">
        <v>3</v>
      </c>
      <c r="L55" s="69" t="s">
        <v>3</v>
      </c>
      <c r="M55" s="69" t="s">
        <v>3</v>
      </c>
      <c r="N55" s="69" t="s">
        <v>3</v>
      </c>
      <c r="O55" s="69" t="s">
        <v>3</v>
      </c>
      <c r="P55" s="69" t="s">
        <v>3</v>
      </c>
      <c r="Q55" s="69" t="s">
        <v>3</v>
      </c>
      <c r="R55" s="69" t="s">
        <v>3</v>
      </c>
      <c r="S55" s="69" t="s">
        <v>3</v>
      </c>
      <c r="T55" s="69" t="s">
        <v>3</v>
      </c>
      <c r="U55" s="69" t="s">
        <v>3</v>
      </c>
      <c r="V55" s="69" t="s">
        <v>3</v>
      </c>
      <c r="W55" s="69" t="s">
        <v>3</v>
      </c>
      <c r="X55" s="58">
        <v>2.66</v>
      </c>
      <c r="Y55" s="58">
        <v>2.7869999999999999</v>
      </c>
      <c r="Z55" s="58">
        <v>2.1870000000000003</v>
      </c>
      <c r="AA55" s="58">
        <v>2.5039999999999996</v>
      </c>
      <c r="AB55" s="58">
        <v>1.9470000000000001</v>
      </c>
      <c r="AC55" s="58">
        <v>3.7409999999999997</v>
      </c>
      <c r="AD55" s="58">
        <v>1.5910000000000002</v>
      </c>
      <c r="AE55" s="58">
        <v>2.7986999999999993</v>
      </c>
      <c r="AF55" s="58">
        <v>3.101</v>
      </c>
      <c r="AG55" s="58">
        <v>2.7409999999999997</v>
      </c>
      <c r="AH55" s="58">
        <v>3.5070000000000006</v>
      </c>
      <c r="AI55" s="58">
        <v>7.1379999999999972</v>
      </c>
      <c r="AJ55" s="58">
        <v>5.3769999999999998</v>
      </c>
      <c r="AK55" s="58">
        <v>4.0759999999999996</v>
      </c>
      <c r="AL55" s="58">
        <v>2.9880000000000022</v>
      </c>
      <c r="AM55" s="58">
        <v>6.3359999999999976</v>
      </c>
      <c r="AN55" s="58">
        <v>4.5270000000000001</v>
      </c>
      <c r="AO55" s="71">
        <v>2.6470000000000002</v>
      </c>
      <c r="AP55" s="58">
        <v>2.419999999999999</v>
      </c>
      <c r="AQ55" s="58">
        <v>4.0060000000000002</v>
      </c>
      <c r="AR55" s="58">
        <v>5.2</v>
      </c>
      <c r="AS55" s="58">
        <v>7.8999999999999995</v>
      </c>
      <c r="AT55" s="58">
        <v>3.0000000000000018</v>
      </c>
      <c r="AU55" s="58">
        <v>4.5</v>
      </c>
      <c r="AV55" s="58">
        <v>5</v>
      </c>
      <c r="AW55" s="58">
        <v>4.0869999999999997</v>
      </c>
      <c r="AX55" s="58">
        <v>3.7509999999999994</v>
      </c>
      <c r="AY55" s="58">
        <v>5.8819999999999997</v>
      </c>
      <c r="AZ55" s="58">
        <v>6.9219999999999997</v>
      </c>
      <c r="BA55" s="58">
        <v>8.5079999999999991</v>
      </c>
      <c r="BB55" s="58">
        <v>7.06</v>
      </c>
      <c r="BC55" s="58">
        <v>3.0615067434496885</v>
      </c>
      <c r="BD55" s="58">
        <v>4.03</v>
      </c>
      <c r="BE55" s="58">
        <v>7.6274421721010439</v>
      </c>
      <c r="BF55" s="58">
        <v>5.3141892042533003</v>
      </c>
      <c r="BG55" s="58">
        <v>9.8716772465916289</v>
      </c>
      <c r="BH55" s="58">
        <v>14.467000000000001</v>
      </c>
      <c r="BI55" s="58">
        <v>2.1429999999999989</v>
      </c>
      <c r="BJ55" s="58">
        <v>8.9659999999999993</v>
      </c>
      <c r="BK55" s="58">
        <v>8.6010000000000009</v>
      </c>
      <c r="BL55" s="58">
        <v>7.9349999999999996</v>
      </c>
      <c r="BM55" s="58">
        <v>11.224203755221417</v>
      </c>
      <c r="BN55" s="58">
        <v>8.3209999999999997</v>
      </c>
      <c r="BO55" s="58">
        <v>8.6013519684052735</v>
      </c>
      <c r="BP55" s="58">
        <v>7.3710000000000004</v>
      </c>
      <c r="BQ55" s="71">
        <v>8.1760000000000002</v>
      </c>
      <c r="BR55" s="71">
        <v>7.1150000000000002</v>
      </c>
      <c r="BS55" s="71">
        <v>6.0709999999999997</v>
      </c>
      <c r="BT55" s="71">
        <v>9.58</v>
      </c>
      <c r="BU55" s="71">
        <v>5.7409999999999997</v>
      </c>
      <c r="BV55" s="55"/>
      <c r="BW55" s="58">
        <v>10.138</v>
      </c>
      <c r="BX55" s="58">
        <v>10.0777</v>
      </c>
      <c r="BY55" s="58">
        <v>16.486999999999998</v>
      </c>
      <c r="BZ55" s="58">
        <v>18.8</v>
      </c>
      <c r="CA55" s="58">
        <v>13.6</v>
      </c>
      <c r="CB55" s="58">
        <v>20.542999999999999</v>
      </c>
      <c r="CC55" s="58">
        <v>18.72</v>
      </c>
      <c r="CD55" s="58">
        <v>25.550999999999998</v>
      </c>
      <c r="CE55" s="58">
        <v>26.843308622945976</v>
      </c>
      <c r="CF55" s="58">
        <v>34.177999999999997</v>
      </c>
      <c r="CG55" s="58">
        <v>36.081555723626693</v>
      </c>
      <c r="CH55" s="58">
        <v>28.732999999999997</v>
      </c>
    </row>
    <row r="56" spans="1:86" ht="14.5" x14ac:dyDescent="0.35">
      <c r="B56" s="28" t="str">
        <f>IF(Control!$D$5=1,"Pre-Tax Income","Resultado antes Impostos")</f>
        <v>Resultado antes Impostos</v>
      </c>
      <c r="C56" s="69" t="s">
        <v>3</v>
      </c>
      <c r="D56" s="69" t="s">
        <v>3</v>
      </c>
      <c r="E56" s="69" t="s">
        <v>3</v>
      </c>
      <c r="F56" s="69" t="s">
        <v>3</v>
      </c>
      <c r="G56" s="69" t="s">
        <v>3</v>
      </c>
      <c r="H56" s="69" t="s">
        <v>3</v>
      </c>
      <c r="I56" s="69" t="s">
        <v>3</v>
      </c>
      <c r="J56" s="69" t="s">
        <v>3</v>
      </c>
      <c r="K56" s="69" t="s">
        <v>3</v>
      </c>
      <c r="L56" s="69" t="s">
        <v>3</v>
      </c>
      <c r="M56" s="69" t="s">
        <v>3</v>
      </c>
      <c r="N56" s="69" t="s">
        <v>3</v>
      </c>
      <c r="O56" s="69" t="s">
        <v>3</v>
      </c>
      <c r="P56" s="69" t="s">
        <v>3</v>
      </c>
      <c r="Q56" s="69" t="s">
        <v>3</v>
      </c>
      <c r="R56" s="69" t="s">
        <v>3</v>
      </c>
      <c r="S56" s="69" t="s">
        <v>3</v>
      </c>
      <c r="T56" s="69" t="s">
        <v>3</v>
      </c>
      <c r="U56" s="69" t="s">
        <v>3</v>
      </c>
      <c r="V56" s="69" t="s">
        <v>3</v>
      </c>
      <c r="W56" s="69" t="s">
        <v>3</v>
      </c>
      <c r="X56" s="70">
        <v>14.522000000000002</v>
      </c>
      <c r="Y56" s="70">
        <v>8.6969999999999921</v>
      </c>
      <c r="Z56" s="70">
        <v>5.3690000000000104</v>
      </c>
      <c r="AA56" s="70">
        <v>15.11699999999999</v>
      </c>
      <c r="AB56" s="70">
        <v>15.917999999999999</v>
      </c>
      <c r="AC56" s="70">
        <v>16.205000000000005</v>
      </c>
      <c r="AD56" s="70">
        <v>14.378999999999998</v>
      </c>
      <c r="AE56" s="70">
        <v>9.2087000000000003</v>
      </c>
      <c r="AF56" s="70">
        <v>16.422999999999995</v>
      </c>
      <c r="AG56" s="70">
        <v>21.058999999999997</v>
      </c>
      <c r="AH56" s="70">
        <v>21.152999999999984</v>
      </c>
      <c r="AI56" s="70">
        <v>-1.8279999999999461</v>
      </c>
      <c r="AJ56" s="70">
        <v>15.149999999999995</v>
      </c>
      <c r="AK56" s="70">
        <v>26.89800000000001</v>
      </c>
      <c r="AL56" s="70">
        <v>22.106999999999996</v>
      </c>
      <c r="AM56" s="70">
        <v>18.834000000000014</v>
      </c>
      <c r="AN56" s="70">
        <v>21.058000000000007</v>
      </c>
      <c r="AO56" s="70">
        <v>24.089999999999979</v>
      </c>
      <c r="AP56" s="70">
        <v>28.282000000000025</v>
      </c>
      <c r="AQ56" s="70">
        <f>AQ52+AQ53</f>
        <v>21.17000000000003</v>
      </c>
      <c r="AR56" s="70">
        <f>SUM(AR52:AR53)</f>
        <v>22.800000000000015</v>
      </c>
      <c r="AS56" s="70">
        <f>SUM(AS52:AS53)</f>
        <v>42.383000000000024</v>
      </c>
      <c r="AT56" s="70">
        <f>SUM(AT52:AT53)</f>
        <v>31.199999999999974</v>
      </c>
      <c r="AU56" s="70">
        <v>26.3</v>
      </c>
      <c r="AV56" s="70">
        <v>24.90000000000002</v>
      </c>
      <c r="AW56" s="70">
        <v>20.079000000000022</v>
      </c>
      <c r="AX56" s="70">
        <v>26.583999999999897</v>
      </c>
      <c r="AY56" s="70">
        <v>32.354000000000013</v>
      </c>
      <c r="AZ56" s="70">
        <v>50.088999999999942</v>
      </c>
      <c r="BA56" s="70">
        <v>51.990000000000066</v>
      </c>
      <c r="BB56" s="70">
        <v>41.643999999999998</v>
      </c>
      <c r="BC56" s="70">
        <v>17.361228356569811</v>
      </c>
      <c r="BD56" s="70">
        <v>43.263999999999974</v>
      </c>
      <c r="BE56" s="70">
        <v>49.721561786503521</v>
      </c>
      <c r="BF56" s="70">
        <v>50.231325102899781</v>
      </c>
      <c r="BG56" s="70">
        <v>81.78361422480225</v>
      </c>
      <c r="BH56" s="70">
        <v>36.87870694588031</v>
      </c>
      <c r="BI56" s="70">
        <v>39.432293054119732</v>
      </c>
      <c r="BJ56" s="70">
        <v>39.370999999999988</v>
      </c>
      <c r="BK56" s="70">
        <v>19.432000000000031</v>
      </c>
      <c r="BL56" s="70">
        <v>24.39800000000001</v>
      </c>
      <c r="BM56" s="70">
        <v>45.930908965366399</v>
      </c>
      <c r="BN56" s="70">
        <v>53.664000000000009</v>
      </c>
      <c r="BO56" s="70">
        <v>20.714390402085478</v>
      </c>
      <c r="BP56" s="70">
        <v>41.924999999999997</v>
      </c>
      <c r="BQ56" s="70">
        <v>57.125</v>
      </c>
      <c r="BR56" s="70">
        <v>44.433000000000007</v>
      </c>
      <c r="BS56" s="70">
        <v>21.605000000000004</v>
      </c>
      <c r="BT56" s="70">
        <f>SUM(BT52:BT53)</f>
        <v>39.892999999999972</v>
      </c>
      <c r="BU56" s="70">
        <f>SUM(BU52:BU53)</f>
        <v>31.717999999999936</v>
      </c>
      <c r="BV56" s="55"/>
      <c r="BW56" s="70">
        <v>43.704999999999991</v>
      </c>
      <c r="BX56" s="70">
        <v>55.710700000000003</v>
      </c>
      <c r="BY56" s="70">
        <v>56.807000000000031</v>
      </c>
      <c r="BZ56" s="70">
        <v>82.899999999999991</v>
      </c>
      <c r="CA56" s="70">
        <v>94.600000000000023</v>
      </c>
      <c r="CB56" s="70">
        <v>122.774</v>
      </c>
      <c r="CC56" s="70">
        <v>103.91699999999994</v>
      </c>
      <c r="CD56" s="70">
        <v>161.08376648448527</v>
      </c>
      <c r="CE56" s="70">
        <v>225.00050111420552</v>
      </c>
      <c r="CF56" s="70">
        <v>135.11300000000003</v>
      </c>
      <c r="CG56" s="70">
        <v>144.7072993674519</v>
      </c>
      <c r="CH56" s="70">
        <v>165.08800000000002</v>
      </c>
    </row>
    <row r="57" spans="1:86" ht="14.5" x14ac:dyDescent="0.35">
      <c r="B57" s="10" t="str">
        <f>IF(Control!$D$5=1,"Total Income Taxes","Total Imposto de Renda / CSLL")</f>
        <v>Total Imposto de Renda / CSLL</v>
      </c>
      <c r="C57" s="69" t="s">
        <v>3</v>
      </c>
      <c r="D57" s="69" t="s">
        <v>3</v>
      </c>
      <c r="E57" s="69" t="s">
        <v>3</v>
      </c>
      <c r="F57" s="69" t="s">
        <v>3</v>
      </c>
      <c r="G57" s="69" t="s">
        <v>3</v>
      </c>
      <c r="H57" s="69" t="s">
        <v>3</v>
      </c>
      <c r="I57" s="69" t="s">
        <v>3</v>
      </c>
      <c r="J57" s="69" t="s">
        <v>3</v>
      </c>
      <c r="K57" s="69" t="s">
        <v>3</v>
      </c>
      <c r="L57" s="69" t="s">
        <v>3</v>
      </c>
      <c r="M57" s="69" t="s">
        <v>3</v>
      </c>
      <c r="N57" s="69" t="s">
        <v>3</v>
      </c>
      <c r="O57" s="69" t="s">
        <v>3</v>
      </c>
      <c r="P57" s="69" t="s">
        <v>3</v>
      </c>
      <c r="Q57" s="69" t="s">
        <v>3</v>
      </c>
      <c r="R57" s="69" t="s">
        <v>3</v>
      </c>
      <c r="S57" s="69" t="s">
        <v>3</v>
      </c>
      <c r="T57" s="69" t="s">
        <v>3</v>
      </c>
      <c r="U57" s="69" t="s">
        <v>3</v>
      </c>
      <c r="V57" s="69" t="s">
        <v>3</v>
      </c>
      <c r="W57" s="69" t="s">
        <v>3</v>
      </c>
      <c r="X57" s="58">
        <v>-4.931</v>
      </c>
      <c r="Y57" s="58">
        <v>-3.2489999999999997</v>
      </c>
      <c r="Z57" s="58">
        <v>1.6789999999999994</v>
      </c>
      <c r="AA57" s="58">
        <v>-5.698999999999999</v>
      </c>
      <c r="AB57" s="58">
        <v>-3.1850000000000001</v>
      </c>
      <c r="AC57" s="58">
        <v>-1.8729999999999998</v>
      </c>
      <c r="AD57" s="58">
        <v>-3.3110000000000004</v>
      </c>
      <c r="AE57" s="58">
        <v>-8.52</v>
      </c>
      <c r="AF57" s="58">
        <v>-7.98</v>
      </c>
      <c r="AG57" s="58">
        <v>-1.6909999999999989</v>
      </c>
      <c r="AH57" s="58">
        <v>-9.0190000000000019</v>
      </c>
      <c r="AI57" s="58">
        <v>-1.916999999999998</v>
      </c>
      <c r="AJ57" s="58">
        <v>-1.5529999999999999</v>
      </c>
      <c r="AK57" s="58">
        <v>-6.3250000000000002</v>
      </c>
      <c r="AL57" s="58">
        <v>-2.8360000000000003</v>
      </c>
      <c r="AM57" s="58">
        <v>-4.6239999999999988</v>
      </c>
      <c r="AN57" s="58">
        <v>1.419</v>
      </c>
      <c r="AO57" s="71">
        <v>-8.016</v>
      </c>
      <c r="AP57" s="58">
        <v>-4.8939999999999992</v>
      </c>
      <c r="AQ57" s="58">
        <v>-5.9089999999999989</v>
      </c>
      <c r="AR57" s="58">
        <v>-6.8</v>
      </c>
      <c r="AS57" s="58">
        <v>-5.8</v>
      </c>
      <c r="AT57" s="58">
        <v>-4.2000000000000011</v>
      </c>
      <c r="AU57" s="58">
        <v>-4.4000000000000004</v>
      </c>
      <c r="AV57" s="58">
        <v>-5.8</v>
      </c>
      <c r="AW57" s="58">
        <v>-5.3129999999999997</v>
      </c>
      <c r="AX57" s="58">
        <v>-4.82</v>
      </c>
      <c r="AY57" s="58">
        <v>-9.0009999999999994</v>
      </c>
      <c r="AZ57" s="58">
        <v>-8.9429999999999996</v>
      </c>
      <c r="BA57" s="58">
        <v>-9.6929999999999996</v>
      </c>
      <c r="BB57" s="58">
        <v>-12.676</v>
      </c>
      <c r="BC57" s="58">
        <v>-8.0928061048639499</v>
      </c>
      <c r="BD57" s="58">
        <v>-8.2059999999999995</v>
      </c>
      <c r="BE57" s="58">
        <v>-10.352604775931052</v>
      </c>
      <c r="BF57" s="58">
        <v>-12.680502345051638</v>
      </c>
      <c r="BG57" s="58">
        <v>-14.811603725008389</v>
      </c>
      <c r="BH57" s="58">
        <v>-1.7000000000000001E-2</v>
      </c>
      <c r="BI57" s="58">
        <v>-1.673</v>
      </c>
      <c r="BJ57" s="58">
        <v>-4.7030000000000003</v>
      </c>
      <c r="BK57" s="58">
        <v>-7.73</v>
      </c>
      <c r="BL57" s="58">
        <v>-3.9590000000000001</v>
      </c>
      <c r="BM57" s="58">
        <v>-7.9946423185688111</v>
      </c>
      <c r="BN57" s="58">
        <v>-5.1660000000000004</v>
      </c>
      <c r="BO57" s="58">
        <v>9.7721893628099785</v>
      </c>
      <c r="BP57" s="58">
        <v>-3.379</v>
      </c>
      <c r="BQ57" s="71">
        <v>-10.912000000000001</v>
      </c>
      <c r="BR57" s="71">
        <v>-14.638</v>
      </c>
      <c r="BS57" s="71">
        <v>-1.998</v>
      </c>
      <c r="BT57" s="71">
        <v>1.919</v>
      </c>
      <c r="BU57" s="71">
        <v>2.8759999999999999</v>
      </c>
      <c r="BV57" s="55"/>
      <c r="BW57" s="58">
        <v>-12.2</v>
      </c>
      <c r="BX57" s="58">
        <v>-16.888999999999999</v>
      </c>
      <c r="BY57" s="58">
        <v>-20.606999999999999</v>
      </c>
      <c r="BZ57" s="58">
        <v>-15.3</v>
      </c>
      <c r="CA57" s="58">
        <v>-17.399999999999999</v>
      </c>
      <c r="CB57" s="58">
        <v>-21.135000000000002</v>
      </c>
      <c r="CC57" s="58">
        <v>-24.933999999999997</v>
      </c>
      <c r="CD57" s="58">
        <v>-41.2</v>
      </c>
      <c r="CE57" s="58">
        <v>-46.050710845991077</v>
      </c>
      <c r="CF57" s="58">
        <v>-14.124000000000001</v>
      </c>
      <c r="CG57" s="58">
        <v>-7.3474529557588326</v>
      </c>
      <c r="CH57" s="58">
        <v>-30.927000000000003</v>
      </c>
    </row>
    <row r="58" spans="1:86" ht="14.5" x14ac:dyDescent="0.35">
      <c r="B58" s="31" t="str">
        <f>IF(Control!$D$5=1,"Net Income","Lucro Líquido")</f>
        <v>Lucro Líquido</v>
      </c>
      <c r="C58" s="65" t="s">
        <v>3</v>
      </c>
      <c r="D58" s="65" t="s">
        <v>3</v>
      </c>
      <c r="E58" s="65" t="s">
        <v>3</v>
      </c>
      <c r="F58" s="65" t="s">
        <v>3</v>
      </c>
      <c r="G58" s="65" t="s">
        <v>3</v>
      </c>
      <c r="H58" s="65" t="s">
        <v>3</v>
      </c>
      <c r="I58" s="65" t="s">
        <v>3</v>
      </c>
      <c r="J58" s="65" t="s">
        <v>3</v>
      </c>
      <c r="K58" s="65" t="s">
        <v>3</v>
      </c>
      <c r="L58" s="65" t="s">
        <v>3</v>
      </c>
      <c r="M58" s="65" t="s">
        <v>3</v>
      </c>
      <c r="N58" s="65" t="s">
        <v>3</v>
      </c>
      <c r="O58" s="65" t="s">
        <v>3</v>
      </c>
      <c r="P58" s="65" t="s">
        <v>3</v>
      </c>
      <c r="Q58" s="65" t="s">
        <v>3</v>
      </c>
      <c r="R58" s="65" t="s">
        <v>3</v>
      </c>
      <c r="S58" s="65" t="s">
        <v>3</v>
      </c>
      <c r="T58" s="65" t="s">
        <v>3</v>
      </c>
      <c r="U58" s="65" t="s">
        <v>3</v>
      </c>
      <c r="V58" s="65" t="s">
        <v>3</v>
      </c>
      <c r="W58" s="65" t="s">
        <v>3</v>
      </c>
      <c r="X58" s="65">
        <f t="shared" ref="X58:AN58" si="57">+X56+X57</f>
        <v>9.5910000000000011</v>
      </c>
      <c r="Y58" s="65">
        <f t="shared" si="57"/>
        <v>5.4479999999999924</v>
      </c>
      <c r="Z58" s="65">
        <f t="shared" si="57"/>
        <v>7.0480000000000098</v>
      </c>
      <c r="AA58" s="65">
        <f t="shared" si="57"/>
        <v>9.4179999999999922</v>
      </c>
      <c r="AB58" s="65">
        <f t="shared" si="57"/>
        <v>12.732999999999999</v>
      </c>
      <c r="AC58" s="65">
        <f t="shared" si="57"/>
        <v>14.332000000000006</v>
      </c>
      <c r="AD58" s="65">
        <f t="shared" si="57"/>
        <v>11.067999999999998</v>
      </c>
      <c r="AE58" s="65">
        <f t="shared" si="57"/>
        <v>0.68870000000000076</v>
      </c>
      <c r="AF58" s="65">
        <f t="shared" si="57"/>
        <v>8.4429999999999943</v>
      </c>
      <c r="AG58" s="65">
        <f t="shared" si="57"/>
        <v>19.367999999999999</v>
      </c>
      <c r="AH58" s="65">
        <f t="shared" si="57"/>
        <v>12.133999999999983</v>
      </c>
      <c r="AI58" s="65">
        <f t="shared" si="57"/>
        <v>-3.7449999999999442</v>
      </c>
      <c r="AJ58" s="65">
        <f t="shared" si="57"/>
        <v>13.596999999999994</v>
      </c>
      <c r="AK58" s="65">
        <f t="shared" si="57"/>
        <v>20.573000000000011</v>
      </c>
      <c r="AL58" s="65">
        <f t="shared" si="57"/>
        <v>19.270999999999994</v>
      </c>
      <c r="AM58" s="65">
        <f t="shared" si="57"/>
        <v>14.210000000000015</v>
      </c>
      <c r="AN58" s="65">
        <f t="shared" si="57"/>
        <v>22.477000000000007</v>
      </c>
      <c r="AO58" s="65">
        <f>+AO56+AO57</f>
        <v>16.073999999999977</v>
      </c>
      <c r="AP58" s="65">
        <f>+AP56+AP57</f>
        <v>23.388000000000027</v>
      </c>
      <c r="AQ58" s="65">
        <f t="shared" ref="AQ58:AY58" si="58">+AQ56+AQ57</f>
        <v>15.261000000000031</v>
      </c>
      <c r="AR58" s="65">
        <f t="shared" si="58"/>
        <v>16.000000000000014</v>
      </c>
      <c r="AS58" s="65">
        <f t="shared" si="58"/>
        <v>36.583000000000027</v>
      </c>
      <c r="AT58" s="65">
        <f t="shared" si="58"/>
        <v>26.999999999999972</v>
      </c>
      <c r="AU58" s="65">
        <f t="shared" si="58"/>
        <v>21.9</v>
      </c>
      <c r="AV58" s="65">
        <f t="shared" si="58"/>
        <v>19.100000000000019</v>
      </c>
      <c r="AW58" s="65">
        <f t="shared" si="58"/>
        <v>14.766000000000023</v>
      </c>
      <c r="AX58" s="65">
        <f t="shared" si="58"/>
        <v>21.763999999999896</v>
      </c>
      <c r="AY58" s="65">
        <f t="shared" si="58"/>
        <v>23.353000000000016</v>
      </c>
      <c r="AZ58" s="65">
        <f>+AZ56+AZ57</f>
        <v>41.145999999999944</v>
      </c>
      <c r="BA58" s="65">
        <v>42.297000000000068</v>
      </c>
      <c r="BB58" s="65">
        <v>28.967999999999996</v>
      </c>
      <c r="BC58" s="65">
        <f>BC56+BC57</f>
        <v>9.2684222517058608</v>
      </c>
      <c r="BD58" s="65">
        <f>BD56+BD57</f>
        <v>35.057999999999979</v>
      </c>
      <c r="BE58" s="65">
        <f>BE56+BE57</f>
        <v>39.368957010572473</v>
      </c>
      <c r="BF58" s="65">
        <f t="shared" ref="BF58:BN58" si="59">BF56+BF57</f>
        <v>37.550822757848145</v>
      </c>
      <c r="BG58" s="65">
        <f t="shared" si="59"/>
        <v>66.972010499793868</v>
      </c>
      <c r="BH58" s="65">
        <f t="shared" si="59"/>
        <v>36.861706945880307</v>
      </c>
      <c r="BI58" s="65">
        <f t="shared" si="59"/>
        <v>37.75929305411973</v>
      </c>
      <c r="BJ58" s="65">
        <f t="shared" si="59"/>
        <v>34.667999999999985</v>
      </c>
      <c r="BK58" s="65">
        <f t="shared" si="59"/>
        <v>11.70200000000003</v>
      </c>
      <c r="BL58" s="65">
        <f t="shared" si="59"/>
        <v>20.439000000000011</v>
      </c>
      <c r="BM58" s="65">
        <f t="shared" si="59"/>
        <v>37.936266646797591</v>
      </c>
      <c r="BN58" s="65">
        <f t="shared" si="59"/>
        <v>48.498000000000005</v>
      </c>
      <c r="BO58" s="65">
        <v>30.486579764895456</v>
      </c>
      <c r="BP58" s="65">
        <v>38.545999999999999</v>
      </c>
      <c r="BQ58" s="65">
        <v>46.213000000000001</v>
      </c>
      <c r="BR58" s="65">
        <v>29.795000000000009</v>
      </c>
      <c r="BS58" s="65">
        <v>19.607000000000003</v>
      </c>
      <c r="BT58" s="239">
        <f>SUM(BT56:BT57)</f>
        <v>41.811999999999969</v>
      </c>
      <c r="BU58" s="239">
        <f>SUM(BU56:BU57)</f>
        <v>34.593999999999937</v>
      </c>
      <c r="BV58" s="55"/>
      <c r="BW58" s="65">
        <f t="shared" ref="BW58:CD58" si="60">+BW56+BW57</f>
        <v>31.504999999999992</v>
      </c>
      <c r="BX58" s="65">
        <f t="shared" si="60"/>
        <v>38.821700000000007</v>
      </c>
      <c r="BY58" s="65">
        <f t="shared" si="60"/>
        <v>36.200000000000031</v>
      </c>
      <c r="BZ58" s="65">
        <f t="shared" si="60"/>
        <v>67.599999999999994</v>
      </c>
      <c r="CA58" s="65">
        <f t="shared" si="60"/>
        <v>77.200000000000017</v>
      </c>
      <c r="CB58" s="65">
        <f t="shared" si="60"/>
        <v>101.639</v>
      </c>
      <c r="CC58" s="65">
        <f t="shared" si="60"/>
        <v>78.982999999999947</v>
      </c>
      <c r="CD58" s="65">
        <f t="shared" si="60"/>
        <v>119.88376648448526</v>
      </c>
      <c r="CE58" s="65">
        <v>178.94979026821446</v>
      </c>
      <c r="CF58" s="65">
        <v>120.98900000000003</v>
      </c>
      <c r="CG58" s="65">
        <v>137.35984641169307</v>
      </c>
      <c r="CH58" s="65">
        <v>134.16100000000003</v>
      </c>
    </row>
    <row r="59" spans="1:86" ht="6.75" customHeight="1" x14ac:dyDescent="0.35">
      <c r="A59" s="6"/>
      <c r="B59" s="10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241"/>
      <c r="BU59" s="241"/>
      <c r="BV59" s="55"/>
      <c r="BW59" s="57"/>
      <c r="BX59" s="57"/>
      <c r="BY59" s="63"/>
      <c r="BZ59" s="63"/>
      <c r="CA59" s="63"/>
      <c r="CB59" s="63"/>
      <c r="CC59" s="63"/>
      <c r="CD59" s="63"/>
      <c r="CE59" s="63"/>
      <c r="CF59" s="63"/>
      <c r="CG59" s="63"/>
      <c r="CH59" s="63"/>
    </row>
    <row r="60" spans="1:86" s="6" customFormat="1" ht="14.5" outlineLevel="1" x14ac:dyDescent="0.35">
      <c r="A60" s="91"/>
      <c r="B60" s="10" t="str">
        <f>IF(Control!$D$5=1,"Current Assets","Ativo Circulante")</f>
        <v>Ativo Circulante</v>
      </c>
      <c r="C60" s="69" t="s">
        <v>3</v>
      </c>
      <c r="D60" s="69" t="s">
        <v>3</v>
      </c>
      <c r="E60" s="69" t="s">
        <v>3</v>
      </c>
      <c r="F60" s="69" t="s">
        <v>3</v>
      </c>
      <c r="G60" s="69" t="s">
        <v>3</v>
      </c>
      <c r="H60" s="69" t="s">
        <v>3</v>
      </c>
      <c r="I60" s="69" t="s">
        <v>3</v>
      </c>
      <c r="J60" s="69" t="s">
        <v>3</v>
      </c>
      <c r="K60" s="69" t="s">
        <v>3</v>
      </c>
      <c r="L60" s="69" t="s">
        <v>3</v>
      </c>
      <c r="M60" s="69" t="s">
        <v>3</v>
      </c>
      <c r="N60" s="69" t="s">
        <v>3</v>
      </c>
      <c r="O60" s="69" t="s">
        <v>3</v>
      </c>
      <c r="P60" s="69" t="s">
        <v>3</v>
      </c>
      <c r="Q60" s="69" t="s">
        <v>3</v>
      </c>
      <c r="R60" s="69" t="s">
        <v>3</v>
      </c>
      <c r="S60" s="69" t="s">
        <v>3</v>
      </c>
      <c r="T60" s="69" t="s">
        <v>3</v>
      </c>
      <c r="U60" s="69" t="s">
        <v>3</v>
      </c>
      <c r="V60" s="69" t="s">
        <v>3</v>
      </c>
      <c r="W60" s="69" t="s">
        <v>3</v>
      </c>
      <c r="X60" s="58">
        <v>764.87199999999996</v>
      </c>
      <c r="Y60" s="58" t="s">
        <v>3</v>
      </c>
      <c r="Z60" s="58" t="s">
        <v>3</v>
      </c>
      <c r="AA60" s="58">
        <v>444.93599999999998</v>
      </c>
      <c r="AB60" s="58">
        <v>804.20899999999995</v>
      </c>
      <c r="AC60" s="58">
        <v>568.99400000000003</v>
      </c>
      <c r="AD60" s="58">
        <v>649.83699999999999</v>
      </c>
      <c r="AE60" s="58">
        <v>554.41800000000001</v>
      </c>
      <c r="AF60" s="58" t="s">
        <v>3</v>
      </c>
      <c r="AG60" s="58">
        <v>1072.5150000000001</v>
      </c>
      <c r="AH60" s="58" t="s">
        <v>3</v>
      </c>
      <c r="AI60" s="58">
        <v>896.255</v>
      </c>
      <c r="AJ60" s="58" t="s">
        <v>3</v>
      </c>
      <c r="AK60" s="58" t="s">
        <v>3</v>
      </c>
      <c r="AL60" s="58" t="s">
        <v>3</v>
      </c>
      <c r="AM60" s="58">
        <v>655.76099999999997</v>
      </c>
      <c r="AN60" s="69" t="s">
        <v>3</v>
      </c>
      <c r="AO60" s="58" t="s">
        <v>3</v>
      </c>
      <c r="AP60" s="58" t="s">
        <v>3</v>
      </c>
      <c r="AQ60" s="58">
        <v>657.90899999999999</v>
      </c>
      <c r="AR60" s="58">
        <v>1265.4390000000001</v>
      </c>
      <c r="AS60" s="58">
        <v>1079.6949999999999</v>
      </c>
      <c r="AT60" s="58">
        <v>944.91700000000003</v>
      </c>
      <c r="AU60" s="58">
        <v>848.37300000000005</v>
      </c>
      <c r="AV60" s="58">
        <v>1353.5219999999999</v>
      </c>
      <c r="AW60" s="58">
        <v>1143.0429999999999</v>
      </c>
      <c r="AX60" s="196">
        <v>1132.5989999999999</v>
      </c>
      <c r="AY60" s="58">
        <v>770.16300000000001</v>
      </c>
      <c r="AZ60" s="58">
        <v>2452.364</v>
      </c>
      <c r="BA60" s="58">
        <v>1859.98</v>
      </c>
      <c r="BB60" s="58">
        <v>1314.5740000000001</v>
      </c>
      <c r="BC60" s="58">
        <v>1343.2275657099999</v>
      </c>
      <c r="BD60" s="58">
        <v>2101.4810000000002</v>
      </c>
      <c r="BE60" s="58">
        <v>1479.7851399000001</v>
      </c>
      <c r="BF60" s="58">
        <v>1859.4871787002535</v>
      </c>
      <c r="BG60" s="58">
        <v>1688.4159999999999</v>
      </c>
      <c r="BH60" s="58">
        <v>2295.8789999999999</v>
      </c>
      <c r="BI60" s="58">
        <v>1724.5477540499996</v>
      </c>
      <c r="BJ60" s="58">
        <v>1381.386</v>
      </c>
      <c r="BK60" s="58">
        <v>1616.0029999999999</v>
      </c>
      <c r="BL60" s="58">
        <v>2571.471</v>
      </c>
      <c r="BM60" s="58">
        <v>1948.884</v>
      </c>
      <c r="BN60" s="58">
        <v>1733.893</v>
      </c>
      <c r="BO60" s="58">
        <v>1430.4090000000001</v>
      </c>
      <c r="BP60" s="58">
        <v>2769.8629999999998</v>
      </c>
      <c r="BQ60" s="58">
        <v>2418.2530000000002</v>
      </c>
      <c r="BR60" s="58">
        <v>2379.6419999999998</v>
      </c>
      <c r="BS60" s="58">
        <v>1826.3109999999999</v>
      </c>
      <c r="BT60" s="58">
        <v>3185.067</v>
      </c>
      <c r="BU60" s="58">
        <v>2303.3249999999998</v>
      </c>
      <c r="BV60" s="55"/>
      <c r="BW60" s="58">
        <v>444.93599999999998</v>
      </c>
      <c r="BX60" s="58">
        <v>554.41800000000001</v>
      </c>
      <c r="BY60" s="58">
        <v>896.255</v>
      </c>
      <c r="BZ60" s="58">
        <v>655.76099999999997</v>
      </c>
      <c r="CA60" s="58">
        <v>657.90899999999999</v>
      </c>
      <c r="CB60" s="58">
        <v>848.37300000000005</v>
      </c>
      <c r="CC60" s="58">
        <f>AY60</f>
        <v>770.16300000000001</v>
      </c>
      <c r="CD60" s="58">
        <v>1343.2275657099999</v>
      </c>
      <c r="CE60" s="58">
        <v>1688.4159999999999</v>
      </c>
      <c r="CF60" s="58">
        <v>1616.0029999999999</v>
      </c>
      <c r="CG60" s="58">
        <v>1430.4090000000001</v>
      </c>
      <c r="CH60" s="58">
        <v>1826.3109999999999</v>
      </c>
    </row>
    <row r="61" spans="1:86" s="6" customFormat="1" ht="14.5" outlineLevel="1" x14ac:dyDescent="0.35">
      <c r="A61" s="18"/>
      <c r="B61" s="10" t="str">
        <f>IF(Control!$D$5=1,"Long Term Assets","Ativo não Circulante")</f>
        <v>Ativo não Circulante</v>
      </c>
      <c r="C61" s="69" t="s">
        <v>3</v>
      </c>
      <c r="D61" s="69" t="s">
        <v>3</v>
      </c>
      <c r="E61" s="69" t="s">
        <v>3</v>
      </c>
      <c r="F61" s="69" t="s">
        <v>3</v>
      </c>
      <c r="G61" s="69" t="s">
        <v>3</v>
      </c>
      <c r="H61" s="69" t="s">
        <v>3</v>
      </c>
      <c r="I61" s="69" t="s">
        <v>3</v>
      </c>
      <c r="J61" s="69" t="s">
        <v>3</v>
      </c>
      <c r="K61" s="69" t="s">
        <v>3</v>
      </c>
      <c r="L61" s="69" t="s">
        <v>3</v>
      </c>
      <c r="M61" s="69" t="s">
        <v>3</v>
      </c>
      <c r="N61" s="69" t="s">
        <v>3</v>
      </c>
      <c r="O61" s="69" t="s">
        <v>3</v>
      </c>
      <c r="P61" s="69" t="s">
        <v>3</v>
      </c>
      <c r="Q61" s="69" t="s">
        <v>3</v>
      </c>
      <c r="R61" s="69" t="s">
        <v>3</v>
      </c>
      <c r="S61" s="69" t="s">
        <v>3</v>
      </c>
      <c r="T61" s="69" t="s">
        <v>3</v>
      </c>
      <c r="U61" s="69" t="s">
        <v>3</v>
      </c>
      <c r="V61" s="69" t="s">
        <v>3</v>
      </c>
      <c r="W61" s="69" t="s">
        <v>3</v>
      </c>
      <c r="X61" s="58">
        <v>280.47699999999998</v>
      </c>
      <c r="Y61" s="58" t="s">
        <v>3</v>
      </c>
      <c r="Z61" s="58" t="s">
        <v>3</v>
      </c>
      <c r="AA61" s="58">
        <v>1364.3869999999999</v>
      </c>
      <c r="AB61" s="58">
        <v>323.476</v>
      </c>
      <c r="AC61" s="58">
        <v>307.61200000000002</v>
      </c>
      <c r="AD61" s="58">
        <v>404.26400000000001</v>
      </c>
      <c r="AE61" s="58">
        <v>1446.9359999999999</v>
      </c>
      <c r="AF61" s="58" t="s">
        <v>3</v>
      </c>
      <c r="AG61" s="58">
        <v>433.928</v>
      </c>
      <c r="AH61" s="58" t="s">
        <v>3</v>
      </c>
      <c r="AI61" s="58">
        <v>555.48400000000004</v>
      </c>
      <c r="AJ61" s="58" t="s">
        <v>3</v>
      </c>
      <c r="AK61" s="58" t="s">
        <v>3</v>
      </c>
      <c r="AL61" s="58" t="s">
        <v>3</v>
      </c>
      <c r="AM61" s="58">
        <v>463.13600000000002</v>
      </c>
      <c r="AN61" s="69" t="s">
        <v>3</v>
      </c>
      <c r="AO61" s="58" t="s">
        <v>3</v>
      </c>
      <c r="AP61" s="58" t="s">
        <v>3</v>
      </c>
      <c r="AQ61" s="58">
        <v>498.72500000000002</v>
      </c>
      <c r="AR61" s="58">
        <v>566.08000000000004</v>
      </c>
      <c r="AS61" s="58">
        <v>610.96600000000001</v>
      </c>
      <c r="AT61" s="58">
        <v>563.46500000000003</v>
      </c>
      <c r="AU61" s="58">
        <v>796.35699999999997</v>
      </c>
      <c r="AV61" s="58">
        <v>580.27099999999996</v>
      </c>
      <c r="AW61" s="58">
        <v>594.72400000000005</v>
      </c>
      <c r="AX61" s="196">
        <v>735.63400000000001</v>
      </c>
      <c r="AY61" s="58">
        <v>616.52700000000004</v>
      </c>
      <c r="AZ61" s="58">
        <v>649.46400000000006</v>
      </c>
      <c r="BA61" s="58">
        <v>726.11800000000005</v>
      </c>
      <c r="BB61" s="58">
        <v>449.49900000000002</v>
      </c>
      <c r="BC61" s="58">
        <v>735.90542183474997</v>
      </c>
      <c r="BD61" s="58">
        <v>728.83</v>
      </c>
      <c r="BE61" s="58">
        <v>704.83081224272303</v>
      </c>
      <c r="BF61" s="58">
        <v>1032.4590767394311</v>
      </c>
      <c r="BG61" s="58">
        <v>908.30700000000002</v>
      </c>
      <c r="BH61" s="58">
        <v>1002.149</v>
      </c>
      <c r="BI61" s="58">
        <v>1089.0148135900004</v>
      </c>
      <c r="BJ61" s="58">
        <v>1481.423</v>
      </c>
      <c r="BK61" s="58">
        <v>1059.4179999999999</v>
      </c>
      <c r="BL61" s="58">
        <v>1059.2619999999999</v>
      </c>
      <c r="BM61" s="58">
        <v>1066.4780000000001</v>
      </c>
      <c r="BN61" s="58">
        <v>1061.7260000000001</v>
      </c>
      <c r="BO61" s="58">
        <v>1094.1279999999999</v>
      </c>
      <c r="BP61" s="58">
        <v>1169.933</v>
      </c>
      <c r="BQ61" s="58">
        <v>1234.6010000000001</v>
      </c>
      <c r="BR61" s="58">
        <v>1516.8209999999999</v>
      </c>
      <c r="BS61" s="58">
        <v>1514.778</v>
      </c>
      <c r="BT61" s="58">
        <v>1484.546</v>
      </c>
      <c r="BU61" s="58">
        <v>1425.319</v>
      </c>
      <c r="BV61" s="55"/>
      <c r="BW61" s="58">
        <v>1364.3869999999999</v>
      </c>
      <c r="BX61" s="58">
        <v>1446.9359999999999</v>
      </c>
      <c r="BY61" s="58">
        <v>555.48400000000004</v>
      </c>
      <c r="BZ61" s="58">
        <v>463.13600000000002</v>
      </c>
      <c r="CA61" s="58">
        <v>498.72500000000002</v>
      </c>
      <c r="CB61" s="58">
        <v>796.35699999999997</v>
      </c>
      <c r="CC61" s="58">
        <f>AY61</f>
        <v>616.52700000000004</v>
      </c>
      <c r="CD61" s="58">
        <v>735.90542183474997</v>
      </c>
      <c r="CE61" s="58">
        <v>908.30700000000002</v>
      </c>
      <c r="CF61" s="58">
        <v>1059.4179999999999</v>
      </c>
      <c r="CG61" s="58">
        <v>1094.1279999999999</v>
      </c>
      <c r="CH61" s="58">
        <v>1514.778</v>
      </c>
    </row>
    <row r="62" spans="1:86" s="6" customFormat="1" ht="14.5" outlineLevel="1" x14ac:dyDescent="0.35">
      <c r="B62" s="10" t="str">
        <f>IF(Control!$D$5=1,"Current Liabilities","Passivo Circulante")</f>
        <v>Passivo Circulante</v>
      </c>
      <c r="C62" s="69" t="s">
        <v>3</v>
      </c>
      <c r="D62" s="69" t="s">
        <v>3</v>
      </c>
      <c r="E62" s="69" t="s">
        <v>3</v>
      </c>
      <c r="F62" s="69" t="s">
        <v>3</v>
      </c>
      <c r="G62" s="69" t="s">
        <v>3</v>
      </c>
      <c r="H62" s="69" t="s">
        <v>3</v>
      </c>
      <c r="I62" s="69" t="s">
        <v>3</v>
      </c>
      <c r="J62" s="69" t="s">
        <v>3</v>
      </c>
      <c r="K62" s="69" t="s">
        <v>3</v>
      </c>
      <c r="L62" s="69" t="s">
        <v>3</v>
      </c>
      <c r="M62" s="69" t="s">
        <v>3</v>
      </c>
      <c r="N62" s="69" t="s">
        <v>3</v>
      </c>
      <c r="O62" s="69" t="s">
        <v>3</v>
      </c>
      <c r="P62" s="69" t="s">
        <v>3</v>
      </c>
      <c r="Q62" s="69" t="s">
        <v>3</v>
      </c>
      <c r="R62" s="69" t="s">
        <v>3</v>
      </c>
      <c r="S62" s="69" t="s">
        <v>3</v>
      </c>
      <c r="T62" s="69" t="s">
        <v>3</v>
      </c>
      <c r="U62" s="69" t="s">
        <v>3</v>
      </c>
      <c r="V62" s="69" t="s">
        <v>3</v>
      </c>
      <c r="W62" s="69" t="s">
        <v>3</v>
      </c>
      <c r="X62" s="58">
        <v>618.45799999999997</v>
      </c>
      <c r="Y62" s="58" t="s">
        <v>3</v>
      </c>
      <c r="Z62" s="58" t="s">
        <v>3</v>
      </c>
      <c r="AA62" s="58">
        <v>313.12299999999999</v>
      </c>
      <c r="AB62" s="58">
        <v>635.34799999999996</v>
      </c>
      <c r="AC62" s="58">
        <v>396.75200000000001</v>
      </c>
      <c r="AD62" s="58">
        <v>408.15899999999999</v>
      </c>
      <c r="AE62" s="58">
        <v>334.101</v>
      </c>
      <c r="AF62" s="58" t="s">
        <v>3</v>
      </c>
      <c r="AG62" s="58">
        <v>801.99199999999996</v>
      </c>
      <c r="AH62" s="58" t="s">
        <v>3</v>
      </c>
      <c r="AI62" s="58">
        <v>515.46100000000001</v>
      </c>
      <c r="AJ62" s="58" t="s">
        <v>3</v>
      </c>
      <c r="AK62" s="58" t="s">
        <v>3</v>
      </c>
      <c r="AL62" s="58" t="s">
        <v>3</v>
      </c>
      <c r="AM62" s="58">
        <v>363.90699999999998</v>
      </c>
      <c r="AN62" s="69" t="s">
        <v>3</v>
      </c>
      <c r="AO62" s="58" t="s">
        <v>3</v>
      </c>
      <c r="AP62" s="58" t="s">
        <v>3</v>
      </c>
      <c r="AQ62" s="58">
        <v>334.60700000000003</v>
      </c>
      <c r="AR62" s="58">
        <v>890.77099999999996</v>
      </c>
      <c r="AS62" s="58">
        <v>633.80200000000002</v>
      </c>
      <c r="AT62" s="58">
        <v>514.30899999999997</v>
      </c>
      <c r="AU62" s="58">
        <v>477.91500000000002</v>
      </c>
      <c r="AV62" s="58">
        <v>903.39800000000002</v>
      </c>
      <c r="AW62" s="58">
        <v>658.63800000000003</v>
      </c>
      <c r="AX62" s="196">
        <v>612.36300000000006</v>
      </c>
      <c r="AY62" s="58">
        <v>203.50200000000001</v>
      </c>
      <c r="AZ62" s="58">
        <v>1382.365</v>
      </c>
      <c r="BA62" s="58">
        <v>814.096</v>
      </c>
      <c r="BB62" s="58">
        <v>528.726</v>
      </c>
      <c r="BC62" s="58">
        <v>486.602404254958</v>
      </c>
      <c r="BD62" s="58">
        <v>1270.6369999999999</v>
      </c>
      <c r="BE62" s="58">
        <v>652.36113885105397</v>
      </c>
      <c r="BF62" s="58">
        <v>1184.0980837098816</v>
      </c>
      <c r="BG62" s="58">
        <v>1006.939</v>
      </c>
      <c r="BH62" s="58">
        <v>1531.3620000000001</v>
      </c>
      <c r="BI62" s="58">
        <v>1116.0166769</v>
      </c>
      <c r="BJ62" s="58">
        <v>1050.5319999999999</v>
      </c>
      <c r="BK62" s="58">
        <v>850.87199999999996</v>
      </c>
      <c r="BL62" s="58">
        <v>1813.848</v>
      </c>
      <c r="BM62" s="58">
        <v>1202.9929999999999</v>
      </c>
      <c r="BN62" s="58">
        <v>988.34</v>
      </c>
      <c r="BO62" s="58">
        <v>714.79899999999998</v>
      </c>
      <c r="BP62" s="58">
        <v>1934.8109999999999</v>
      </c>
      <c r="BQ62" s="58">
        <v>1503.2750000000001</v>
      </c>
      <c r="BR62" s="58">
        <v>1553.6969999999999</v>
      </c>
      <c r="BS62" s="58">
        <v>1019.379</v>
      </c>
      <c r="BT62" s="58">
        <v>2395.4679999999998</v>
      </c>
      <c r="BU62" s="58">
        <v>1560.3879999999999</v>
      </c>
      <c r="BV62" s="55"/>
      <c r="BW62" s="58">
        <v>313.12299999999999</v>
      </c>
      <c r="BX62" s="58">
        <v>334.101</v>
      </c>
      <c r="BY62" s="58">
        <v>515.46100000000001</v>
      </c>
      <c r="BZ62" s="58">
        <v>363.90699999999998</v>
      </c>
      <c r="CA62" s="58">
        <v>334.60700000000003</v>
      </c>
      <c r="CB62" s="58">
        <v>477.91500000000002</v>
      </c>
      <c r="CC62" s="58">
        <f>AY62</f>
        <v>203.50200000000001</v>
      </c>
      <c r="CD62" s="58">
        <v>486.602404254958</v>
      </c>
      <c r="CE62" s="58">
        <v>1006.939</v>
      </c>
      <c r="CF62" s="58">
        <v>850.87199999999996</v>
      </c>
      <c r="CG62" s="58">
        <v>714.79899999999998</v>
      </c>
      <c r="CH62" s="58">
        <v>1019.379</v>
      </c>
    </row>
    <row r="63" spans="1:86" s="6" customFormat="1" ht="14.5" outlineLevel="1" x14ac:dyDescent="0.35">
      <c r="A63" s="18"/>
      <c r="B63" s="10" t="str">
        <f>IF(Control!$D$5=1,"Long Term Liabilities","Passivo não Circulante")</f>
        <v>Passivo não Circulante</v>
      </c>
      <c r="C63" s="69" t="s">
        <v>3</v>
      </c>
      <c r="D63" s="69" t="s">
        <v>3</v>
      </c>
      <c r="E63" s="69" t="s">
        <v>3</v>
      </c>
      <c r="F63" s="69" t="s">
        <v>3</v>
      </c>
      <c r="G63" s="69" t="s">
        <v>3</v>
      </c>
      <c r="H63" s="69" t="s">
        <v>3</v>
      </c>
      <c r="I63" s="69" t="s">
        <v>3</v>
      </c>
      <c r="J63" s="69" t="s">
        <v>3</v>
      </c>
      <c r="K63" s="69" t="s">
        <v>3</v>
      </c>
      <c r="L63" s="69" t="s">
        <v>3</v>
      </c>
      <c r="M63" s="69" t="s">
        <v>3</v>
      </c>
      <c r="N63" s="69" t="s">
        <v>3</v>
      </c>
      <c r="O63" s="69" t="s">
        <v>3</v>
      </c>
      <c r="P63" s="69" t="s">
        <v>3</v>
      </c>
      <c r="Q63" s="69" t="s">
        <v>3</v>
      </c>
      <c r="R63" s="69" t="s">
        <v>3</v>
      </c>
      <c r="S63" s="69" t="s">
        <v>3</v>
      </c>
      <c r="T63" s="69" t="s">
        <v>3</v>
      </c>
      <c r="U63" s="69" t="s">
        <v>3</v>
      </c>
      <c r="V63" s="69" t="s">
        <v>3</v>
      </c>
      <c r="W63" s="69" t="s">
        <v>3</v>
      </c>
      <c r="X63" s="58">
        <v>78.881</v>
      </c>
      <c r="Y63" s="58" t="s">
        <v>3</v>
      </c>
      <c r="Z63" s="58" t="s">
        <v>3</v>
      </c>
      <c r="AA63" s="58">
        <v>85.864000000000004</v>
      </c>
      <c r="AB63" s="58">
        <v>76.994</v>
      </c>
      <c r="AC63" s="58">
        <v>64.087000000000003</v>
      </c>
      <c r="AD63" s="58">
        <v>177.27500000000001</v>
      </c>
      <c r="AE63" s="58">
        <v>171.90299999999999</v>
      </c>
      <c r="AF63" s="58" t="s">
        <v>3</v>
      </c>
      <c r="AG63" s="58">
        <v>180.203</v>
      </c>
      <c r="AH63" s="58" t="s">
        <v>3</v>
      </c>
      <c r="AI63" s="58">
        <v>193.93700000000001</v>
      </c>
      <c r="AJ63" s="58" t="s">
        <v>3</v>
      </c>
      <c r="AK63" s="58" t="s">
        <v>3</v>
      </c>
      <c r="AL63" s="58" t="s">
        <v>3</v>
      </c>
      <c r="AM63" s="58">
        <v>197.81200000000001</v>
      </c>
      <c r="AN63" s="69" t="s">
        <v>3</v>
      </c>
      <c r="AO63" s="58" t="s">
        <v>3</v>
      </c>
      <c r="AP63" s="58" t="s">
        <v>3</v>
      </c>
      <c r="AQ63" s="58">
        <v>134.72499999999999</v>
      </c>
      <c r="AR63" s="58">
        <v>146.36199999999999</v>
      </c>
      <c r="AS63" s="58">
        <v>148.99700000000001</v>
      </c>
      <c r="AT63" s="58">
        <v>128.67500000000001</v>
      </c>
      <c r="AU63" s="58">
        <v>165.53700000000001</v>
      </c>
      <c r="AV63" s="58">
        <v>122.313</v>
      </c>
      <c r="AW63" s="58">
        <v>116.736</v>
      </c>
      <c r="AX63" s="196">
        <v>115.01</v>
      </c>
      <c r="AY63" s="58">
        <v>125.931</v>
      </c>
      <c r="AZ63" s="58">
        <v>397.25599999999997</v>
      </c>
      <c r="BA63" s="58">
        <v>385.74099999999999</v>
      </c>
      <c r="BB63" s="58">
        <v>304.78199999999998</v>
      </c>
      <c r="BC63" s="58">
        <v>298.94328216999997</v>
      </c>
      <c r="BD63" s="58">
        <v>250.904</v>
      </c>
      <c r="BE63" s="58">
        <v>224.61070570000001</v>
      </c>
      <c r="BF63" s="58">
        <v>271.77163902000012</v>
      </c>
      <c r="BG63" s="58">
        <v>185.059</v>
      </c>
      <c r="BH63" s="58">
        <v>466.36799999999999</v>
      </c>
      <c r="BI63" s="58">
        <v>491.77689484000018</v>
      </c>
      <c r="BJ63" s="58">
        <v>484.09399999999999</v>
      </c>
      <c r="BK63" s="58">
        <v>1097.4570000000001</v>
      </c>
      <c r="BL63" s="58">
        <v>811.72299999999996</v>
      </c>
      <c r="BM63" s="58">
        <v>568.61099999999999</v>
      </c>
      <c r="BN63" s="58">
        <v>547.60699999999997</v>
      </c>
      <c r="BO63" s="58">
        <v>558.93600000000004</v>
      </c>
      <c r="BP63" s="58">
        <v>540.755</v>
      </c>
      <c r="BQ63" s="58">
        <v>568.30999999999995</v>
      </c>
      <c r="BR63" s="58">
        <v>615.33900000000006</v>
      </c>
      <c r="BS63" s="58">
        <v>603.79899999999998</v>
      </c>
      <c r="BT63" s="58">
        <v>538.82600000000002</v>
      </c>
      <c r="BU63" s="58">
        <v>500.59500000000003</v>
      </c>
      <c r="BV63" s="55"/>
      <c r="BW63" s="58">
        <v>85.864000000000004</v>
      </c>
      <c r="BX63" s="58">
        <v>171.90299999999999</v>
      </c>
      <c r="BY63" s="58">
        <v>193.93700000000001</v>
      </c>
      <c r="BZ63" s="58">
        <v>197.81200000000001</v>
      </c>
      <c r="CA63" s="58">
        <v>134.72499999999999</v>
      </c>
      <c r="CB63" s="58">
        <v>165.53700000000001</v>
      </c>
      <c r="CC63" s="58">
        <f>AY63</f>
        <v>125.931</v>
      </c>
      <c r="CD63" s="58">
        <v>298.94328216999997</v>
      </c>
      <c r="CE63" s="58">
        <v>185.059</v>
      </c>
      <c r="CF63" s="58">
        <v>1097.4570000000001</v>
      </c>
      <c r="CG63" s="58">
        <v>558.93600000000004</v>
      </c>
      <c r="CH63" s="58">
        <v>603.79899999999998</v>
      </c>
    </row>
    <row r="64" spans="1:86" ht="6.75" customHeight="1" x14ac:dyDescent="0.35">
      <c r="A64" s="6"/>
      <c r="B64" s="10"/>
      <c r="C64" s="59"/>
      <c r="D64" s="10"/>
      <c r="E64" s="59"/>
      <c r="F64" s="59"/>
      <c r="G64" s="59"/>
      <c r="H64" s="10"/>
      <c r="I64" s="59"/>
      <c r="J64" s="59"/>
      <c r="K64" s="59"/>
      <c r="L64" s="10"/>
      <c r="M64" s="59"/>
      <c r="N64" s="59"/>
      <c r="O64" s="59"/>
      <c r="P64" s="10"/>
      <c r="Q64" s="59"/>
      <c r="R64" s="59"/>
      <c r="S64" s="59"/>
      <c r="T64" s="10"/>
      <c r="U64" s="59"/>
      <c r="V64" s="59"/>
      <c r="W64" s="59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241"/>
      <c r="BU64" s="241"/>
      <c r="BV64" s="55"/>
      <c r="BW64" s="57"/>
      <c r="BX64" s="57"/>
      <c r="BY64" s="63"/>
      <c r="BZ64" s="63"/>
      <c r="CA64" s="63"/>
      <c r="CB64" s="63"/>
      <c r="CC64" s="63"/>
      <c r="CD64" s="63"/>
      <c r="CE64" s="63"/>
      <c r="CF64" s="63"/>
      <c r="CG64" s="63"/>
      <c r="CH64" s="63"/>
    </row>
    <row r="65" spans="2:86" ht="14.5" x14ac:dyDescent="0.35">
      <c r="B65" s="31" t="str">
        <f>IF(Control!$D$5=1,"EBITDA Reconciliation","Reconciliação EBITDA")</f>
        <v>Reconciliação EBITDA</v>
      </c>
      <c r="C65" s="138"/>
      <c r="D65" s="31"/>
      <c r="E65" s="138"/>
      <c r="F65" s="138"/>
      <c r="G65" s="138"/>
      <c r="H65" s="31"/>
      <c r="I65" s="138"/>
      <c r="J65" s="138"/>
      <c r="K65" s="138"/>
      <c r="L65" s="31"/>
      <c r="M65" s="138"/>
      <c r="N65" s="138"/>
      <c r="O65" s="138"/>
      <c r="P65" s="31"/>
      <c r="Q65" s="138"/>
      <c r="R65" s="138"/>
      <c r="S65" s="138"/>
      <c r="T65" s="31"/>
      <c r="U65" s="138"/>
      <c r="V65" s="138"/>
      <c r="W65" s="138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181"/>
      <c r="BO65" s="181"/>
      <c r="BP65" s="181"/>
      <c r="BQ65" s="181"/>
      <c r="BR65" s="181"/>
      <c r="BS65" s="181"/>
      <c r="BT65" s="181"/>
      <c r="BU65" s="181"/>
      <c r="BV65" s="55"/>
      <c r="BW65" s="92"/>
      <c r="BX65" s="92"/>
      <c r="BY65" s="92"/>
      <c r="BZ65" s="92"/>
      <c r="CA65" s="92"/>
      <c r="CB65" s="92"/>
      <c r="CC65" s="92"/>
      <c r="CD65" s="92"/>
      <c r="CE65" s="92"/>
      <c r="CF65" s="92"/>
      <c r="CG65" s="92"/>
      <c r="CH65" s="92"/>
    </row>
    <row r="66" spans="2:86" ht="14.5" x14ac:dyDescent="0.35">
      <c r="B66" s="10" t="str">
        <f>IF(Control!$D$5=1,"Net Income","Lucro Líquido")</f>
        <v>Lucro Líquido</v>
      </c>
      <c r="C66" s="69" t="s">
        <v>3</v>
      </c>
      <c r="D66" s="69" t="s">
        <v>3</v>
      </c>
      <c r="E66" s="69" t="s">
        <v>3</v>
      </c>
      <c r="F66" s="69" t="s">
        <v>3</v>
      </c>
      <c r="G66" s="69" t="s">
        <v>3</v>
      </c>
      <c r="H66" s="69" t="s">
        <v>3</v>
      </c>
      <c r="I66" s="69" t="s">
        <v>3</v>
      </c>
      <c r="J66" s="69" t="s">
        <v>3</v>
      </c>
      <c r="K66" s="69" t="s">
        <v>3</v>
      </c>
      <c r="L66" s="69" t="s">
        <v>3</v>
      </c>
      <c r="M66" s="69" t="s">
        <v>3</v>
      </c>
      <c r="N66" s="69" t="s">
        <v>3</v>
      </c>
      <c r="O66" s="69" t="s">
        <v>3</v>
      </c>
      <c r="P66" s="69" t="s">
        <v>3</v>
      </c>
      <c r="Q66" s="69" t="s">
        <v>3</v>
      </c>
      <c r="R66" s="69" t="s">
        <v>3</v>
      </c>
      <c r="S66" s="69" t="s">
        <v>3</v>
      </c>
      <c r="T66" s="69" t="s">
        <v>3</v>
      </c>
      <c r="U66" s="69" t="s">
        <v>3</v>
      </c>
      <c r="V66" s="69" t="s">
        <v>3</v>
      </c>
      <c r="W66" s="69" t="s">
        <v>3</v>
      </c>
      <c r="X66" s="71">
        <f t="shared" ref="X66:AZ66" si="61">+X58</f>
        <v>9.5910000000000011</v>
      </c>
      <c r="Y66" s="71">
        <f t="shared" si="61"/>
        <v>5.4479999999999924</v>
      </c>
      <c r="Z66" s="71">
        <f t="shared" si="61"/>
        <v>7.0480000000000098</v>
      </c>
      <c r="AA66" s="71">
        <f t="shared" si="61"/>
        <v>9.4179999999999922</v>
      </c>
      <c r="AB66" s="71">
        <f t="shared" si="61"/>
        <v>12.732999999999999</v>
      </c>
      <c r="AC66" s="71">
        <f t="shared" si="61"/>
        <v>14.332000000000006</v>
      </c>
      <c r="AD66" s="71">
        <f t="shared" si="61"/>
        <v>11.067999999999998</v>
      </c>
      <c r="AE66" s="71">
        <f t="shared" si="61"/>
        <v>0.68870000000000076</v>
      </c>
      <c r="AF66" s="71">
        <f t="shared" si="61"/>
        <v>8.4429999999999943</v>
      </c>
      <c r="AG66" s="71">
        <f t="shared" si="61"/>
        <v>19.367999999999999</v>
      </c>
      <c r="AH66" s="71">
        <f t="shared" si="61"/>
        <v>12.133999999999983</v>
      </c>
      <c r="AI66" s="71">
        <f t="shared" si="61"/>
        <v>-3.7449999999999442</v>
      </c>
      <c r="AJ66" s="71">
        <f t="shared" si="61"/>
        <v>13.596999999999994</v>
      </c>
      <c r="AK66" s="71">
        <f t="shared" si="61"/>
        <v>20.573000000000011</v>
      </c>
      <c r="AL66" s="71">
        <f t="shared" si="61"/>
        <v>19.270999999999994</v>
      </c>
      <c r="AM66" s="71">
        <f t="shared" si="61"/>
        <v>14.210000000000015</v>
      </c>
      <c r="AN66" s="71">
        <f t="shared" si="61"/>
        <v>22.477000000000007</v>
      </c>
      <c r="AO66" s="71">
        <f t="shared" si="61"/>
        <v>16.073999999999977</v>
      </c>
      <c r="AP66" s="71">
        <f t="shared" si="61"/>
        <v>23.388000000000027</v>
      </c>
      <c r="AQ66" s="71">
        <f t="shared" si="61"/>
        <v>15.261000000000031</v>
      </c>
      <c r="AR66" s="71">
        <f t="shared" si="61"/>
        <v>16.000000000000014</v>
      </c>
      <c r="AS66" s="71">
        <f t="shared" si="61"/>
        <v>36.583000000000027</v>
      </c>
      <c r="AT66" s="71">
        <f t="shared" si="61"/>
        <v>26.999999999999972</v>
      </c>
      <c r="AU66" s="71">
        <f t="shared" si="61"/>
        <v>21.9</v>
      </c>
      <c r="AV66" s="71">
        <f t="shared" si="61"/>
        <v>19.100000000000019</v>
      </c>
      <c r="AW66" s="71">
        <f t="shared" si="61"/>
        <v>14.766000000000023</v>
      </c>
      <c r="AX66" s="71">
        <f t="shared" si="61"/>
        <v>21.763999999999896</v>
      </c>
      <c r="AY66" s="71">
        <f t="shared" si="61"/>
        <v>23.353000000000016</v>
      </c>
      <c r="AZ66" s="71">
        <f t="shared" si="61"/>
        <v>41.145999999999944</v>
      </c>
      <c r="BA66" s="71">
        <v>42.297000000000068</v>
      </c>
      <c r="BB66" s="71">
        <f t="shared" ref="BB66:BL66" si="62">BB58</f>
        <v>28.967999999999996</v>
      </c>
      <c r="BC66" s="71">
        <f t="shared" si="62"/>
        <v>9.2684222517058608</v>
      </c>
      <c r="BD66" s="71">
        <f t="shared" si="62"/>
        <v>35.057999999999979</v>
      </c>
      <c r="BE66" s="71">
        <f t="shared" si="62"/>
        <v>39.368957010572473</v>
      </c>
      <c r="BF66" s="71">
        <f t="shared" si="62"/>
        <v>37.550822757848145</v>
      </c>
      <c r="BG66" s="71">
        <f t="shared" si="62"/>
        <v>66.972010499793868</v>
      </c>
      <c r="BH66" s="71">
        <f t="shared" si="62"/>
        <v>36.861706945880307</v>
      </c>
      <c r="BI66" s="71">
        <f t="shared" si="62"/>
        <v>37.75929305411973</v>
      </c>
      <c r="BJ66" s="71">
        <f t="shared" si="62"/>
        <v>34.667999999999985</v>
      </c>
      <c r="BK66" s="71">
        <f t="shared" si="62"/>
        <v>11.70200000000003</v>
      </c>
      <c r="BL66" s="71">
        <f t="shared" si="62"/>
        <v>20.439000000000011</v>
      </c>
      <c r="BM66" s="71">
        <f t="shared" ref="BM66:BS66" si="63">BM58</f>
        <v>37.936266646797591</v>
      </c>
      <c r="BN66" s="215">
        <f t="shared" si="63"/>
        <v>48.498000000000005</v>
      </c>
      <c r="BO66" s="215">
        <f t="shared" si="63"/>
        <v>30.486579764895456</v>
      </c>
      <c r="BP66" s="215">
        <f t="shared" si="63"/>
        <v>38.545999999999999</v>
      </c>
      <c r="BQ66" s="215">
        <f t="shared" si="63"/>
        <v>46.213000000000001</v>
      </c>
      <c r="BR66" s="215">
        <f t="shared" si="63"/>
        <v>29.795000000000009</v>
      </c>
      <c r="BS66" s="215">
        <f t="shared" si="63"/>
        <v>19.607000000000003</v>
      </c>
      <c r="BT66" s="215">
        <f t="shared" ref="BT66" si="64">BT58</f>
        <v>41.811999999999969</v>
      </c>
      <c r="BU66" s="247">
        <v>34.596000000000025</v>
      </c>
      <c r="BV66" s="55"/>
      <c r="BW66" s="71">
        <f t="shared" ref="BW66:CE66" si="65">+BW58</f>
        <v>31.504999999999992</v>
      </c>
      <c r="BX66" s="71">
        <f t="shared" si="65"/>
        <v>38.821700000000007</v>
      </c>
      <c r="BY66" s="71">
        <f t="shared" si="65"/>
        <v>36.200000000000031</v>
      </c>
      <c r="BZ66" s="71">
        <f t="shared" si="65"/>
        <v>67.599999999999994</v>
      </c>
      <c r="CA66" s="71">
        <f t="shared" si="65"/>
        <v>77.200000000000017</v>
      </c>
      <c r="CB66" s="71">
        <f t="shared" si="65"/>
        <v>101.639</v>
      </c>
      <c r="CC66" s="71">
        <f t="shared" si="65"/>
        <v>78.982999999999947</v>
      </c>
      <c r="CD66" s="71">
        <f t="shared" si="65"/>
        <v>119.88376648448526</v>
      </c>
      <c r="CE66" s="71">
        <f t="shared" si="65"/>
        <v>178.94979026821446</v>
      </c>
      <c r="CF66" s="71">
        <v>120.98900000000003</v>
      </c>
      <c r="CG66" s="71">
        <v>137.36006007252678</v>
      </c>
      <c r="CH66" s="71">
        <v>134.16100000000003</v>
      </c>
    </row>
    <row r="67" spans="2:86" ht="14.5" x14ac:dyDescent="0.35">
      <c r="B67" s="10" t="str">
        <f>IF(Control!$D$5=1,"(+) Net Finacial Result","(+) Resultado Financeiro Líquido")</f>
        <v>(+) Resultado Financeiro Líquido</v>
      </c>
      <c r="C67" s="69" t="s">
        <v>3</v>
      </c>
      <c r="D67" s="69" t="s">
        <v>3</v>
      </c>
      <c r="E67" s="69" t="s">
        <v>3</v>
      </c>
      <c r="F67" s="69" t="s">
        <v>3</v>
      </c>
      <c r="G67" s="69" t="s">
        <v>3</v>
      </c>
      <c r="H67" s="69" t="s">
        <v>3</v>
      </c>
      <c r="I67" s="69" t="s">
        <v>3</v>
      </c>
      <c r="J67" s="69" t="s">
        <v>3</v>
      </c>
      <c r="K67" s="69" t="s">
        <v>3</v>
      </c>
      <c r="L67" s="69" t="s">
        <v>3</v>
      </c>
      <c r="M67" s="69" t="s">
        <v>3</v>
      </c>
      <c r="N67" s="69" t="s">
        <v>3</v>
      </c>
      <c r="O67" s="69" t="s">
        <v>3</v>
      </c>
      <c r="P67" s="69" t="s">
        <v>3</v>
      </c>
      <c r="Q67" s="69" t="s">
        <v>3</v>
      </c>
      <c r="R67" s="69" t="s">
        <v>3</v>
      </c>
      <c r="S67" s="69" t="s">
        <v>3</v>
      </c>
      <c r="T67" s="69" t="s">
        <v>3</v>
      </c>
      <c r="U67" s="69" t="s">
        <v>3</v>
      </c>
      <c r="V67" s="69" t="s">
        <v>3</v>
      </c>
      <c r="W67" s="69" t="s">
        <v>3</v>
      </c>
      <c r="X67" s="67">
        <f t="shared" ref="X67:AZ67" si="66">-X53</f>
        <v>5.3979999999999997</v>
      </c>
      <c r="Y67" s="67">
        <f t="shared" si="66"/>
        <v>9.4559999999999995</v>
      </c>
      <c r="Z67" s="67">
        <f t="shared" si="66"/>
        <v>3.7390000000000008</v>
      </c>
      <c r="AA67" s="67">
        <f t="shared" si="66"/>
        <v>5.9499999999999993</v>
      </c>
      <c r="AB67" s="67">
        <f t="shared" si="66"/>
        <v>2.8479999999999999</v>
      </c>
      <c r="AC67" s="67">
        <f t="shared" si="66"/>
        <v>4.2320000000000011</v>
      </c>
      <c r="AD67" s="67">
        <f t="shared" si="66"/>
        <v>4.9379999999999997</v>
      </c>
      <c r="AE67" s="67">
        <f t="shared" si="66"/>
        <v>5.9653</v>
      </c>
      <c r="AF67" s="67">
        <f t="shared" si="66"/>
        <v>5.1700000000000008</v>
      </c>
      <c r="AG67" s="67">
        <f t="shared" si="66"/>
        <v>7.9349999999999987</v>
      </c>
      <c r="AH67" s="67">
        <f t="shared" si="66"/>
        <v>8.8689999999999998</v>
      </c>
      <c r="AI67" s="67">
        <f t="shared" si="66"/>
        <v>8.5230000000000032</v>
      </c>
      <c r="AJ67" s="67">
        <f t="shared" si="66"/>
        <v>2.37</v>
      </c>
      <c r="AK67" s="67">
        <f t="shared" si="66"/>
        <v>5.137999999999999</v>
      </c>
      <c r="AL67" s="67">
        <f t="shared" si="66"/>
        <v>5.5039999999999996</v>
      </c>
      <c r="AM67" s="67">
        <f t="shared" si="66"/>
        <v>2.4959999999999969</v>
      </c>
      <c r="AN67" s="67">
        <f t="shared" si="66"/>
        <v>1.9639999999999995</v>
      </c>
      <c r="AO67" s="67">
        <f t="shared" si="66"/>
        <v>5.52</v>
      </c>
      <c r="AP67" s="67">
        <f t="shared" si="66"/>
        <v>4.5390000000000024</v>
      </c>
      <c r="AQ67" s="67">
        <f t="shared" si="66"/>
        <v>4.3769999999999971</v>
      </c>
      <c r="AR67" s="67">
        <f t="shared" si="66"/>
        <v>3.2</v>
      </c>
      <c r="AS67" s="67">
        <f t="shared" si="66"/>
        <v>9.1170000000000009</v>
      </c>
      <c r="AT67" s="67">
        <f t="shared" si="66"/>
        <v>3.8999999999999968</v>
      </c>
      <c r="AU67" s="67">
        <f t="shared" si="66"/>
        <v>0</v>
      </c>
      <c r="AV67" s="67">
        <f t="shared" si="66"/>
        <v>0.70000000000000018</v>
      </c>
      <c r="AW67" s="67">
        <f t="shared" si="66"/>
        <v>3.1020000000000003</v>
      </c>
      <c r="AX67" s="67">
        <f t="shared" si="66"/>
        <v>4.2090000000000014</v>
      </c>
      <c r="AY67" s="67">
        <f t="shared" si="66"/>
        <v>0.9480000000000004</v>
      </c>
      <c r="AZ67" s="67">
        <f t="shared" si="66"/>
        <v>3.7440000000000007</v>
      </c>
      <c r="BA67" s="67">
        <v>3.7530000000000001</v>
      </c>
      <c r="BB67" s="67">
        <f t="shared" ref="BB67:BN67" si="67">-BB53</f>
        <v>1.5380000000000011</v>
      </c>
      <c r="BC67" s="67">
        <f t="shared" si="67"/>
        <v>9.8262848908613076</v>
      </c>
      <c r="BD67" s="67">
        <f t="shared" si="67"/>
        <v>2.7549999999999999</v>
      </c>
      <c r="BE67" s="67">
        <f t="shared" si="67"/>
        <v>-1.1333261305350897</v>
      </c>
      <c r="BF67" s="67">
        <f t="shared" si="67"/>
        <v>3.0589252365954893</v>
      </c>
      <c r="BG67" s="67">
        <f t="shared" si="67"/>
        <v>-4.0701409405267333</v>
      </c>
      <c r="BH67" s="67">
        <f t="shared" si="67"/>
        <v>-2.0180000000000007</v>
      </c>
      <c r="BI67" s="67">
        <f t="shared" si="67"/>
        <v>14.179000000000004</v>
      </c>
      <c r="BJ67" s="67">
        <f t="shared" si="67"/>
        <v>4.9660000000000011</v>
      </c>
      <c r="BK67" s="67">
        <f t="shared" si="67"/>
        <v>2.4169999999999998</v>
      </c>
      <c r="BL67" s="67">
        <f t="shared" si="67"/>
        <v>9.6370000000000005</v>
      </c>
      <c r="BM67" s="67">
        <f t="shared" si="67"/>
        <v>7.6511996339456836</v>
      </c>
      <c r="BN67" s="67">
        <f t="shared" si="67"/>
        <v>12.819999999999999</v>
      </c>
      <c r="BO67" s="67">
        <f t="shared" ref="BO67:BT67" si="68">-BO53</f>
        <v>10.104648031594726</v>
      </c>
      <c r="BP67" s="67">
        <f t="shared" si="68"/>
        <v>9.2609999999999992</v>
      </c>
      <c r="BQ67" s="67">
        <f t="shared" si="68"/>
        <v>13.433000000000002</v>
      </c>
      <c r="BR67" s="67">
        <f t="shared" si="68"/>
        <v>22.552999999999997</v>
      </c>
      <c r="BS67" s="67">
        <f t="shared" si="68"/>
        <v>18.890999999999998</v>
      </c>
      <c r="BT67" s="67">
        <f t="shared" si="68"/>
        <v>8.2780000000000005</v>
      </c>
      <c r="BU67" s="67">
        <v>13.733000000000001</v>
      </c>
      <c r="BV67" s="55"/>
      <c r="BW67" s="67">
        <f t="shared" ref="BW67:CE67" si="69">-BW53</f>
        <v>24.542999999999999</v>
      </c>
      <c r="BX67" s="67">
        <f t="shared" si="69"/>
        <v>17.9833</v>
      </c>
      <c r="BY67" s="67">
        <f t="shared" si="69"/>
        <v>30.497000000000003</v>
      </c>
      <c r="BZ67" s="67">
        <f t="shared" si="69"/>
        <v>15.499999999999996</v>
      </c>
      <c r="CA67" s="67">
        <f t="shared" si="69"/>
        <v>16.399999999999999</v>
      </c>
      <c r="CB67" s="67">
        <f t="shared" si="69"/>
        <v>16.335999999999999</v>
      </c>
      <c r="CC67" s="67">
        <f t="shared" si="69"/>
        <v>8.9590000000000032</v>
      </c>
      <c r="CD67" s="67">
        <f t="shared" si="69"/>
        <v>18.861000000000001</v>
      </c>
      <c r="CE67" s="67">
        <f t="shared" si="69"/>
        <v>0.61045816553366627</v>
      </c>
      <c r="CF67" s="67">
        <v>19.542999999999999</v>
      </c>
      <c r="CG67" s="67">
        <v>40.212847665540409</v>
      </c>
      <c r="CH67" s="67">
        <v>64.138000000000005</v>
      </c>
    </row>
    <row r="68" spans="2:86" ht="14.5" x14ac:dyDescent="0.35">
      <c r="B68" s="10" t="str">
        <f>IF(Control!$D$5=1,"(+) Income Taxes","(+) Imposto de Renda / CSLL")</f>
        <v>(+) Imposto de Renda / CSLL</v>
      </c>
      <c r="C68" s="69" t="s">
        <v>3</v>
      </c>
      <c r="D68" s="69" t="s">
        <v>3</v>
      </c>
      <c r="E68" s="69" t="s">
        <v>3</v>
      </c>
      <c r="F68" s="69" t="s">
        <v>3</v>
      </c>
      <c r="G68" s="69" t="s">
        <v>3</v>
      </c>
      <c r="H68" s="69" t="s">
        <v>3</v>
      </c>
      <c r="I68" s="69" t="s">
        <v>3</v>
      </c>
      <c r="J68" s="69" t="s">
        <v>3</v>
      </c>
      <c r="K68" s="69" t="s">
        <v>3</v>
      </c>
      <c r="L68" s="69" t="s">
        <v>3</v>
      </c>
      <c r="M68" s="69" t="s">
        <v>3</v>
      </c>
      <c r="N68" s="69" t="s">
        <v>3</v>
      </c>
      <c r="O68" s="69" t="s">
        <v>3</v>
      </c>
      <c r="P68" s="69" t="s">
        <v>3</v>
      </c>
      <c r="Q68" s="69" t="s">
        <v>3</v>
      </c>
      <c r="R68" s="69" t="s">
        <v>3</v>
      </c>
      <c r="S68" s="69" t="s">
        <v>3</v>
      </c>
      <c r="T68" s="69" t="s">
        <v>3</v>
      </c>
      <c r="U68" s="69" t="s">
        <v>3</v>
      </c>
      <c r="V68" s="69" t="s">
        <v>3</v>
      </c>
      <c r="W68" s="69" t="s">
        <v>3</v>
      </c>
      <c r="X68" s="67">
        <f t="shared" ref="X68:AZ68" si="70">-X57</f>
        <v>4.931</v>
      </c>
      <c r="Y68" s="67">
        <f t="shared" si="70"/>
        <v>3.2489999999999997</v>
      </c>
      <c r="Z68" s="67">
        <f t="shared" si="70"/>
        <v>-1.6789999999999994</v>
      </c>
      <c r="AA68" s="67">
        <f t="shared" si="70"/>
        <v>5.698999999999999</v>
      </c>
      <c r="AB68" s="67">
        <f t="shared" si="70"/>
        <v>3.1850000000000001</v>
      </c>
      <c r="AC68" s="67">
        <f t="shared" si="70"/>
        <v>1.8729999999999998</v>
      </c>
      <c r="AD68" s="67">
        <f t="shared" si="70"/>
        <v>3.3110000000000004</v>
      </c>
      <c r="AE68" s="67">
        <f t="shared" si="70"/>
        <v>8.52</v>
      </c>
      <c r="AF68" s="67">
        <f t="shared" si="70"/>
        <v>7.98</v>
      </c>
      <c r="AG68" s="67">
        <f t="shared" si="70"/>
        <v>1.6909999999999989</v>
      </c>
      <c r="AH68" s="67">
        <f t="shared" si="70"/>
        <v>9.0190000000000019</v>
      </c>
      <c r="AI68" s="67">
        <f t="shared" si="70"/>
        <v>1.916999999999998</v>
      </c>
      <c r="AJ68" s="67">
        <f t="shared" si="70"/>
        <v>1.5529999999999999</v>
      </c>
      <c r="AK68" s="67">
        <f t="shared" si="70"/>
        <v>6.3250000000000002</v>
      </c>
      <c r="AL68" s="67">
        <f t="shared" si="70"/>
        <v>2.8360000000000003</v>
      </c>
      <c r="AM68" s="67">
        <f t="shared" si="70"/>
        <v>4.6239999999999988</v>
      </c>
      <c r="AN68" s="67">
        <f t="shared" si="70"/>
        <v>-1.419</v>
      </c>
      <c r="AO68" s="67">
        <f t="shared" si="70"/>
        <v>8.016</v>
      </c>
      <c r="AP68" s="67">
        <f t="shared" si="70"/>
        <v>4.8939999999999992</v>
      </c>
      <c r="AQ68" s="67">
        <f t="shared" si="70"/>
        <v>5.9089999999999989</v>
      </c>
      <c r="AR68" s="67">
        <f t="shared" si="70"/>
        <v>6.8</v>
      </c>
      <c r="AS68" s="67">
        <f t="shared" si="70"/>
        <v>5.8</v>
      </c>
      <c r="AT68" s="67">
        <f t="shared" si="70"/>
        <v>4.2000000000000011</v>
      </c>
      <c r="AU68" s="67">
        <f t="shared" si="70"/>
        <v>4.4000000000000004</v>
      </c>
      <c r="AV68" s="67">
        <f t="shared" si="70"/>
        <v>5.8</v>
      </c>
      <c r="AW68" s="67">
        <f t="shared" si="70"/>
        <v>5.3129999999999997</v>
      </c>
      <c r="AX68" s="67">
        <f t="shared" si="70"/>
        <v>4.82</v>
      </c>
      <c r="AY68" s="67">
        <f t="shared" si="70"/>
        <v>9.0009999999999994</v>
      </c>
      <c r="AZ68" s="67">
        <f t="shared" si="70"/>
        <v>8.9429999999999996</v>
      </c>
      <c r="BA68" s="67">
        <v>9.6929999999999996</v>
      </c>
      <c r="BB68" s="67">
        <f t="shared" ref="BB68:BL68" si="71">-BB57</f>
        <v>12.676</v>
      </c>
      <c r="BC68" s="67">
        <f t="shared" si="71"/>
        <v>8.0928061048639499</v>
      </c>
      <c r="BD68" s="67">
        <f t="shared" si="71"/>
        <v>8.2059999999999995</v>
      </c>
      <c r="BE68" s="67">
        <f t="shared" si="71"/>
        <v>10.352604775931052</v>
      </c>
      <c r="BF68" s="67">
        <f t="shared" si="71"/>
        <v>12.680502345051638</v>
      </c>
      <c r="BG68" s="67">
        <f t="shared" si="71"/>
        <v>14.811603725008389</v>
      </c>
      <c r="BH68" s="67">
        <f t="shared" si="71"/>
        <v>1.7000000000000001E-2</v>
      </c>
      <c r="BI68" s="67">
        <f t="shared" si="71"/>
        <v>1.673</v>
      </c>
      <c r="BJ68" s="67">
        <f t="shared" si="71"/>
        <v>4.7030000000000003</v>
      </c>
      <c r="BK68" s="67">
        <f t="shared" si="71"/>
        <v>7.73</v>
      </c>
      <c r="BL68" s="67">
        <f t="shared" si="71"/>
        <v>3.9590000000000001</v>
      </c>
      <c r="BM68" s="67">
        <f t="shared" ref="BM68:BT68" si="72">-BM57</f>
        <v>7.9946423185688111</v>
      </c>
      <c r="BN68" s="67">
        <f t="shared" si="72"/>
        <v>5.1660000000000004</v>
      </c>
      <c r="BO68" s="67">
        <f t="shared" si="72"/>
        <v>-9.7721893628099785</v>
      </c>
      <c r="BP68" s="67">
        <f t="shared" si="72"/>
        <v>3.379</v>
      </c>
      <c r="BQ68" s="67">
        <f t="shared" si="72"/>
        <v>10.912000000000001</v>
      </c>
      <c r="BR68" s="67">
        <f t="shared" si="72"/>
        <v>14.638</v>
      </c>
      <c r="BS68" s="67">
        <f t="shared" si="72"/>
        <v>1.998</v>
      </c>
      <c r="BT68" s="67">
        <f t="shared" si="72"/>
        <v>-1.919</v>
      </c>
      <c r="BU68" s="67">
        <v>-2.8759999999999999</v>
      </c>
      <c r="BV68" s="55"/>
      <c r="BW68" s="67">
        <f t="shared" ref="BW68:CE68" si="73">-BW57</f>
        <v>12.2</v>
      </c>
      <c r="BX68" s="67">
        <f t="shared" si="73"/>
        <v>16.888999999999999</v>
      </c>
      <c r="BY68" s="67">
        <f t="shared" si="73"/>
        <v>20.606999999999999</v>
      </c>
      <c r="BZ68" s="67">
        <f t="shared" si="73"/>
        <v>15.3</v>
      </c>
      <c r="CA68" s="67">
        <f t="shared" si="73"/>
        <v>17.399999999999999</v>
      </c>
      <c r="CB68" s="67">
        <f t="shared" si="73"/>
        <v>21.135000000000002</v>
      </c>
      <c r="CC68" s="67">
        <f t="shared" si="73"/>
        <v>24.933999999999997</v>
      </c>
      <c r="CD68" s="67">
        <f t="shared" si="73"/>
        <v>41.2</v>
      </c>
      <c r="CE68" s="67">
        <f t="shared" si="73"/>
        <v>46.050710845991077</v>
      </c>
      <c r="CF68" s="67">
        <v>14.124000000000001</v>
      </c>
      <c r="CG68" s="67">
        <v>7.3474529557588326</v>
      </c>
      <c r="CH68" s="67">
        <v>30.927000000000003</v>
      </c>
    </row>
    <row r="69" spans="2:86" ht="14.5" x14ac:dyDescent="0.35">
      <c r="B69" s="10" t="str">
        <f>IF(Control!$D$5=1,"(+) Depreciation and Amortization","(+) Depreciação e Amortização")</f>
        <v>(+) Depreciação e Amortização</v>
      </c>
      <c r="C69" s="69" t="s">
        <v>3</v>
      </c>
      <c r="D69" s="69" t="s">
        <v>3</v>
      </c>
      <c r="E69" s="69" t="s">
        <v>3</v>
      </c>
      <c r="F69" s="69" t="s">
        <v>3</v>
      </c>
      <c r="G69" s="69" t="s">
        <v>3</v>
      </c>
      <c r="H69" s="69" t="s">
        <v>3</v>
      </c>
      <c r="I69" s="69" t="s">
        <v>3</v>
      </c>
      <c r="J69" s="69" t="s">
        <v>3</v>
      </c>
      <c r="K69" s="69" t="s">
        <v>3</v>
      </c>
      <c r="L69" s="69" t="s">
        <v>3</v>
      </c>
      <c r="M69" s="69" t="s">
        <v>3</v>
      </c>
      <c r="N69" s="69" t="s">
        <v>3</v>
      </c>
      <c r="O69" s="69" t="s">
        <v>3</v>
      </c>
      <c r="P69" s="69" t="s">
        <v>3</v>
      </c>
      <c r="Q69" s="69" t="s">
        <v>3</v>
      </c>
      <c r="R69" s="69" t="s">
        <v>3</v>
      </c>
      <c r="S69" s="69" t="s">
        <v>3</v>
      </c>
      <c r="T69" s="69" t="s">
        <v>3</v>
      </c>
      <c r="U69" s="69" t="s">
        <v>3</v>
      </c>
      <c r="V69" s="69" t="s">
        <v>3</v>
      </c>
      <c r="W69" s="69" t="s">
        <v>3</v>
      </c>
      <c r="X69" s="139">
        <v>4.4000000000000004</v>
      </c>
      <c r="Y69" s="139">
        <v>5.7000000000000046</v>
      </c>
      <c r="Z69" s="139">
        <v>5.099999999999997</v>
      </c>
      <c r="AA69" s="139">
        <v>7.0999999999999943</v>
      </c>
      <c r="AB69" s="139">
        <v>5.2999999999999989</v>
      </c>
      <c r="AC69" s="139">
        <v>4.8000000000000025</v>
      </c>
      <c r="AD69" s="139">
        <v>5.6000000000000014</v>
      </c>
      <c r="AE69" s="139">
        <v>7.5000000000000027</v>
      </c>
      <c r="AF69" s="139">
        <v>7</v>
      </c>
      <c r="AG69" s="139">
        <v>7.1000000000000014</v>
      </c>
      <c r="AH69" s="139">
        <v>8.8999999999999986</v>
      </c>
      <c r="AI69" s="139">
        <v>9.0999999999999801</v>
      </c>
      <c r="AJ69" s="139">
        <v>9.3000000000000007</v>
      </c>
      <c r="AK69" s="139">
        <v>7.5519999999999996</v>
      </c>
      <c r="AL69" s="139">
        <v>9.902000000000001</v>
      </c>
      <c r="AM69" s="139">
        <v>5.3170000000000002</v>
      </c>
      <c r="AN69" s="139">
        <v>7.4</v>
      </c>
      <c r="AO69" s="139">
        <v>7.7</v>
      </c>
      <c r="AP69" s="139">
        <v>10.244</v>
      </c>
      <c r="AQ69" s="139">
        <v>6.0549999999999997</v>
      </c>
      <c r="AR69" s="139">
        <v>8.6</v>
      </c>
      <c r="AS69" s="139">
        <v>11.000000000000002</v>
      </c>
      <c r="AT69" s="139">
        <v>8.0999999999999979</v>
      </c>
      <c r="AU69" s="139">
        <v>9.9</v>
      </c>
      <c r="AV69" s="139">
        <v>11.7</v>
      </c>
      <c r="AW69" s="139">
        <v>11.151999999999999</v>
      </c>
      <c r="AX69" s="139">
        <v>11.883999999999997</v>
      </c>
      <c r="AY69" s="139">
        <v>11.948</v>
      </c>
      <c r="AZ69" s="139">
        <v>14.801</v>
      </c>
      <c r="BA69" s="139">
        <v>14.420999999999999</v>
      </c>
      <c r="BB69" s="139">
        <v>15.194000000000001</v>
      </c>
      <c r="BC69" s="139">
        <v>19.372</v>
      </c>
      <c r="BD69" s="139">
        <v>12.9</v>
      </c>
      <c r="BE69" s="139">
        <v>11.137</v>
      </c>
      <c r="BF69" s="139">
        <v>12.31</v>
      </c>
      <c r="BG69" s="139">
        <v>13.141999999999999</v>
      </c>
      <c r="BH69" s="139">
        <v>13.701000000000001</v>
      </c>
      <c r="BI69" s="139">
        <v>14.669</v>
      </c>
      <c r="BJ69" s="139">
        <v>16.827000000000002</v>
      </c>
      <c r="BK69" s="139">
        <v>18.678000000000001</v>
      </c>
      <c r="BL69" s="139">
        <v>15.725</v>
      </c>
      <c r="BM69" s="139">
        <v>15.777999999999999</v>
      </c>
      <c r="BN69" s="139">
        <v>16.684000000000001</v>
      </c>
      <c r="BO69" s="139">
        <v>18.065000000000001</v>
      </c>
      <c r="BP69" s="139">
        <v>19.039000000000001</v>
      </c>
      <c r="BQ69" s="139">
        <v>21.172000000000001</v>
      </c>
      <c r="BR69" s="139">
        <v>22.37</v>
      </c>
      <c r="BS69" s="139">
        <v>22.664999999999999</v>
      </c>
      <c r="BT69" s="139">
        <v>22.056999999999999</v>
      </c>
      <c r="BU69" s="139">
        <v>21.631000000000004</v>
      </c>
      <c r="BV69" s="55"/>
      <c r="BW69" s="139">
        <v>21.478000000000009</v>
      </c>
      <c r="BX69" s="139">
        <v>23.119000000000007</v>
      </c>
      <c r="BY69" s="139">
        <v>31.001000000000001</v>
      </c>
      <c r="BZ69" s="139">
        <v>30.599</v>
      </c>
      <c r="CA69" s="139">
        <v>31.4</v>
      </c>
      <c r="CB69" s="139">
        <v>37.588999999999999</v>
      </c>
      <c r="CC69" s="139">
        <v>46.68399999999999</v>
      </c>
      <c r="CD69" s="139">
        <v>63.789000000000001</v>
      </c>
      <c r="CE69" s="139">
        <v>49.496000000000002</v>
      </c>
      <c r="CF69" s="139">
        <v>63.875</v>
      </c>
      <c r="CG69" s="139">
        <v>66.257000000000005</v>
      </c>
      <c r="CH69" s="139">
        <v>85.246000000000009</v>
      </c>
    </row>
    <row r="70" spans="2:86" ht="14.5" x14ac:dyDescent="0.35">
      <c r="B70" s="32" t="str">
        <f>IF(Control!$D$5=1,"(=) EBITDA","(=) EBITDA")</f>
        <v>(=) EBITDA</v>
      </c>
      <c r="C70" s="115">
        <f t="shared" ref="C70:AO70" si="74">SUM(C66:C69)</f>
        <v>0</v>
      </c>
      <c r="D70" s="115">
        <f t="shared" si="74"/>
        <v>0</v>
      </c>
      <c r="E70" s="115">
        <f t="shared" si="74"/>
        <v>0</v>
      </c>
      <c r="F70" s="115">
        <f t="shared" si="74"/>
        <v>0</v>
      </c>
      <c r="G70" s="115">
        <f t="shared" si="74"/>
        <v>0</v>
      </c>
      <c r="H70" s="115">
        <f t="shared" si="74"/>
        <v>0</v>
      </c>
      <c r="I70" s="115">
        <f t="shared" si="74"/>
        <v>0</v>
      </c>
      <c r="J70" s="115">
        <f t="shared" si="74"/>
        <v>0</v>
      </c>
      <c r="K70" s="115">
        <f t="shared" si="74"/>
        <v>0</v>
      </c>
      <c r="L70" s="115">
        <f t="shared" si="74"/>
        <v>0</v>
      </c>
      <c r="M70" s="115">
        <f t="shared" si="74"/>
        <v>0</v>
      </c>
      <c r="N70" s="115">
        <f t="shared" si="74"/>
        <v>0</v>
      </c>
      <c r="O70" s="115">
        <f t="shared" si="74"/>
        <v>0</v>
      </c>
      <c r="P70" s="115">
        <f t="shared" si="74"/>
        <v>0</v>
      </c>
      <c r="Q70" s="115">
        <f t="shared" si="74"/>
        <v>0</v>
      </c>
      <c r="R70" s="115">
        <f t="shared" si="74"/>
        <v>0</v>
      </c>
      <c r="S70" s="115">
        <f t="shared" si="74"/>
        <v>0</v>
      </c>
      <c r="T70" s="115">
        <f t="shared" si="74"/>
        <v>0</v>
      </c>
      <c r="U70" s="115">
        <f t="shared" si="74"/>
        <v>0</v>
      </c>
      <c r="V70" s="115">
        <f t="shared" si="74"/>
        <v>0</v>
      </c>
      <c r="W70" s="115">
        <f t="shared" si="74"/>
        <v>0</v>
      </c>
      <c r="X70" s="115">
        <f t="shared" si="74"/>
        <v>24.32</v>
      </c>
      <c r="Y70" s="115">
        <f t="shared" si="74"/>
        <v>23.852999999999994</v>
      </c>
      <c r="Z70" s="115">
        <f t="shared" si="74"/>
        <v>14.208000000000009</v>
      </c>
      <c r="AA70" s="115">
        <f t="shared" si="74"/>
        <v>28.166999999999984</v>
      </c>
      <c r="AB70" s="115">
        <f t="shared" si="74"/>
        <v>24.065999999999995</v>
      </c>
      <c r="AC70" s="115">
        <f t="shared" si="74"/>
        <v>25.237000000000009</v>
      </c>
      <c r="AD70" s="115">
        <f t="shared" si="74"/>
        <v>24.916999999999998</v>
      </c>
      <c r="AE70" s="115">
        <f t="shared" si="74"/>
        <v>22.674000000000003</v>
      </c>
      <c r="AF70" s="115">
        <f t="shared" si="74"/>
        <v>28.592999999999996</v>
      </c>
      <c r="AG70" s="115">
        <f t="shared" si="74"/>
        <v>36.093999999999994</v>
      </c>
      <c r="AH70" s="115">
        <f t="shared" si="74"/>
        <v>38.921999999999983</v>
      </c>
      <c r="AI70" s="115">
        <f t="shared" si="74"/>
        <v>15.795000000000037</v>
      </c>
      <c r="AJ70" s="115">
        <f t="shared" si="74"/>
        <v>26.819999999999997</v>
      </c>
      <c r="AK70" s="115">
        <f t="shared" si="74"/>
        <v>39.588000000000008</v>
      </c>
      <c r="AL70" s="115">
        <f t="shared" si="74"/>
        <v>37.512999999999991</v>
      </c>
      <c r="AM70" s="115">
        <f t="shared" si="74"/>
        <v>26.647000000000009</v>
      </c>
      <c r="AN70" s="115">
        <f t="shared" si="74"/>
        <v>30.422000000000004</v>
      </c>
      <c r="AO70" s="115">
        <f t="shared" si="74"/>
        <v>37.309999999999981</v>
      </c>
      <c r="AP70" s="115">
        <f t="shared" ref="AP70:AW70" si="75">SUM(AP66:AP69)</f>
        <v>43.065000000000026</v>
      </c>
      <c r="AQ70" s="115">
        <f t="shared" si="75"/>
        <v>31.602000000000025</v>
      </c>
      <c r="AR70" s="115">
        <f t="shared" si="75"/>
        <v>34.600000000000016</v>
      </c>
      <c r="AS70" s="115">
        <f t="shared" si="75"/>
        <v>62.500000000000028</v>
      </c>
      <c r="AT70" s="115">
        <f t="shared" si="75"/>
        <v>43.199999999999974</v>
      </c>
      <c r="AU70" s="115">
        <f t="shared" si="75"/>
        <v>36.199999999999996</v>
      </c>
      <c r="AV70" s="115">
        <f t="shared" si="75"/>
        <v>37.300000000000018</v>
      </c>
      <c r="AW70" s="115">
        <f t="shared" si="75"/>
        <v>34.33300000000002</v>
      </c>
      <c r="AX70" s="115">
        <f t="shared" ref="AX70:BD70" si="76">SUM(AX66:AX69)</f>
        <v>42.676999999999893</v>
      </c>
      <c r="AY70" s="115">
        <f t="shared" si="76"/>
        <v>45.250000000000014</v>
      </c>
      <c r="AZ70" s="115">
        <f t="shared" si="76"/>
        <v>68.633999999999943</v>
      </c>
      <c r="BA70" s="115">
        <f t="shared" si="76"/>
        <v>70.164000000000073</v>
      </c>
      <c r="BB70" s="115">
        <f t="shared" si="76"/>
        <v>58.375999999999998</v>
      </c>
      <c r="BC70" s="115">
        <f t="shared" si="76"/>
        <v>46.559513247431113</v>
      </c>
      <c r="BD70" s="115">
        <f t="shared" si="76"/>
        <v>58.918999999999976</v>
      </c>
      <c r="BE70" s="115">
        <f t="shared" ref="BE70:BS70" si="77">SUM(BE66:BE69)</f>
        <v>59.725235655968433</v>
      </c>
      <c r="BF70" s="115">
        <f t="shared" si="77"/>
        <v>65.600250339495275</v>
      </c>
      <c r="BG70" s="115">
        <f t="shared" si="77"/>
        <v>90.855473284275519</v>
      </c>
      <c r="BH70" s="115">
        <f t="shared" si="77"/>
        <v>48.56170694588031</v>
      </c>
      <c r="BI70" s="115">
        <f t="shared" si="77"/>
        <v>68.280293054119738</v>
      </c>
      <c r="BJ70" s="115">
        <f t="shared" si="77"/>
        <v>61.163999999999987</v>
      </c>
      <c r="BK70" s="115">
        <f t="shared" si="77"/>
        <v>40.527000000000029</v>
      </c>
      <c r="BL70" s="115">
        <f t="shared" si="77"/>
        <v>49.760000000000012</v>
      </c>
      <c r="BM70" s="115">
        <f t="shared" si="77"/>
        <v>69.360108599312071</v>
      </c>
      <c r="BN70" s="115">
        <f t="shared" si="77"/>
        <v>83.168000000000006</v>
      </c>
      <c r="BO70" s="115">
        <f t="shared" si="77"/>
        <v>48.884038433680203</v>
      </c>
      <c r="BP70" s="115">
        <f t="shared" si="77"/>
        <v>70.224999999999994</v>
      </c>
      <c r="BQ70" s="115">
        <f t="shared" si="77"/>
        <v>91.73</v>
      </c>
      <c r="BR70" s="115">
        <f t="shared" si="77"/>
        <v>89.356000000000009</v>
      </c>
      <c r="BS70" s="115">
        <f t="shared" si="77"/>
        <v>63.161000000000001</v>
      </c>
      <c r="BT70" s="115">
        <f t="shared" ref="BT70:BU70" si="78">SUM(BT66:BT69)</f>
        <v>70.227999999999966</v>
      </c>
      <c r="BU70" s="115">
        <f t="shared" si="78"/>
        <v>67.084000000000032</v>
      </c>
      <c r="BV70" s="55"/>
      <c r="BW70" s="115">
        <f t="shared" ref="BW70:CD70" si="79">SUM(BW66:BW69)</f>
        <v>89.725999999999999</v>
      </c>
      <c r="BX70" s="115">
        <f t="shared" si="79"/>
        <v>96.813000000000017</v>
      </c>
      <c r="BY70" s="115">
        <f t="shared" si="79"/>
        <v>118.30500000000004</v>
      </c>
      <c r="BZ70" s="115">
        <f t="shared" si="79"/>
        <v>128.999</v>
      </c>
      <c r="CA70" s="115">
        <f t="shared" si="79"/>
        <v>142.40000000000003</v>
      </c>
      <c r="CB70" s="115">
        <f t="shared" si="79"/>
        <v>176.69899999999998</v>
      </c>
      <c r="CC70" s="115">
        <f t="shared" si="79"/>
        <v>159.55999999999995</v>
      </c>
      <c r="CD70" s="115">
        <f t="shared" si="79"/>
        <v>243.73376648448527</v>
      </c>
      <c r="CE70" s="115">
        <f>SUM(CE66:CE69)</f>
        <v>275.10695927973916</v>
      </c>
      <c r="CF70" s="115">
        <f>SUM(CF66:CF69)</f>
        <v>218.53100000000003</v>
      </c>
      <c r="CG70" s="115">
        <f>SUM(CG66:CG69)</f>
        <v>251.17736069382602</v>
      </c>
      <c r="CH70" s="115">
        <v>314.47200000000004</v>
      </c>
    </row>
    <row r="71" spans="2:86" ht="14.5" x14ac:dyDescent="0.35">
      <c r="B71" s="10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67"/>
      <c r="BU71" s="67"/>
      <c r="BV71" s="55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</row>
    <row r="72" spans="2:86" ht="14.5" x14ac:dyDescent="0.35">
      <c r="B72" s="33" t="str">
        <f>IF(Control!$D$5=1,"Operating Metrics and Margins","Crescimento e Margens")</f>
        <v>Crescimento e Margens</v>
      </c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216"/>
      <c r="BO72" s="216"/>
      <c r="BP72" s="216"/>
      <c r="BQ72" s="216"/>
      <c r="BR72" s="216"/>
      <c r="BS72" s="216"/>
      <c r="BT72" s="242"/>
      <c r="BU72" s="242"/>
      <c r="BV72" s="55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</row>
    <row r="73" spans="2:86" ht="14.5" x14ac:dyDescent="0.35">
      <c r="B73" s="10" t="str">
        <f>IF(Control!$D$5=1,"Net Revenues Growth","Receita Líquida - Var. (%)")</f>
        <v>Receita Líquida - Var. (%)</v>
      </c>
      <c r="C73" s="35" t="str">
        <f>IF(ISERROR(C47/#REF!-1),"--  ",C47/#REF!-1)</f>
        <v xml:space="preserve">--  </v>
      </c>
      <c r="D73" s="35" t="str">
        <f>IF(ISERROR(D47/B47-1),"--  ",D47/B47-1)</f>
        <v xml:space="preserve">--  </v>
      </c>
      <c r="E73" s="35"/>
      <c r="F73" s="35" t="str">
        <f>IF(ISERROR(F47/#REF!-1),"--  ",F47/#REF!-1)</f>
        <v xml:space="preserve">--  </v>
      </c>
      <c r="G73" s="35" t="str">
        <f>IF(ISERROR(G47/#REF!-1),"--  ",G47/#REF!-1)</f>
        <v xml:space="preserve">--  </v>
      </c>
      <c r="H73" s="35" t="str">
        <f>IF(ISERROR(H47/D47-1),"--  ",H47/D47-1)</f>
        <v xml:space="preserve">--  </v>
      </c>
      <c r="I73" s="35"/>
      <c r="J73" s="35" t="str">
        <f>IF(ISERROR(J47/#REF!-1),"--  ",J47/#REF!-1)</f>
        <v xml:space="preserve">--  </v>
      </c>
      <c r="K73" s="35" t="str">
        <f>IF(ISERROR(K47/#REF!-1),"--  ",K47/#REF!-1)</f>
        <v xml:space="preserve">--  </v>
      </c>
      <c r="L73" s="35" t="str">
        <f>IF(ISERROR(L47/H47-1),"--  ",L47/H47-1)</f>
        <v xml:space="preserve">--  </v>
      </c>
      <c r="M73" s="35"/>
      <c r="N73" s="35" t="str">
        <f>IF(ISERROR(N47/#REF!-1),"--  ",N47/#REF!-1)</f>
        <v xml:space="preserve">--  </v>
      </c>
      <c r="O73" s="35" t="str">
        <f>IF(ISERROR(O47/#REF!-1),"--  ",O47/#REF!-1)</f>
        <v xml:space="preserve">--  </v>
      </c>
      <c r="P73" s="35" t="str">
        <f>IF(ISERROR(P47/L47-1),"--  ",P47/L47-1)</f>
        <v xml:space="preserve">--  </v>
      </c>
      <c r="Q73" s="35"/>
      <c r="R73" s="35" t="str">
        <f>IF(ISERROR(R47/#REF!-1),"--  ",R47/#REF!-1)</f>
        <v xml:space="preserve">--  </v>
      </c>
      <c r="S73" s="35" t="str">
        <f>IF(ISERROR(S47/#REF!-1),"--  ",S47/#REF!-1)</f>
        <v xml:space="preserve">--  </v>
      </c>
      <c r="T73" s="35" t="str">
        <f>IF(ISERROR(T47/P47-1),"--  ",T47/P47-1)</f>
        <v xml:space="preserve">--  </v>
      </c>
      <c r="U73" s="35"/>
      <c r="V73" s="35" t="str">
        <f>IF(ISERROR(V47/A47-1),"--  ",V47/A47-1)</f>
        <v xml:space="preserve">--  </v>
      </c>
      <c r="W73" s="35" t="str">
        <f>IF(ISERROR(W47/A47-1),"--  ",W47/A47-1)</f>
        <v xml:space="preserve">--  </v>
      </c>
      <c r="X73" s="35" t="str">
        <f>IF(ISERROR(X47/U47-1),"--  ",X47/U47-1)</f>
        <v xml:space="preserve">--  </v>
      </c>
      <c r="Y73" s="35" t="str">
        <f>IF(ISERROR(Y47/V47-1),"--  ",Y47/V47-1)</f>
        <v xml:space="preserve">--  </v>
      </c>
      <c r="Z73" s="35" t="str">
        <f>IF(ISERROR(Z47/#REF!-1),"--  ",Z47/#REF!-1)</f>
        <v xml:space="preserve">--  </v>
      </c>
      <c r="AA73" s="35" t="str">
        <f t="shared" ref="AA73:BU73" si="80">IF(ISERROR(AA47/W47-1),"--  ",AA47/W47-1)</f>
        <v xml:space="preserve">--  </v>
      </c>
      <c r="AB73" s="35">
        <f t="shared" si="80"/>
        <v>0.3343823439256155</v>
      </c>
      <c r="AC73" s="35">
        <f t="shared" si="80"/>
        <v>0.15703786830470157</v>
      </c>
      <c r="AD73" s="35">
        <f t="shared" si="80"/>
        <v>6.4850720981891152E-2</v>
      </c>
      <c r="AE73" s="35">
        <f t="shared" si="80"/>
        <v>5.5973032968838599E-2</v>
      </c>
      <c r="AF73" s="35">
        <f t="shared" si="80"/>
        <v>0.15408205458053836</v>
      </c>
      <c r="AG73" s="35">
        <f t="shared" si="80"/>
        <v>0.22725565623233868</v>
      </c>
      <c r="AH73" s="35">
        <f t="shared" si="80"/>
        <v>0.30921562041472894</v>
      </c>
      <c r="AI73" s="35">
        <f t="shared" si="80"/>
        <v>0.11066818231364639</v>
      </c>
      <c r="AJ73" s="35">
        <f t="shared" si="80"/>
        <v>0.10033273951107513</v>
      </c>
      <c r="AK73" s="35">
        <f t="shared" si="80"/>
        <v>-0.1251912615388272</v>
      </c>
      <c r="AL73" s="35">
        <f t="shared" si="80"/>
        <v>-0.14033519492724622</v>
      </c>
      <c r="AM73" s="35">
        <f t="shared" si="80"/>
        <v>0.12163867313462129</v>
      </c>
      <c r="AN73" s="35">
        <f t="shared" si="80"/>
        <v>-0.11199315004477184</v>
      </c>
      <c r="AO73" s="35">
        <f t="shared" si="80"/>
        <v>0.18001046039314761</v>
      </c>
      <c r="AP73" s="35">
        <f t="shared" si="80"/>
        <v>6.8768907444231919E-2</v>
      </c>
      <c r="AQ73" s="35">
        <f t="shared" si="80"/>
        <v>9.1535211619709012E-2</v>
      </c>
      <c r="AR73" s="35">
        <f t="shared" si="80"/>
        <v>3.2135399867587733E-2</v>
      </c>
      <c r="AS73" s="35">
        <f t="shared" si="80"/>
        <v>-7.9062418152981984E-3</v>
      </c>
      <c r="AT73" s="35">
        <f t="shared" si="80"/>
        <v>0.20305216067345011</v>
      </c>
      <c r="AU73" s="35">
        <f t="shared" si="80"/>
        <v>-1.4028056112224352E-2</v>
      </c>
      <c r="AV73" s="35">
        <f t="shared" si="80"/>
        <v>-2.763157894736834E-2</v>
      </c>
      <c r="AW73" s="35">
        <f t="shared" si="80"/>
        <v>-2.1969828836669647E-2</v>
      </c>
      <c r="AX73" s="35">
        <f t="shared" si="80"/>
        <v>7.8194478377717758E-2</v>
      </c>
      <c r="AY73" s="35">
        <f t="shared" si="80"/>
        <v>0.18259001161440191</v>
      </c>
      <c r="AZ73" s="35">
        <f t="shared" si="80"/>
        <v>0.75486129905277366</v>
      </c>
      <c r="BA73" s="35">
        <f t="shared" si="80"/>
        <v>0.69122318888727396</v>
      </c>
      <c r="BB73" s="35">
        <f t="shared" si="80"/>
        <v>0.25188248490273213</v>
      </c>
      <c r="BC73" s="35">
        <f t="shared" si="80"/>
        <v>0.15452608008171209</v>
      </c>
      <c r="BD73" s="35">
        <f t="shared" si="80"/>
        <v>-3.0460522384175404E-2</v>
      </c>
      <c r="BE73" s="35">
        <f t="shared" si="80"/>
        <v>-3.7622970515138854E-2</v>
      </c>
      <c r="BF73" s="35">
        <f t="shared" si="80"/>
        <v>0.10503816231476781</v>
      </c>
      <c r="BG73" s="35">
        <f t="shared" si="80"/>
        <v>0.34780897677644407</v>
      </c>
      <c r="BH73" s="35">
        <f t="shared" si="80"/>
        <v>5.2471885090747294E-2</v>
      </c>
      <c r="BI73" s="35">
        <f t="shared" si="80"/>
        <v>0.49873702857267821</v>
      </c>
      <c r="BJ73" s="35">
        <f t="shared" si="80"/>
        <v>0.17664683341651233</v>
      </c>
      <c r="BK73" s="35">
        <f t="shared" si="80"/>
        <v>-0.14114773122177304</v>
      </c>
      <c r="BL73" s="35">
        <f t="shared" si="80"/>
        <v>0.25294242111666532</v>
      </c>
      <c r="BM73" s="35">
        <f t="shared" si="80"/>
        <v>-7.625871935308226E-2</v>
      </c>
      <c r="BN73" s="217">
        <f t="shared" si="80"/>
        <v>0.18875925232447899</v>
      </c>
      <c r="BO73" s="217">
        <f t="shared" si="80"/>
        <v>6.7722266549458121E-2</v>
      </c>
      <c r="BP73" s="217">
        <f t="shared" si="80"/>
        <v>7.2881343154180822E-2</v>
      </c>
      <c r="BQ73" s="217">
        <f t="shared" si="80"/>
        <v>0.19048104544630728</v>
      </c>
      <c r="BR73" s="217">
        <f t="shared" si="80"/>
        <v>6.5969493808004209E-2</v>
      </c>
      <c r="BS73" s="217">
        <f t="shared" si="80"/>
        <v>0.4148446766049938</v>
      </c>
      <c r="BT73" s="217">
        <f t="shared" si="80"/>
        <v>6.0592986307376195E-2</v>
      </c>
      <c r="BU73" s="217">
        <f t="shared" si="80"/>
        <v>1.066950626580554E-2</v>
      </c>
      <c r="BV73" s="55"/>
      <c r="BW73" s="35" t="str">
        <f>IF(ISERROR(BW47/#REF!-1),"--  ",BW47/#REF!-1)</f>
        <v xml:space="preserve">--  </v>
      </c>
      <c r="BX73" s="35">
        <f t="shared" ref="BX73:CH73" si="81">IF(ISERROR(BX47/BW47-1),"--  ",BX47/BW47-1)</f>
        <v>0.14179061681615712</v>
      </c>
      <c r="BY73" s="35">
        <f t="shared" si="81"/>
        <v>0.20318502024818685</v>
      </c>
      <c r="BZ73" s="35">
        <f t="shared" si="81"/>
        <v>-2.2505940721111561E-2</v>
      </c>
      <c r="CA73" s="35">
        <f t="shared" si="81"/>
        <v>5.2985369711348262E-2</v>
      </c>
      <c r="CB73" s="35">
        <f t="shared" si="81"/>
        <v>5.3326323695080724E-2</v>
      </c>
      <c r="CC73" s="35">
        <f t="shared" si="81"/>
        <v>5.6193779126476606E-2</v>
      </c>
      <c r="CD73" s="35">
        <f t="shared" si="81"/>
        <v>0.42547370041233634</v>
      </c>
      <c r="CE73" s="35">
        <f t="shared" si="81"/>
        <v>8.4565012125296768E-2</v>
      </c>
      <c r="CF73" s="35">
        <f t="shared" si="81"/>
        <v>0.14156082448681451</v>
      </c>
      <c r="CG73" s="35">
        <f t="shared" si="81"/>
        <v>9.319015274256981E-2</v>
      </c>
      <c r="CH73" s="35">
        <f t="shared" si="81"/>
        <v>0.17161340769878297</v>
      </c>
    </row>
    <row r="74" spans="2:86" ht="14.5" x14ac:dyDescent="0.35">
      <c r="B74" s="10" t="str">
        <f>IF(Control!$D$5=1,"EBITDA Growth","EBITDA - Var. (%)")</f>
        <v>EBITDA - Var. (%)</v>
      </c>
      <c r="C74" s="35" t="str">
        <f>IF(ISERROR(C70/#REF!-1),"--  ",C70/#REF!-1)</f>
        <v xml:space="preserve">--  </v>
      </c>
      <c r="D74" s="35" t="str">
        <f>IF(ISERROR(D70/B70-1),"--  ",D70/B70-1)</f>
        <v xml:space="preserve">--  </v>
      </c>
      <c r="E74" s="35"/>
      <c r="F74" s="35" t="str">
        <f>IF(ISERROR(F70/#REF!-1),"--  ",F70/#REF!-1)</f>
        <v xml:space="preserve">--  </v>
      </c>
      <c r="G74" s="35" t="str">
        <f>IF(ISERROR(G70/#REF!-1),"--  ",G70/#REF!-1)</f>
        <v xml:space="preserve">--  </v>
      </c>
      <c r="H74" s="35" t="str">
        <f>IF(ISERROR(H70/D70-1),"--  ",H70/D70-1)</f>
        <v xml:space="preserve">--  </v>
      </c>
      <c r="I74" s="35"/>
      <c r="J74" s="35" t="str">
        <f>IF(ISERROR(J70/#REF!-1),"--  ",J70/#REF!-1)</f>
        <v xml:space="preserve">--  </v>
      </c>
      <c r="K74" s="35" t="str">
        <f>IF(ISERROR(K70/#REF!-1),"--  ",K70/#REF!-1)</f>
        <v xml:space="preserve">--  </v>
      </c>
      <c r="L74" s="35" t="str">
        <f>IF(ISERROR(L70/H70-1),"--  ",L70/H70-1)</f>
        <v xml:space="preserve">--  </v>
      </c>
      <c r="M74" s="35"/>
      <c r="N74" s="35" t="str">
        <f>IF(ISERROR(N70/#REF!-1),"--  ",N70/#REF!-1)</f>
        <v xml:space="preserve">--  </v>
      </c>
      <c r="O74" s="35" t="str">
        <f>IF(ISERROR(O70/#REF!-1),"--  ",O70/#REF!-1)</f>
        <v xml:space="preserve">--  </v>
      </c>
      <c r="P74" s="35" t="str">
        <f>IF(ISERROR(P70/L70-1),"--  ",P70/L70-1)</f>
        <v xml:space="preserve">--  </v>
      </c>
      <c r="Q74" s="35"/>
      <c r="R74" s="35" t="str">
        <f>IF(ISERROR(R70/#REF!-1),"--  ",R70/#REF!-1)</f>
        <v xml:space="preserve">--  </v>
      </c>
      <c r="S74" s="35" t="str">
        <f>IF(ISERROR(S70/#REF!-1),"--  ",S70/#REF!-1)</f>
        <v xml:space="preserve">--  </v>
      </c>
      <c r="T74" s="35" t="str">
        <f>IF(ISERROR(T70/P70-1),"--  ",T70/P70-1)</f>
        <v xml:space="preserve">--  </v>
      </c>
      <c r="U74" s="35"/>
      <c r="V74" s="35" t="str">
        <f>IF(ISERROR(V70/A70-1),"--  ",V70/A70-1)</f>
        <v xml:space="preserve">--  </v>
      </c>
      <c r="W74" s="35" t="str">
        <f>IF(ISERROR(W70/A70-1),"--  ",W70/A70-1)</f>
        <v xml:space="preserve">--  </v>
      </c>
      <c r="X74" s="35" t="str">
        <f>IF(ISERROR(X70/U70-1),"--  ",X70/U70-1)</f>
        <v xml:space="preserve">--  </v>
      </c>
      <c r="Y74" s="35" t="str">
        <f>IF(ISERROR(Y70/V70-1),"--  ",Y70/V70-1)</f>
        <v xml:space="preserve">--  </v>
      </c>
      <c r="Z74" s="35" t="str">
        <f>IF(ISERROR(Z70/#REF!-1),"--  ",Z70/#REF!-1)</f>
        <v xml:space="preserve">--  </v>
      </c>
      <c r="AA74" s="35" t="str">
        <f t="shared" ref="AA74:AL74" si="82">IF(ISERROR(AA70/W70-1),"--  ",AA70/W70-1)</f>
        <v xml:space="preserve">--  </v>
      </c>
      <c r="AB74" s="35">
        <f t="shared" si="82"/>
        <v>-1.0444078947368651E-2</v>
      </c>
      <c r="AC74" s="35">
        <f t="shared" si="82"/>
        <v>5.8022051733535251E-2</v>
      </c>
      <c r="AD74" s="35">
        <f t="shared" si="82"/>
        <v>0.75373029279279158</v>
      </c>
      <c r="AE74" s="35">
        <f t="shared" si="82"/>
        <v>-0.19501544360421719</v>
      </c>
      <c r="AF74" s="35">
        <f t="shared" si="82"/>
        <v>0.18810770381451025</v>
      </c>
      <c r="AG74" s="35">
        <f t="shared" si="82"/>
        <v>0.43020168799778036</v>
      </c>
      <c r="AH74" s="35">
        <f t="shared" si="82"/>
        <v>0.56206605931693154</v>
      </c>
      <c r="AI74" s="35">
        <f t="shared" si="82"/>
        <v>-0.30338713945488072</v>
      </c>
      <c r="AJ74" s="35">
        <f t="shared" si="82"/>
        <v>-6.2008183821214979E-2</v>
      </c>
      <c r="AK74" s="35">
        <f t="shared" si="82"/>
        <v>9.6802792707929797E-2</v>
      </c>
      <c r="AL74" s="35">
        <f t="shared" si="82"/>
        <v>-3.6200606340886732E-2</v>
      </c>
      <c r="AM74" s="35">
        <f t="shared" ref="AM74:AR74" si="83">IF(ISERROR(AM70/AI70-1),"--  ",AM70/AI70-1)</f>
        <v>0.6870528648306391</v>
      </c>
      <c r="AN74" s="35">
        <f t="shared" si="83"/>
        <v>0.13430275913497414</v>
      </c>
      <c r="AO74" s="35">
        <f t="shared" si="83"/>
        <v>-5.7542689703951377E-2</v>
      </c>
      <c r="AP74" s="35">
        <f t="shared" si="83"/>
        <v>0.14800202596433332</v>
      </c>
      <c r="AQ74" s="35">
        <f t="shared" si="83"/>
        <v>0.18594963785792085</v>
      </c>
      <c r="AR74" s="35">
        <f t="shared" si="83"/>
        <v>0.13733482348300607</v>
      </c>
      <c r="AS74" s="35">
        <f t="shared" ref="AS74:AX74" si="84">IF(ISERROR(AS70/AO70-1),"--  ",AS70/AO70-1)</f>
        <v>0.67515411417850602</v>
      </c>
      <c r="AT74" s="35">
        <f t="shared" si="84"/>
        <v>3.1347962382433092E-3</v>
      </c>
      <c r="AU74" s="35">
        <f t="shared" si="84"/>
        <v>0.14549712043541452</v>
      </c>
      <c r="AV74" s="35">
        <f t="shared" si="84"/>
        <v>7.8034682080925011E-2</v>
      </c>
      <c r="AW74" s="35">
        <f t="shared" si="84"/>
        <v>-0.45067199999999996</v>
      </c>
      <c r="AX74" s="35">
        <f t="shared" si="84"/>
        <v>-1.2106481481483411E-2</v>
      </c>
      <c r="AY74" s="35">
        <f>IF(ISERROR(AY70/AU70-1),"--  ",AY70/AU70-1)</f>
        <v>0.25000000000000044</v>
      </c>
      <c r="AZ74" s="35">
        <f t="shared" ref="AZ74:BU74" si="85">IF(ISERROR(AZ70/AV70-1),"--  ",AZ70/AV70-1)</f>
        <v>0.84005361930294664</v>
      </c>
      <c r="BA74" s="35">
        <f t="shared" si="85"/>
        <v>1.0436314915678802</v>
      </c>
      <c r="BB74" s="35">
        <f t="shared" si="85"/>
        <v>0.36785622232115989</v>
      </c>
      <c r="BC74" s="35">
        <f t="shared" si="85"/>
        <v>2.8939519280245296E-2</v>
      </c>
      <c r="BD74" s="35">
        <f t="shared" si="85"/>
        <v>-0.14154792085555234</v>
      </c>
      <c r="BE74" s="35">
        <f t="shared" si="85"/>
        <v>-0.14877664249517741</v>
      </c>
      <c r="BF74" s="35">
        <f t="shared" si="85"/>
        <v>0.1237537744877224</v>
      </c>
      <c r="BG74" s="35">
        <f t="shared" si="85"/>
        <v>0.95138365818908999</v>
      </c>
      <c r="BH74" s="35">
        <f t="shared" si="85"/>
        <v>-0.17578867689742983</v>
      </c>
      <c r="BI74" s="35">
        <f t="shared" si="85"/>
        <v>0.14324024516923584</v>
      </c>
      <c r="BJ74" s="35">
        <f t="shared" si="85"/>
        <v>-6.7625509301210696E-2</v>
      </c>
      <c r="BK74" s="35">
        <f t="shared" si="85"/>
        <v>-0.55393991649577279</v>
      </c>
      <c r="BL74" s="35">
        <f t="shared" si="85"/>
        <v>2.4675678214012065E-2</v>
      </c>
      <c r="BM74" s="35">
        <f t="shared" si="85"/>
        <v>1.581445387670577E-2</v>
      </c>
      <c r="BN74" s="35">
        <f t="shared" si="85"/>
        <v>0.35975410372114358</v>
      </c>
      <c r="BO74" s="35">
        <f t="shared" si="85"/>
        <v>0.20620915522195493</v>
      </c>
      <c r="BP74" s="35">
        <f t="shared" si="85"/>
        <v>0.41127411575562656</v>
      </c>
      <c r="BQ74" s="35">
        <f t="shared" si="85"/>
        <v>0.32251811383279461</v>
      </c>
      <c r="BR74" s="35">
        <f t="shared" si="85"/>
        <v>7.4403616775682968E-2</v>
      </c>
      <c r="BS74" s="35">
        <f t="shared" si="85"/>
        <v>0.29205773548535707</v>
      </c>
      <c r="BT74" s="35">
        <f t="shared" si="85"/>
        <v>4.2719829120185793E-5</v>
      </c>
      <c r="BU74" s="35">
        <f t="shared" si="85"/>
        <v>-0.26867982121443335</v>
      </c>
      <c r="BV74" s="55"/>
      <c r="BW74" s="35" t="str">
        <f>IF(ISERROR(BW70/#REF!-1),"--  ",BW70/#REF!-1)</f>
        <v xml:space="preserve">--  </v>
      </c>
      <c r="BX74" s="35">
        <f t="shared" ref="BX74:CH74" si="86">IF(ISERROR(BX70/BW70-1),"--  ",BX70/BW70-1)</f>
        <v>7.8984909613712961E-2</v>
      </c>
      <c r="BY74" s="35">
        <f t="shared" si="86"/>
        <v>0.22199498001301499</v>
      </c>
      <c r="BZ74" s="35">
        <f t="shared" si="86"/>
        <v>9.0393474493892567E-2</v>
      </c>
      <c r="CA74" s="35">
        <f t="shared" si="86"/>
        <v>0.10388452623663791</v>
      </c>
      <c r="CB74" s="35">
        <f t="shared" si="86"/>
        <v>0.24086376404494336</v>
      </c>
      <c r="CC74" s="35">
        <f t="shared" si="86"/>
        <v>-9.6995455548701703E-2</v>
      </c>
      <c r="CD74" s="35">
        <f t="shared" si="86"/>
        <v>0.52753676663628335</v>
      </c>
      <c r="CE74" s="35">
        <f t="shared" si="86"/>
        <v>0.12871910711333845</v>
      </c>
      <c r="CF74" s="35">
        <f t="shared" si="86"/>
        <v>-0.20565077462184644</v>
      </c>
      <c r="CG74" s="35">
        <f t="shared" si="86"/>
        <v>0.14939006682725098</v>
      </c>
      <c r="CH74" s="35">
        <f t="shared" si="86"/>
        <v>0.25199181618652067</v>
      </c>
    </row>
    <row r="75" spans="2:86" ht="14.5" x14ac:dyDescent="0.35">
      <c r="B75" s="36" t="str">
        <f>IF(Control!$D$5=1,"EBIT Growth","Lucro Operacional (EBIT) - Var. (%)")</f>
        <v>Lucro Operacional (EBIT) - Var. (%)</v>
      </c>
      <c r="C75" s="37" t="str">
        <f>IF(ISERROR(C52/#REF!-1),"--  ",C52/#REF!-1)</f>
        <v xml:space="preserve">--  </v>
      </c>
      <c r="D75" s="37" t="str">
        <f>IF(ISERROR(D52/B52-1),"--  ",D52/B52-1)</f>
        <v xml:space="preserve">--  </v>
      </c>
      <c r="E75" s="37"/>
      <c r="F75" s="37" t="str">
        <f>IF(ISERROR(F52/#REF!-1),"--  ",F52/#REF!-1)</f>
        <v xml:space="preserve">--  </v>
      </c>
      <c r="G75" s="37" t="str">
        <f>IF(ISERROR(G52/#REF!-1),"--  ",G52/#REF!-1)</f>
        <v xml:space="preserve">--  </v>
      </c>
      <c r="H75" s="37" t="str">
        <f>IF(ISERROR(H52/D52-1),"--  ",H52/D52-1)</f>
        <v xml:space="preserve">--  </v>
      </c>
      <c r="I75" s="37"/>
      <c r="J75" s="37" t="str">
        <f>IF(ISERROR(J52/#REF!-1),"--  ",J52/#REF!-1)</f>
        <v xml:space="preserve">--  </v>
      </c>
      <c r="K75" s="37" t="str">
        <f>IF(ISERROR(K52/#REF!-1),"--  ",K52/#REF!-1)</f>
        <v xml:space="preserve">--  </v>
      </c>
      <c r="L75" s="37" t="str">
        <f>IF(ISERROR(L52/H52-1),"--  ",L52/H52-1)</f>
        <v xml:space="preserve">--  </v>
      </c>
      <c r="M75" s="37"/>
      <c r="N75" s="37" t="str">
        <f>IF(ISERROR(N52/#REF!-1),"--  ",N52/#REF!-1)</f>
        <v xml:space="preserve">--  </v>
      </c>
      <c r="O75" s="37" t="str">
        <f>IF(ISERROR(O52/#REF!-1),"--  ",O52/#REF!-1)</f>
        <v xml:space="preserve">--  </v>
      </c>
      <c r="P75" s="37" t="str">
        <f>IF(ISERROR(P52/L52-1),"--  ",P52/L52-1)</f>
        <v xml:space="preserve">--  </v>
      </c>
      <c r="Q75" s="37"/>
      <c r="R75" s="37" t="str">
        <f>IF(ISERROR(R52/#REF!-1),"--  ",R52/#REF!-1)</f>
        <v xml:space="preserve">--  </v>
      </c>
      <c r="S75" s="37" t="str">
        <f>IF(ISERROR(S52/#REF!-1),"--  ",S52/#REF!-1)</f>
        <v xml:space="preserve">--  </v>
      </c>
      <c r="T75" s="37" t="str">
        <f>IF(ISERROR(T52/P52-1),"--  ",T52/P52-1)</f>
        <v xml:space="preserve">--  </v>
      </c>
      <c r="U75" s="37"/>
      <c r="V75" s="37" t="str">
        <f>IF(ISERROR(V52/A52-1),"--  ",V52/A52-1)</f>
        <v xml:space="preserve">--  </v>
      </c>
      <c r="W75" s="37" t="str">
        <f>IF(ISERROR(W52/A52-1),"--  ",W52/A52-1)</f>
        <v xml:space="preserve">--  </v>
      </c>
      <c r="X75" s="37" t="str">
        <f>IF(ISERROR(X52/U52-1),"--  ",X52/U52-1)</f>
        <v xml:space="preserve">--  </v>
      </c>
      <c r="Y75" s="37" t="str">
        <f>IF(ISERROR(Y52/V52-1),"--  ",Y52/V52-1)</f>
        <v xml:space="preserve">--  </v>
      </c>
      <c r="Z75" s="37" t="str">
        <f>IF(ISERROR(Z52/#REF!-1),"--  ",Z52/#REF!-1)</f>
        <v xml:space="preserve">--  </v>
      </c>
      <c r="AA75" s="37" t="str">
        <f t="shared" ref="AA75:BU75" si="87">IF(ISERROR(AA52/W52-1),"--  ",AA52/W52-1)</f>
        <v xml:space="preserve">--  </v>
      </c>
      <c r="AB75" s="37">
        <f t="shared" si="87"/>
        <v>-5.793172690763071E-2</v>
      </c>
      <c r="AC75" s="37">
        <f t="shared" si="87"/>
        <v>0.12581942378670274</v>
      </c>
      <c r="AD75" s="37">
        <f t="shared" si="87"/>
        <v>1.1208827404479553</v>
      </c>
      <c r="AE75" s="37">
        <f t="shared" si="87"/>
        <v>-0.27972658660464189</v>
      </c>
      <c r="AF75" s="37">
        <f t="shared" si="87"/>
        <v>0.15064478311840546</v>
      </c>
      <c r="AG75" s="37">
        <f t="shared" si="87"/>
        <v>0.41870137495718507</v>
      </c>
      <c r="AH75" s="37">
        <f t="shared" si="87"/>
        <v>0.55417507894600537</v>
      </c>
      <c r="AI75" s="37">
        <f t="shared" si="87"/>
        <v>-0.5587847634110944</v>
      </c>
      <c r="AJ75" s="37">
        <f t="shared" si="87"/>
        <v>-0.18862594359283102</v>
      </c>
      <c r="AK75" s="37">
        <f t="shared" si="87"/>
        <v>0.10491825895012807</v>
      </c>
      <c r="AL75" s="37">
        <f t="shared" si="87"/>
        <v>-8.0307774298847168E-2</v>
      </c>
      <c r="AM75" s="37">
        <f t="shared" si="87"/>
        <v>2.1859596713965419</v>
      </c>
      <c r="AN75" s="37">
        <f t="shared" si="87"/>
        <v>0.31404109589041163</v>
      </c>
      <c r="AO75" s="37">
        <f t="shared" si="87"/>
        <v>-7.5727306779873604E-2</v>
      </c>
      <c r="AP75" s="37">
        <f t="shared" si="87"/>
        <v>0.18869291224512041</v>
      </c>
      <c r="AQ75" s="37">
        <f t="shared" si="87"/>
        <v>0.19770276605719661</v>
      </c>
      <c r="AR75" s="37">
        <f t="shared" si="87"/>
        <v>0.12935453044913592</v>
      </c>
      <c r="AS75" s="37">
        <f t="shared" si="87"/>
        <v>0.73927727119216713</v>
      </c>
      <c r="AT75" s="37">
        <f t="shared" si="87"/>
        <v>6.9437250540810735E-2</v>
      </c>
      <c r="AU75" s="37">
        <f t="shared" si="87"/>
        <v>2.947508513719721E-2</v>
      </c>
      <c r="AV75" s="37">
        <f t="shared" si="87"/>
        <v>-1.5384615384615219E-2</v>
      </c>
      <c r="AW75" s="37">
        <f t="shared" si="87"/>
        <v>-0.54988349514563084</v>
      </c>
      <c r="AX75" s="37">
        <f t="shared" si="87"/>
        <v>-0.12270655270655484</v>
      </c>
      <c r="AY75" s="37">
        <f t="shared" si="87"/>
        <v>0.2662357414448675</v>
      </c>
      <c r="AZ75" s="37">
        <f t="shared" si="87"/>
        <v>1.1028515624999962</v>
      </c>
      <c r="BA75" s="37">
        <f t="shared" si="87"/>
        <v>1.4046848712307498</v>
      </c>
      <c r="BB75" s="37">
        <f t="shared" si="87"/>
        <v>0.40233169876271035</v>
      </c>
      <c r="BC75" s="37">
        <f t="shared" si="87"/>
        <v>-0.18360719333880537</v>
      </c>
      <c r="BD75" s="37">
        <f t="shared" si="87"/>
        <v>-0.14515260156409582</v>
      </c>
      <c r="BE75" s="37">
        <f t="shared" si="87"/>
        <v>-0.1283526961956053</v>
      </c>
      <c r="BF75" s="37">
        <f t="shared" si="87"/>
        <v>0.23408481171542017</v>
      </c>
      <c r="BG75" s="37">
        <f t="shared" si="87"/>
        <v>1.8584252107580483</v>
      </c>
      <c r="BH75" s="37">
        <f t="shared" si="87"/>
        <v>-0.2424714368873655</v>
      </c>
      <c r="BI75" s="37">
        <f t="shared" si="87"/>
        <v>0.10338011517267942</v>
      </c>
      <c r="BJ75" s="37">
        <f t="shared" si="87"/>
        <v>-0.16800916269780997</v>
      </c>
      <c r="BK75" s="37">
        <f t="shared" si="87"/>
        <v>-0.7188518402712939</v>
      </c>
      <c r="BL75" s="37">
        <f t="shared" si="87"/>
        <v>-2.3685892175456247E-2</v>
      </c>
      <c r="BM75" s="37">
        <f t="shared" si="87"/>
        <v>-5.4437140283469798E-4</v>
      </c>
      <c r="BN75" s="37">
        <f t="shared" si="87"/>
        <v>0.4995150777003412</v>
      </c>
      <c r="BO75" s="37">
        <f t="shared" si="87"/>
        <v>0.41054686409813534</v>
      </c>
      <c r="BP75" s="37">
        <f t="shared" si="87"/>
        <v>0.50392243278977467</v>
      </c>
      <c r="BQ75" s="37">
        <f t="shared" si="87"/>
        <v>0.31682014471721986</v>
      </c>
      <c r="BR75" s="37">
        <f t="shared" si="87"/>
        <v>7.5506888875518374E-3</v>
      </c>
      <c r="BS75" s="37">
        <f t="shared" si="87"/>
        <v>0.31399297506130019</v>
      </c>
      <c r="BT75" s="37">
        <f t="shared" si="87"/>
        <v>-5.8902824991209135E-2</v>
      </c>
      <c r="BU75" s="37">
        <f t="shared" si="87"/>
        <v>-0.35583491595566785</v>
      </c>
      <c r="BV75" s="55"/>
      <c r="BW75" s="37" t="str">
        <f>IF(ISERROR(BW52/#REF!-1),"--  ",BW52/#REF!-1)</f>
        <v xml:space="preserve">--  </v>
      </c>
      <c r="BX75" s="37">
        <f t="shared" ref="BX75:CH75" si="88">IF(ISERROR(BX52/BW52-1),"--  ",BX52/BW52-1)</f>
        <v>7.9797210174657351E-2</v>
      </c>
      <c r="BY75" s="37">
        <f t="shared" si="88"/>
        <v>0.18468260645371437</v>
      </c>
      <c r="BZ75" s="37">
        <f t="shared" si="88"/>
        <v>0.12709612388893921</v>
      </c>
      <c r="CA75" s="37">
        <f t="shared" si="88"/>
        <v>0.12804878048780521</v>
      </c>
      <c r="CB75" s="37">
        <f t="shared" si="88"/>
        <v>0.25324324324324299</v>
      </c>
      <c r="CC75" s="37">
        <f t="shared" si="88"/>
        <v>-0.18858457335921264</v>
      </c>
      <c r="CD75" s="37">
        <f t="shared" si="88"/>
        <v>0.59418092849219795</v>
      </c>
      <c r="CE75" s="37">
        <f t="shared" si="88"/>
        <v>0.25377894388048938</v>
      </c>
      <c r="CF75" s="37">
        <f t="shared" si="88"/>
        <v>-0.3145013855100931</v>
      </c>
      <c r="CG75" s="37">
        <f t="shared" si="88"/>
        <v>0.19568686008297287</v>
      </c>
      <c r="CH75" s="37">
        <f t="shared" si="88"/>
        <v>0.23959451513470276</v>
      </c>
    </row>
    <row r="76" spans="2:86" ht="14.5" x14ac:dyDescent="0.35">
      <c r="B76" s="10" t="str">
        <f>IF(Control!$D$5=1,"Gross Margin","Margem Bruta")</f>
        <v>Margem Bruta</v>
      </c>
      <c r="C76" s="35" t="str">
        <f>IF(ISERROR(C49/C$47),"--  ",C49/C$47)</f>
        <v xml:space="preserve">--  </v>
      </c>
      <c r="D76" s="35" t="str">
        <f>IF(ISERROR(D49/D$47),"--  ",D49/D$47)</f>
        <v xml:space="preserve">--  </v>
      </c>
      <c r="E76" s="35"/>
      <c r="F76" s="35" t="str">
        <f>IF(ISERROR(F49/F$47),"--  ",F49/F$47)</f>
        <v xml:space="preserve">--  </v>
      </c>
      <c r="G76" s="35" t="str">
        <f>IF(ISERROR(G49/G$47),"--  ",G49/G$47)</f>
        <v xml:space="preserve">--  </v>
      </c>
      <c r="H76" s="35" t="str">
        <f>IF(ISERROR(H49/H$47),"--  ",H49/H$47)</f>
        <v xml:space="preserve">--  </v>
      </c>
      <c r="I76" s="35"/>
      <c r="J76" s="35" t="str">
        <f>IF(ISERROR(J49/J$47),"--  ",J49/J$47)</f>
        <v xml:space="preserve">--  </v>
      </c>
      <c r="K76" s="35" t="str">
        <f>IF(ISERROR(K49/K$47),"--  ",K49/K$47)</f>
        <v xml:space="preserve">--  </v>
      </c>
      <c r="L76" s="35" t="str">
        <f>IF(ISERROR(L49/L$47),"--  ",L49/L$47)</f>
        <v xml:space="preserve">--  </v>
      </c>
      <c r="M76" s="35"/>
      <c r="N76" s="35" t="str">
        <f>IF(ISERROR(N49/N$47),"--  ",N49/N$47)</f>
        <v xml:space="preserve">--  </v>
      </c>
      <c r="O76" s="35" t="str">
        <f>IF(ISERROR(O49/O$47),"--  ",O49/O$47)</f>
        <v xml:space="preserve">--  </v>
      </c>
      <c r="P76" s="35" t="str">
        <f>IF(ISERROR(P49/P$47),"--  ",P49/P$47)</f>
        <v xml:space="preserve">--  </v>
      </c>
      <c r="Q76" s="35"/>
      <c r="R76" s="35" t="str">
        <f>IF(ISERROR(R49/R$47),"--  ",R49/R$47)</f>
        <v xml:space="preserve">--  </v>
      </c>
      <c r="S76" s="35" t="str">
        <f>IF(ISERROR(S49/S$47),"--  ",S49/S$47)</f>
        <v xml:space="preserve">--  </v>
      </c>
      <c r="T76" s="35" t="str">
        <f>IF(ISERROR(T49/T$47),"--  ",T49/T$47)</f>
        <v xml:space="preserve">--  </v>
      </c>
      <c r="U76" s="35"/>
      <c r="V76" s="35" t="str">
        <f t="shared" ref="V76:BM76" si="89">IF(ISERROR(V49/V$47),"--  ",V49/V$47)</f>
        <v xml:space="preserve">--  </v>
      </c>
      <c r="W76" s="35" t="str">
        <f t="shared" si="89"/>
        <v xml:space="preserve">--  </v>
      </c>
      <c r="X76" s="35">
        <f t="shared" si="89"/>
        <v>0.28549606621027895</v>
      </c>
      <c r="Y76" s="35">
        <f t="shared" si="89"/>
        <v>0.24809308447804512</v>
      </c>
      <c r="Z76" s="35">
        <f t="shared" si="89"/>
        <v>0.18139377282481842</v>
      </c>
      <c r="AA76" s="35">
        <f t="shared" si="89"/>
        <v>0.24729918605607151</v>
      </c>
      <c r="AB76" s="35">
        <f t="shared" si="89"/>
        <v>0.22148074979325552</v>
      </c>
      <c r="AC76" s="35">
        <f t="shared" si="89"/>
        <v>0.22560026252939785</v>
      </c>
      <c r="AD76" s="35">
        <f t="shared" si="89"/>
        <v>0.21168172255908921</v>
      </c>
      <c r="AE76" s="35">
        <f t="shared" si="89"/>
        <v>0.22333343714477033</v>
      </c>
      <c r="AF76" s="35">
        <f t="shared" si="89"/>
        <v>0.22808082617595052</v>
      </c>
      <c r="AG76" s="35">
        <f t="shared" si="89"/>
        <v>0.24397396169124222</v>
      </c>
      <c r="AH76" s="35">
        <f t="shared" si="89"/>
        <v>0.23651874736694284</v>
      </c>
      <c r="AI76" s="35">
        <f t="shared" si="89"/>
        <v>0.23703137705745461</v>
      </c>
      <c r="AJ76" s="35">
        <f t="shared" si="89"/>
        <v>0.2260485225261622</v>
      </c>
      <c r="AK76" s="35">
        <f t="shared" si="89"/>
        <v>0.29705139177568568</v>
      </c>
      <c r="AL76" s="35">
        <f t="shared" si="89"/>
        <v>0.25426683881668843</v>
      </c>
      <c r="AM76" s="35">
        <f t="shared" si="89"/>
        <v>0.26456838579035519</v>
      </c>
      <c r="AN76" s="35">
        <f t="shared" si="89"/>
        <v>0.25278150304717606</v>
      </c>
      <c r="AO76" s="35">
        <f t="shared" si="89"/>
        <v>0.26024113030188778</v>
      </c>
      <c r="AP76" s="35">
        <f t="shared" si="89"/>
        <v>0.27430059550053199</v>
      </c>
      <c r="AQ76" s="35">
        <f t="shared" si="89"/>
        <v>0.2665473804752363</v>
      </c>
      <c r="AR76" s="35">
        <f t="shared" si="89"/>
        <v>0.28223684210526317</v>
      </c>
      <c r="AS76" s="35">
        <f t="shared" si="89"/>
        <v>0.30142152596460697</v>
      </c>
      <c r="AT76" s="35">
        <f t="shared" si="89"/>
        <v>0.2697288052773027</v>
      </c>
      <c r="AU76" s="35">
        <f t="shared" si="89"/>
        <v>0.2801974448315912</v>
      </c>
      <c r="AV76" s="35">
        <f t="shared" si="89"/>
        <v>0.28619756427604875</v>
      </c>
      <c r="AW76" s="35">
        <f t="shared" si="89"/>
        <v>0.26766470795872183</v>
      </c>
      <c r="AX76" s="35">
        <f t="shared" si="89"/>
        <v>0.25261667100984564</v>
      </c>
      <c r="AY76" s="35">
        <f t="shared" si="89"/>
        <v>0.25636410956482458</v>
      </c>
      <c r="AZ76" s="35">
        <f t="shared" si="89"/>
        <v>0.28425579821759384</v>
      </c>
      <c r="BA76" s="35">
        <f t="shared" si="89"/>
        <v>0.2765554049147867</v>
      </c>
      <c r="BB76" s="35">
        <f t="shared" si="89"/>
        <v>0.26067856250746657</v>
      </c>
      <c r="BC76" s="35">
        <f t="shared" si="89"/>
        <v>0.24228527815097659</v>
      </c>
      <c r="BD76" s="35">
        <f t="shared" si="89"/>
        <v>0.26217451126982355</v>
      </c>
      <c r="BE76" s="35">
        <f t="shared" si="89"/>
        <v>0.2419660444043602</v>
      </c>
      <c r="BF76" s="35">
        <f t="shared" si="89"/>
        <v>0.25657827496797581</v>
      </c>
      <c r="BG76" s="35">
        <f t="shared" si="89"/>
        <v>0.25978190840676357</v>
      </c>
      <c r="BH76" s="35">
        <f t="shared" si="89"/>
        <v>0.26949176877765307</v>
      </c>
      <c r="BI76" s="35">
        <f t="shared" si="89"/>
        <v>0.25248855132629516</v>
      </c>
      <c r="BJ76" s="35">
        <f t="shared" si="89"/>
        <v>0.23973143375008527</v>
      </c>
      <c r="BK76" s="35">
        <f t="shared" si="89"/>
        <v>0.24013066035656022</v>
      </c>
      <c r="BL76" s="35">
        <f t="shared" si="89"/>
        <v>0.22770594754340601</v>
      </c>
      <c r="BM76" s="35">
        <f t="shared" si="89"/>
        <v>0.22412076832480035</v>
      </c>
      <c r="BN76" s="35">
        <f t="shared" ref="BN76:BS76" si="90">IF(ISERROR(BN49/BN$47),"--  ",BN49/BN$47)</f>
        <v>0.22649881429867966</v>
      </c>
      <c r="BO76" s="35">
        <f t="shared" si="90"/>
        <v>0.23750560734176165</v>
      </c>
      <c r="BP76" s="35">
        <f t="shared" si="90"/>
        <v>0.23855212064911718</v>
      </c>
      <c r="BQ76" s="35">
        <f t="shared" si="90"/>
        <v>0.23839142458752272</v>
      </c>
      <c r="BR76" s="35">
        <f t="shared" si="90"/>
        <v>0.21205965781130184</v>
      </c>
      <c r="BS76" s="35">
        <f t="shared" si="90"/>
        <v>0.22393955277517999</v>
      </c>
      <c r="BT76" s="35">
        <f t="shared" ref="BT76:BU76" si="91">IF(ISERROR(BT49/BT$47),"--  ",BT49/BT$47)</f>
        <v>0.2454489800786043</v>
      </c>
      <c r="BU76" s="35">
        <f t="shared" si="91"/>
        <v>0.22795245524626856</v>
      </c>
      <c r="BV76" s="55"/>
      <c r="BW76" s="35">
        <f t="shared" ref="BW76:CG76" si="92">IF(ISERROR(BW49/BW$47),"--  ",BW49/BW$47)</f>
        <v>0.23684903604554594</v>
      </c>
      <c r="BX76" s="35">
        <f t="shared" si="92"/>
        <v>0.22039644405752459</v>
      </c>
      <c r="BY76" s="35">
        <f t="shared" si="92"/>
        <v>0.23660535522961254</v>
      </c>
      <c r="BZ76" s="35">
        <f t="shared" si="92"/>
        <v>0.25947014630288656</v>
      </c>
      <c r="CA76" s="35">
        <f t="shared" si="92"/>
        <v>0.26383777694329702</v>
      </c>
      <c r="CB76" s="35">
        <f t="shared" si="92"/>
        <v>0.28289188480032856</v>
      </c>
      <c r="CC76" s="35">
        <f t="shared" si="92"/>
        <v>0.26377288843163782</v>
      </c>
      <c r="CD76" s="35">
        <f t="shared" si="92"/>
        <v>0.26666183615373729</v>
      </c>
      <c r="CE76" s="35">
        <f t="shared" si="92"/>
        <v>0.25583788948416214</v>
      </c>
      <c r="CF76" s="35">
        <f t="shared" si="92"/>
        <v>0.24985302200902182</v>
      </c>
      <c r="CG76" s="35">
        <f t="shared" si="92"/>
        <v>0.2283851060730169</v>
      </c>
      <c r="CH76" s="35">
        <f t="shared" ref="CH76" si="93">IF(ISERROR(CH49/CH$47),"--  ",CH49/CH$47)</f>
        <v>0.22771845815639732</v>
      </c>
    </row>
    <row r="77" spans="2:86" ht="14.5" x14ac:dyDescent="0.35">
      <c r="B77" s="10" t="str">
        <f>IF(Control!$D$5=1,"EBITDA Margin","Margem EBITDA")</f>
        <v>Margem EBITDA</v>
      </c>
      <c r="C77" s="35" t="str">
        <f>IF(ISERROR(C70/C$47),"--  ",C70/C$47)</f>
        <v xml:space="preserve">--  </v>
      </c>
      <c r="D77" s="35" t="str">
        <f>IF(ISERROR(D70/D$47),"--  ",D70/D$47)</f>
        <v xml:space="preserve">--  </v>
      </c>
      <c r="E77" s="35"/>
      <c r="F77" s="35" t="str">
        <f>IF(ISERROR(F70/F$47),"--  ",F70/F$47)</f>
        <v xml:space="preserve">--  </v>
      </c>
      <c r="G77" s="35" t="str">
        <f>IF(ISERROR(G70/G$47),"--  ",G70/G$47)</f>
        <v xml:space="preserve">--  </v>
      </c>
      <c r="H77" s="35" t="str">
        <f>IF(ISERROR(H70/H$47),"--  ",H70/H$47)</f>
        <v xml:space="preserve">--  </v>
      </c>
      <c r="I77" s="35"/>
      <c r="J77" s="35" t="str">
        <f>IF(ISERROR(J70/J$47),"--  ",J70/J$47)</f>
        <v xml:space="preserve">--  </v>
      </c>
      <c r="K77" s="35" t="str">
        <f>IF(ISERROR(K70/K$47),"--  ",K70/K$47)</f>
        <v xml:space="preserve">--  </v>
      </c>
      <c r="L77" s="35" t="str">
        <f>IF(ISERROR(L70/L$47),"--  ",L70/L$47)</f>
        <v xml:space="preserve">--  </v>
      </c>
      <c r="M77" s="35"/>
      <c r="N77" s="35" t="str">
        <f>IF(ISERROR(N70/N$47),"--  ",N70/N$47)</f>
        <v xml:space="preserve">--  </v>
      </c>
      <c r="O77" s="35" t="str">
        <f>IF(ISERROR(O70/O$47),"--  ",O70/O$47)</f>
        <v xml:space="preserve">--  </v>
      </c>
      <c r="P77" s="35" t="str">
        <f>IF(ISERROR(P70/P$47),"--  ",P70/P$47)</f>
        <v xml:space="preserve">--  </v>
      </c>
      <c r="Q77" s="35"/>
      <c r="R77" s="35" t="str">
        <f>IF(ISERROR(R70/R$47),"--  ",R70/R$47)</f>
        <v xml:space="preserve">--  </v>
      </c>
      <c r="S77" s="35" t="str">
        <f>IF(ISERROR(S70/S$47),"--  ",S70/S$47)</f>
        <v xml:space="preserve">--  </v>
      </c>
      <c r="T77" s="35" t="str">
        <f>IF(ISERROR(T70/T$47),"--  ",T70/T$47)</f>
        <v xml:space="preserve">--  </v>
      </c>
      <c r="U77" s="35"/>
      <c r="V77" s="35" t="str">
        <f t="shared" ref="V77:AM77" si="94">IF(ISERROR(V70/V$47),"--  ",V70/V$47)</f>
        <v xml:space="preserve">--  </v>
      </c>
      <c r="W77" s="35" t="str">
        <f t="shared" si="94"/>
        <v xml:space="preserve">--  </v>
      </c>
      <c r="X77" s="35">
        <f t="shared" si="94"/>
        <v>0.1242464493716154</v>
      </c>
      <c r="Y77" s="35">
        <f t="shared" si="94"/>
        <v>0.1006319821796213</v>
      </c>
      <c r="Z77" s="35">
        <f t="shared" si="94"/>
        <v>5.3491961899024928E-2</v>
      </c>
      <c r="AA77" s="35">
        <f t="shared" si="94"/>
        <v>0.11578969004357463</v>
      </c>
      <c r="AB77" s="35">
        <f t="shared" si="94"/>
        <v>9.213911605255902E-2</v>
      </c>
      <c r="AC77" s="35">
        <f t="shared" si="94"/>
        <v>9.202020017866587E-2</v>
      </c>
      <c r="AD77" s="35">
        <f t="shared" si="94"/>
        <v>8.8097300546254864E-2</v>
      </c>
      <c r="AE77" s="35">
        <f t="shared" si="94"/>
        <v>8.8268269515252559E-2</v>
      </c>
      <c r="AF77" s="35">
        <f t="shared" si="94"/>
        <v>9.4855641477323602E-2</v>
      </c>
      <c r="AG77" s="35">
        <f t="shared" si="94"/>
        <v>0.10723718807656996</v>
      </c>
      <c r="AH77" s="35">
        <f t="shared" si="94"/>
        <v>0.10511164162336749</v>
      </c>
      <c r="AI77" s="35">
        <f t="shared" si="94"/>
        <v>5.5361999831758518E-2</v>
      </c>
      <c r="AJ77" s="35">
        <f t="shared" si="94"/>
        <v>8.0860827120034007E-2</v>
      </c>
      <c r="AK77" s="35">
        <f t="shared" si="94"/>
        <v>0.1344500142641725</v>
      </c>
      <c r="AL77" s="35">
        <f t="shared" si="94"/>
        <v>0.11784422936163123</v>
      </c>
      <c r="AM77" s="35">
        <f t="shared" si="94"/>
        <v>8.3269793255168631E-2</v>
      </c>
      <c r="AN77" s="35">
        <f>IF(ISERROR(AN70/AN$47),"--  ",AN70/AN$47)</f>
        <v>0.10328823399595974</v>
      </c>
      <c r="AO77" s="35">
        <f>IF(ISERROR(AO70/AO$47),"--  ",AO70/AO$47)</f>
        <v>0.10738328435703859</v>
      </c>
      <c r="AP77" s="35">
        <f>IF(ISERROR(AP70/AP$47),"--  ",AP70/AP$47)</f>
        <v>0.12658060420083597</v>
      </c>
      <c r="AQ77" s="35">
        <f>IF(ISERROR(AQ70/AQ$47),"--  ",AQ70/AQ$47)</f>
        <v>9.0472373318064792E-2</v>
      </c>
      <c r="AR77" s="35">
        <f>IF(ISERROR(AR70/AR$47),"--  ",AR70/AR$47)</f>
        <v>0.11381578947368426</v>
      </c>
      <c r="AS77" s="35">
        <f t="shared" ref="AS77:AX77" si="95">IF(ISERROR(AS70/AS$47),"--  ",AS70/AS$47)</f>
        <v>0.18131708732230931</v>
      </c>
      <c r="AT77" s="35">
        <f t="shared" si="95"/>
        <v>0.10554605423894449</v>
      </c>
      <c r="AU77" s="35">
        <f t="shared" si="95"/>
        <v>0.10511033681765389</v>
      </c>
      <c r="AV77" s="35">
        <f t="shared" si="95"/>
        <v>0.1261840324763194</v>
      </c>
      <c r="AW77" s="35">
        <f t="shared" si="95"/>
        <v>0.10183995942182032</v>
      </c>
      <c r="AX77" s="35">
        <f t="shared" si="95"/>
        <v>9.6706359547251694E-2</v>
      </c>
      <c r="AY77" s="35">
        <f t="shared" ref="AY77:BE77" si="96">IF(ISERROR(AY70/AY$47),"--  ",AY70/AY$47)</f>
        <v>0.11110183557419397</v>
      </c>
      <c r="AZ77" s="35">
        <f t="shared" si="96"/>
        <v>0.13230982174011097</v>
      </c>
      <c r="BA77" s="35">
        <f t="shared" si="96"/>
        <v>0.12306084113673965</v>
      </c>
      <c r="BB77" s="35">
        <f t="shared" si="96"/>
        <v>0.10566518602184403</v>
      </c>
      <c r="BC77" s="35">
        <f t="shared" si="96"/>
        <v>9.9016446019801599E-2</v>
      </c>
      <c r="BD77" s="35">
        <f t="shared" si="96"/>
        <v>0.11715009464424893</v>
      </c>
      <c r="BE77" s="35">
        <f t="shared" si="96"/>
        <v>0.10884742586370193</v>
      </c>
      <c r="BF77" s="35">
        <f t="shared" ref="BF77:BR77" si="97">IF(ISERROR(BF70/BF$47),"--  ",BF70/BF$47)</f>
        <v>0.10745479719475175</v>
      </c>
      <c r="BG77" s="35">
        <f t="shared" si="97"/>
        <v>0.14335790752568309</v>
      </c>
      <c r="BH77" s="35">
        <f t="shared" si="97"/>
        <v>9.1742530965568114E-2</v>
      </c>
      <c r="BI77" s="35">
        <f t="shared" si="97"/>
        <v>8.302908079142346E-2</v>
      </c>
      <c r="BJ77" s="35">
        <f t="shared" si="97"/>
        <v>8.514713927941496E-2</v>
      </c>
      <c r="BK77" s="35">
        <f t="shared" si="97"/>
        <v>7.4455459368891419E-2</v>
      </c>
      <c r="BL77" s="35">
        <f t="shared" si="97"/>
        <v>7.5028459850877929E-2</v>
      </c>
      <c r="BM77" s="35">
        <f t="shared" si="97"/>
        <v>9.1304938002725086E-2</v>
      </c>
      <c r="BN77" s="35">
        <f t="shared" si="97"/>
        <v>9.7394970284275559E-2</v>
      </c>
      <c r="BO77" s="35">
        <f t="shared" si="97"/>
        <v>8.411256331409761E-2</v>
      </c>
      <c r="BP77" s="35">
        <f t="shared" si="97"/>
        <v>9.86928554664388E-2</v>
      </c>
      <c r="BQ77" s="35">
        <f t="shared" si="97"/>
        <v>0.10143163123249441</v>
      </c>
      <c r="BR77" s="35">
        <f t="shared" si="97"/>
        <v>9.8165575034770372E-2</v>
      </c>
      <c r="BS77" s="35">
        <f t="shared" ref="BS77:BT77" si="98">IF(ISERROR(BS70/BS$47),"--  ",BS70/BS$47)</f>
        <v>7.6812875560490407E-2</v>
      </c>
      <c r="BT77" s="35">
        <f t="shared" si="98"/>
        <v>9.3058386093980608E-2</v>
      </c>
      <c r="BU77" s="35">
        <f t="shared" ref="BU77" si="99">IF(ISERROR(BU70/BU$47),"--  ",BU70/BU$47)</f>
        <v>7.3395900665425284E-2</v>
      </c>
      <c r="BV77" s="55"/>
      <c r="BW77" s="35">
        <f t="shared" ref="BW77:CG77" si="100">IF(ISERROR(BW70/BW$47),"--  ",BW70/BW$47)</f>
        <v>9.5286743794350717E-2</v>
      </c>
      <c r="BX77" s="35">
        <f t="shared" si="100"/>
        <v>9.0045370075840042E-2</v>
      </c>
      <c r="BY77" s="35">
        <f t="shared" si="100"/>
        <v>9.1453091880576459E-2</v>
      </c>
      <c r="BZ77" s="35">
        <f t="shared" si="100"/>
        <v>0.10201581652827205</v>
      </c>
      <c r="CA77" s="35">
        <f t="shared" si="100"/>
        <v>0.10694705219677059</v>
      </c>
      <c r="CB77" s="35">
        <f t="shared" si="100"/>
        <v>0.12598823247562929</v>
      </c>
      <c r="CC77" s="35">
        <f t="shared" si="100"/>
        <v>0.10771503176904858</v>
      </c>
      <c r="CD77" s="35">
        <f t="shared" si="100"/>
        <v>0.11542736375916447</v>
      </c>
      <c r="CE77" s="35">
        <f t="shared" si="100"/>
        <v>0.12012656641337346</v>
      </c>
      <c r="CF77" s="35">
        <f t="shared" si="100"/>
        <v>8.3589453081220982E-2</v>
      </c>
      <c r="CG77" s="35">
        <f t="shared" si="100"/>
        <v>8.7886711037455378E-2</v>
      </c>
      <c r="CH77" s="35">
        <f t="shared" ref="CH77" si="101">IF(ISERROR(CH70/CH$47),"--  ",CH70/CH$47)</f>
        <v>9.391616914538832E-2</v>
      </c>
    </row>
    <row r="78" spans="2:86" ht="14.5" x14ac:dyDescent="0.35">
      <c r="B78" s="10" t="str">
        <f>IF(Control!$D$5=1,"EBIT Margin","Margem EBIT")</f>
        <v>Margem EBIT</v>
      </c>
      <c r="C78" s="35" t="str">
        <f>IF(ISERROR(C52/C$47),"--  ",C52/C$47)</f>
        <v xml:space="preserve">--  </v>
      </c>
      <c r="D78" s="35" t="str">
        <f>IF(ISERROR(D52/D$47),"--  ",D52/D$47)</f>
        <v xml:space="preserve">--  </v>
      </c>
      <c r="E78" s="35"/>
      <c r="F78" s="35" t="str">
        <f>IF(ISERROR(F52/F$47),"--  ",F52/F$47)</f>
        <v xml:space="preserve">--  </v>
      </c>
      <c r="G78" s="35" t="str">
        <f>IF(ISERROR(G52/G$47),"--  ",G52/G$47)</f>
        <v xml:space="preserve">--  </v>
      </c>
      <c r="H78" s="35" t="str">
        <f>IF(ISERROR(H52/H$47),"--  ",H52/H$47)</f>
        <v xml:space="preserve">--  </v>
      </c>
      <c r="I78" s="35"/>
      <c r="J78" s="35" t="str">
        <f>IF(ISERROR(J52/J$47),"--  ",J52/J$47)</f>
        <v xml:space="preserve">--  </v>
      </c>
      <c r="K78" s="35" t="str">
        <f>IF(ISERROR(K52/K$47),"--  ",K52/K$47)</f>
        <v xml:space="preserve">--  </v>
      </c>
      <c r="L78" s="35" t="str">
        <f>IF(ISERROR(L52/L$47),"--  ",L52/L$47)</f>
        <v xml:space="preserve">--  </v>
      </c>
      <c r="M78" s="35"/>
      <c r="N78" s="35" t="str">
        <f>IF(ISERROR(N52/N$47),"--  ",N52/N$47)</f>
        <v xml:space="preserve">--  </v>
      </c>
      <c r="O78" s="35" t="str">
        <f>IF(ISERROR(O52/O$47),"--  ",O52/O$47)</f>
        <v xml:space="preserve">--  </v>
      </c>
      <c r="P78" s="35" t="str">
        <f>IF(ISERROR(P52/P$47),"--  ",P52/P$47)</f>
        <v xml:space="preserve">--  </v>
      </c>
      <c r="Q78" s="35"/>
      <c r="R78" s="35" t="str">
        <f>IF(ISERROR(R52/R$47),"--  ",R52/R$47)</f>
        <v xml:space="preserve">--  </v>
      </c>
      <c r="S78" s="35" t="str">
        <f>IF(ISERROR(S52/S$47),"--  ",S52/S$47)</f>
        <v xml:space="preserve">--  </v>
      </c>
      <c r="T78" s="35" t="str">
        <f>IF(ISERROR(T52/T$47),"--  ",T52/T$47)</f>
        <v xml:space="preserve">--  </v>
      </c>
      <c r="U78" s="35"/>
      <c r="V78" s="35" t="str">
        <f t="shared" ref="V78:BM78" si="102">IF(ISERROR(V52/V$47),"--  ",V52/V$47)</f>
        <v xml:space="preserve">--  </v>
      </c>
      <c r="W78" s="35" t="str">
        <f t="shared" si="102"/>
        <v xml:space="preserve">--  </v>
      </c>
      <c r="X78" s="35">
        <f t="shared" si="102"/>
        <v>0.10176765096556657</v>
      </c>
      <c r="Y78" s="35">
        <f t="shared" si="102"/>
        <v>7.6584596172668634E-2</v>
      </c>
      <c r="Z78" s="35">
        <f t="shared" si="102"/>
        <v>3.4290877602499957E-2</v>
      </c>
      <c r="AA78" s="35">
        <f t="shared" si="102"/>
        <v>8.6602811806297669E-2</v>
      </c>
      <c r="AB78" s="35">
        <f t="shared" si="102"/>
        <v>7.1847529786517192E-2</v>
      </c>
      <c r="AC78" s="35">
        <f t="shared" si="102"/>
        <v>7.4518240323786275E-2</v>
      </c>
      <c r="AD78" s="35">
        <f t="shared" si="102"/>
        <v>6.8297770785086698E-2</v>
      </c>
      <c r="AE78" s="35">
        <f t="shared" si="102"/>
        <v>5.9071302885438916E-2</v>
      </c>
      <c r="AF78" s="35">
        <f t="shared" si="102"/>
        <v>7.1633542000484329E-2</v>
      </c>
      <c r="AG78" s="35">
        <f t="shared" si="102"/>
        <v>8.6142711561258647E-2</v>
      </c>
      <c r="AH78" s="35">
        <f t="shared" si="102"/>
        <v>8.1076555799207084E-2</v>
      </c>
      <c r="AI78" s="35">
        <f t="shared" si="102"/>
        <v>2.3466197459552095E-2</v>
      </c>
      <c r="AJ78" s="35">
        <f t="shared" si="102"/>
        <v>5.2821837850223548E-2</v>
      </c>
      <c r="AK78" s="35">
        <f t="shared" si="102"/>
        <v>0.10880167366290366</v>
      </c>
      <c r="AL78" s="35">
        <f t="shared" si="102"/>
        <v>8.6737851328979293E-2</v>
      </c>
      <c r="AM78" s="35">
        <f t="shared" si="102"/>
        <v>6.6654583635409159E-2</v>
      </c>
      <c r="AN78" s="35">
        <f t="shared" si="102"/>
        <v>7.8163885446551354E-2</v>
      </c>
      <c r="AO78" s="35">
        <f t="shared" si="102"/>
        <v>8.5221630925004344E-2</v>
      </c>
      <c r="AP78" s="35">
        <f t="shared" si="102"/>
        <v>9.6470498327542967E-2</v>
      </c>
      <c r="AQ78" s="35">
        <f t="shared" si="102"/>
        <v>7.3137703979387431E-2</v>
      </c>
      <c r="AR78" s="35">
        <f t="shared" si="102"/>
        <v>8.5526315789473728E-2</v>
      </c>
      <c r="AS78" s="35">
        <f t="shared" si="102"/>
        <v>0.14940527995358288</v>
      </c>
      <c r="AT78" s="35">
        <f t="shared" si="102"/>
        <v>8.5756169069142379E-2</v>
      </c>
      <c r="AU78" s="35">
        <f t="shared" si="102"/>
        <v>7.6364692218350766E-2</v>
      </c>
      <c r="AV78" s="35">
        <f t="shared" si="102"/>
        <v>8.6603518267929697E-2</v>
      </c>
      <c r="AW78" s="35">
        <f t="shared" si="102"/>
        <v>6.8760437461253543E-2</v>
      </c>
      <c r="AX78" s="35">
        <f t="shared" si="102"/>
        <v>6.9777138260386604E-2</v>
      </c>
      <c r="AY78" s="35">
        <f t="shared" si="102"/>
        <v>8.1766040404238849E-2</v>
      </c>
      <c r="AZ78" s="35">
        <f t="shared" si="102"/>
        <v>0.10377705850941796</v>
      </c>
      <c r="BA78" s="35">
        <f t="shared" si="102"/>
        <v>9.7767807814338969E-2</v>
      </c>
      <c r="BB78" s="35">
        <f t="shared" si="102"/>
        <v>7.8162841969221422E-2</v>
      </c>
      <c r="BC78" s="35">
        <f t="shared" si="102"/>
        <v>5.7818708790419622E-2</v>
      </c>
      <c r="BD78" s="35">
        <f t="shared" si="102"/>
        <v>9.1500707843542681E-2</v>
      </c>
      <c r="BE78" s="35">
        <f t="shared" si="102"/>
        <v>8.8550582016541521E-2</v>
      </c>
      <c r="BF78" s="35">
        <f t="shared" si="102"/>
        <v>8.7290719365447966E-2</v>
      </c>
      <c r="BG78" s="35">
        <f t="shared" si="102"/>
        <v>0.12262157153403959</v>
      </c>
      <c r="BH78" s="35">
        <f t="shared" si="102"/>
        <v>6.5858671113605424E-2</v>
      </c>
      <c r="BI78" s="35">
        <f t="shared" si="102"/>
        <v>6.5191524277657065E-2</v>
      </c>
      <c r="BJ78" s="35">
        <f t="shared" si="102"/>
        <v>6.1722070404673028E-2</v>
      </c>
      <c r="BK78" s="35">
        <f t="shared" si="102"/>
        <v>4.014058113728896E-2</v>
      </c>
      <c r="BL78" s="35">
        <f t="shared" si="102"/>
        <v>5.1318199980398528E-2</v>
      </c>
      <c r="BM78" s="35">
        <f t="shared" si="102"/>
        <v>7.0534940075973218E-2</v>
      </c>
      <c r="BN78" s="35">
        <f t="shared" ref="BN78:BS78" si="103">IF(ISERROR(BN52/BN$47),"--  ",BN52/BN$47)</f>
        <v>7.7856954650584079E-2</v>
      </c>
      <c r="BO78" s="35">
        <f t="shared" si="103"/>
        <v>5.3028931417959703E-2</v>
      </c>
      <c r="BP78" s="35">
        <f t="shared" si="103"/>
        <v>7.193581345539532E-2</v>
      </c>
      <c r="BQ78" s="35">
        <f t="shared" si="103"/>
        <v>7.8020419017794954E-2</v>
      </c>
      <c r="BR78" s="35">
        <f t="shared" si="103"/>
        <v>7.3590124997528178E-2</v>
      </c>
      <c r="BS78" s="35">
        <f t="shared" si="103"/>
        <v>4.9248970230009334E-2</v>
      </c>
      <c r="BT78" s="35">
        <f t="shared" ref="BT78:BU78" si="104">IF(ISERROR(BT52/BT$47),"--  ",BT52/BT$47)</f>
        <v>6.383088677640171E-2</v>
      </c>
      <c r="BU78" s="35">
        <f t="shared" si="104"/>
        <v>4.9727462303145877E-2</v>
      </c>
      <c r="BV78" s="55"/>
      <c r="BW78" s="35">
        <f t="shared" ref="BW78:CG78" si="105">IF(ISERROR(BW52/BW$47),"--  ",BW52/BW$47)</f>
        <v>7.2477650742001729E-2</v>
      </c>
      <c r="BX78" s="35">
        <f t="shared" si="105"/>
        <v>6.8542483988399849E-2</v>
      </c>
      <c r="BY78" s="35">
        <f t="shared" si="105"/>
        <v>6.748844709472844E-2</v>
      </c>
      <c r="BZ78" s="35">
        <f t="shared" si="105"/>
        <v>7.7817319098457877E-2</v>
      </c>
      <c r="CA78" s="35">
        <f t="shared" si="105"/>
        <v>8.3364626361246738E-2</v>
      </c>
      <c r="CB78" s="35">
        <f t="shared" si="105"/>
        <v>9.9186882889460579E-2</v>
      </c>
      <c r="CC78" s="35">
        <f t="shared" si="105"/>
        <v>7.6199811518946642E-2</v>
      </c>
      <c r="CD78" s="35">
        <f t="shared" si="105"/>
        <v>8.5218188341928916E-2</v>
      </c>
      <c r="CE78" s="35">
        <f t="shared" si="105"/>
        <v>9.8513937831519127E-2</v>
      </c>
      <c r="CF78" s="35">
        <f t="shared" si="105"/>
        <v>5.9156872277751502E-2</v>
      </c>
      <c r="CG78" s="35">
        <f t="shared" si="105"/>
        <v>6.4703377256610503E-2</v>
      </c>
      <c r="CH78" s="35">
        <f t="shared" ref="CH78" si="106">IF(ISERROR(CH52/CH$47),"--  ",CH52/CH$47)</f>
        <v>6.8457693494240454E-2</v>
      </c>
    </row>
    <row r="79" spans="2:86" ht="14.5" x14ac:dyDescent="0.35">
      <c r="B79" s="134" t="str">
        <f>IF(Control!$D$5=1,"Net Margin","Margem Líquida")</f>
        <v>Margem Líquida</v>
      </c>
      <c r="C79" s="93" t="str">
        <f>IF(ISERROR(C58/C$47),"--  ",C58/C$47)</f>
        <v xml:space="preserve">--  </v>
      </c>
      <c r="D79" s="93" t="str">
        <f>IF(ISERROR(D58/D$47),"--  ",D58/D$47)</f>
        <v xml:space="preserve">--  </v>
      </c>
      <c r="E79" s="93"/>
      <c r="F79" s="93" t="str">
        <f>IF(ISERROR(F58/F$47),"--  ",F58/F$47)</f>
        <v xml:space="preserve">--  </v>
      </c>
      <c r="G79" s="93" t="str">
        <f>IF(ISERROR(G58/G$47),"--  ",G58/G$47)</f>
        <v xml:space="preserve">--  </v>
      </c>
      <c r="H79" s="93" t="str">
        <f>IF(ISERROR(H58/H$47),"--  ",H58/H$47)</f>
        <v xml:space="preserve">--  </v>
      </c>
      <c r="I79" s="93"/>
      <c r="J79" s="93" t="str">
        <f>IF(ISERROR(J58/J$47),"--  ",J58/J$47)</f>
        <v xml:space="preserve">--  </v>
      </c>
      <c r="K79" s="93" t="str">
        <f>IF(ISERROR(K58/K$47),"--  ",K58/K$47)</f>
        <v xml:space="preserve">--  </v>
      </c>
      <c r="L79" s="93" t="str">
        <f>IF(ISERROR(L58/L$47),"--  ",L58/L$47)</f>
        <v xml:space="preserve">--  </v>
      </c>
      <c r="M79" s="93"/>
      <c r="N79" s="93" t="str">
        <f>IF(ISERROR(N58/N$47),"--  ",N58/N$47)</f>
        <v xml:space="preserve">--  </v>
      </c>
      <c r="O79" s="93" t="str">
        <f>IF(ISERROR(O58/O$47),"--  ",O58/O$47)</f>
        <v xml:space="preserve">--  </v>
      </c>
      <c r="P79" s="93" t="str">
        <f>IF(ISERROR(P58/P$47),"--  ",P58/P$47)</f>
        <v xml:space="preserve">--  </v>
      </c>
      <c r="Q79" s="93"/>
      <c r="R79" s="93" t="str">
        <f>IF(ISERROR(R58/R$47),"--  ",R58/R$47)</f>
        <v xml:space="preserve">--  </v>
      </c>
      <c r="S79" s="93" t="str">
        <f>IF(ISERROR(S58/S$47),"--  ",S58/S$47)</f>
        <v xml:space="preserve">--  </v>
      </c>
      <c r="T79" s="93" t="str">
        <f>IF(ISERROR(T58/T$47),"--  ",T58/T$47)</f>
        <v xml:space="preserve">--  </v>
      </c>
      <c r="U79" s="93"/>
      <c r="V79" s="93" t="str">
        <f t="shared" ref="V79:BL79" si="107">IF(ISERROR(V58/V$47),"--  ",V58/V$47)</f>
        <v xml:space="preserve">--  </v>
      </c>
      <c r="W79" s="93" t="str">
        <f t="shared" si="107"/>
        <v xml:space="preserve">--  </v>
      </c>
      <c r="X79" s="93">
        <f t="shared" si="107"/>
        <v>4.8998671707366916E-2</v>
      </c>
      <c r="Y79" s="93">
        <f t="shared" si="107"/>
        <v>2.2984238415066291E-2</v>
      </c>
      <c r="Z79" s="93">
        <f t="shared" si="107"/>
        <v>2.6535145514099662E-2</v>
      </c>
      <c r="AA79" s="93">
        <f t="shared" si="107"/>
        <v>3.8715777357559752E-2</v>
      </c>
      <c r="AB79" s="93">
        <f t="shared" si="107"/>
        <v>4.8749578853869942E-2</v>
      </c>
      <c r="AC79" s="93">
        <f t="shared" si="107"/>
        <v>5.2257935133361313E-2</v>
      </c>
      <c r="AD79" s="93">
        <f t="shared" si="107"/>
        <v>3.9132356320823083E-2</v>
      </c>
      <c r="AE79" s="93">
        <f t="shared" si="107"/>
        <v>2.6810601223936884E-3</v>
      </c>
      <c r="AF79" s="93">
        <f t="shared" si="107"/>
        <v>2.8009169411850551E-2</v>
      </c>
      <c r="AG79" s="93">
        <f t="shared" si="107"/>
        <v>5.7543355091345019E-2</v>
      </c>
      <c r="AH79" s="93">
        <f t="shared" si="107"/>
        <v>3.2768733864085603E-2</v>
      </c>
      <c r="AI79" s="93">
        <f t="shared" si="107"/>
        <v>-1.312634943779247E-2</v>
      </c>
      <c r="AJ79" s="93">
        <f t="shared" si="107"/>
        <v>4.0994208290495972E-2</v>
      </c>
      <c r="AK79" s="93">
        <f t="shared" si="107"/>
        <v>6.9870671502900411E-2</v>
      </c>
      <c r="AL79" s="93">
        <f t="shared" si="107"/>
        <v>6.0538377203316056E-2</v>
      </c>
      <c r="AM79" s="93">
        <f t="shared" si="107"/>
        <v>4.4405139871503248E-2</v>
      </c>
      <c r="AN79" s="93">
        <f t="shared" si="107"/>
        <v>7.6313511127709802E-2</v>
      </c>
      <c r="AO79" s="93">
        <f t="shared" si="107"/>
        <v>4.626317107357375E-2</v>
      </c>
      <c r="AP79" s="93">
        <f t="shared" si="107"/>
        <v>6.8744158157416774E-2</v>
      </c>
      <c r="AQ79" s="93">
        <f t="shared" si="107"/>
        <v>4.3690237618093423E-2</v>
      </c>
      <c r="AR79" s="93">
        <f t="shared" si="107"/>
        <v>5.2631578947368467E-2</v>
      </c>
      <c r="AS79" s="93">
        <f t="shared" si="107"/>
        <v>0.10612996808819269</v>
      </c>
      <c r="AT79" s="93">
        <f t="shared" si="107"/>
        <v>6.5966283899340269E-2</v>
      </c>
      <c r="AU79" s="93">
        <f t="shared" si="107"/>
        <v>6.3588850174216033E-2</v>
      </c>
      <c r="AV79" s="93">
        <f t="shared" si="107"/>
        <v>6.4614343707713184E-2</v>
      </c>
      <c r="AW79" s="93">
        <f t="shared" si="107"/>
        <v>4.3799517689179515E-2</v>
      </c>
      <c r="AX79" s="93">
        <f t="shared" si="107"/>
        <v>4.9317365540838883E-2</v>
      </c>
      <c r="AY79" s="93">
        <f t="shared" si="107"/>
        <v>5.7338368313019944E-2</v>
      </c>
      <c r="AZ79" s="93">
        <f t="shared" si="107"/>
        <v>7.9319578129186746E-2</v>
      </c>
      <c r="BA79" s="93">
        <f t="shared" si="107"/>
        <v>7.4184829792495868E-2</v>
      </c>
      <c r="BB79" s="93">
        <f t="shared" si="107"/>
        <v>5.2434375576962754E-2</v>
      </c>
      <c r="BC79" s="93">
        <f t="shared" si="107"/>
        <v>1.971082100230926E-2</v>
      </c>
      <c r="BD79" s="93">
        <f t="shared" si="107"/>
        <v>6.9706682361175137E-2</v>
      </c>
      <c r="BE79" s="93">
        <f t="shared" si="107"/>
        <v>7.1748727024257927E-2</v>
      </c>
      <c r="BF79" s="93">
        <f t="shared" si="107"/>
        <v>6.1509156185511081E-2</v>
      </c>
      <c r="BG79" s="93">
        <f t="shared" si="107"/>
        <v>0.10567296543597642</v>
      </c>
      <c r="BH79" s="93">
        <f t="shared" si="107"/>
        <v>6.9638950185481732E-2</v>
      </c>
      <c r="BI79" s="93">
        <f t="shared" si="107"/>
        <v>4.5915435528851793E-2</v>
      </c>
      <c r="BJ79" s="93">
        <f t="shared" si="107"/>
        <v>4.8261739332593638E-2</v>
      </c>
      <c r="BK79" s="93">
        <f t="shared" si="107"/>
        <v>2.1498699275415624E-2</v>
      </c>
      <c r="BL79" s="93">
        <f t="shared" si="107"/>
        <v>3.0818060508281644E-2</v>
      </c>
      <c r="BM79" s="93">
        <f t="shared" ref="BM79:BR79" si="108">IF(ISERROR(BM58/BM$47),"--  ",BM58/BM$47)</f>
        <v>4.9938913652091022E-2</v>
      </c>
      <c r="BN79" s="93">
        <f t="shared" si="108"/>
        <v>5.6794214948619616E-2</v>
      </c>
      <c r="BO79" s="93">
        <f t="shared" si="108"/>
        <v>5.2456884759715307E-2</v>
      </c>
      <c r="BP79" s="93">
        <f t="shared" si="108"/>
        <v>5.4171802161756495E-2</v>
      </c>
      <c r="BQ79" s="93">
        <f t="shared" si="108"/>
        <v>5.1100621107023479E-2</v>
      </c>
      <c r="BR79" s="93">
        <f t="shared" si="108"/>
        <v>3.2732478044686243E-2</v>
      </c>
      <c r="BS79" s="93">
        <f t="shared" ref="BS79:BT79" si="109">IF(ISERROR(BS58/BS$47),"--  ",BS58/BS$47)</f>
        <v>2.3844936766589123E-2</v>
      </c>
      <c r="BT79" s="93">
        <f t="shared" si="109"/>
        <v>5.5404642583606487E-2</v>
      </c>
      <c r="BU79" s="93">
        <f t="shared" ref="BU79" si="110">IF(ISERROR(BU58/BU$47),"--  ",BU58/BU$47)</f>
        <v>3.784893249686537E-2</v>
      </c>
      <c r="BV79" s="55"/>
      <c r="BW79" s="93">
        <f t="shared" ref="BW79:CG79" si="111">IF(ISERROR(BW58/BW$47),"--  ",BW58/BW$47)</f>
        <v>3.3457513577346797E-2</v>
      </c>
      <c r="BX79" s="93">
        <f t="shared" si="111"/>
        <v>3.6107902280409027E-2</v>
      </c>
      <c r="BY79" s="93">
        <f t="shared" si="111"/>
        <v>2.7983617988055192E-2</v>
      </c>
      <c r="BZ79" s="93">
        <f t="shared" si="111"/>
        <v>5.3459865559509684E-2</v>
      </c>
      <c r="CA79" s="93">
        <f t="shared" si="111"/>
        <v>5.7979722117912143E-2</v>
      </c>
      <c r="CB79" s="93">
        <f t="shared" si="111"/>
        <v>7.2469668535704718E-2</v>
      </c>
      <c r="CC79" s="93">
        <f t="shared" si="111"/>
        <v>5.3319480786003771E-2</v>
      </c>
      <c r="CD79" s="93">
        <f t="shared" si="111"/>
        <v>5.6774518042432387E-2</v>
      </c>
      <c r="CE79" s="93">
        <f t="shared" si="111"/>
        <v>7.8139149665986229E-2</v>
      </c>
      <c r="CF79" s="93">
        <f t="shared" si="111"/>
        <v>4.6279037476805798E-2</v>
      </c>
      <c r="CG79" s="93">
        <f t="shared" si="111"/>
        <v>4.8062074927401909E-2</v>
      </c>
      <c r="CH79" s="93">
        <f t="shared" ref="CH79" si="112">IF(ISERROR(CH58/CH$47),"--  ",CH58/CH$47)</f>
        <v>4.0066801396354663E-2</v>
      </c>
    </row>
    <row r="80" spans="2:86" ht="13" x14ac:dyDescent="0.3">
      <c r="C80" s="94"/>
      <c r="E80" s="94"/>
      <c r="F80" s="94"/>
      <c r="G80" s="94"/>
      <c r="I80" s="94"/>
      <c r="J80" s="94"/>
      <c r="K80" s="94"/>
      <c r="M80" s="94"/>
      <c r="N80" s="94"/>
      <c r="O80" s="94"/>
      <c r="Q80" s="94"/>
      <c r="R80" s="94"/>
      <c r="S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55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</row>
    <row r="81" spans="2:86" ht="14.5" x14ac:dyDescent="0.35">
      <c r="B81" s="10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  <c r="BI81" s="152"/>
      <c r="BJ81" s="152"/>
      <c r="BK81" s="152"/>
      <c r="BL81" s="152"/>
      <c r="BM81" s="152"/>
      <c r="BN81" s="152"/>
      <c r="BO81" s="152"/>
      <c r="BP81" s="152"/>
      <c r="BQ81" s="152"/>
      <c r="BR81" s="152"/>
      <c r="BS81" s="152"/>
      <c r="BT81" s="152"/>
      <c r="BU81" s="152"/>
      <c r="BV81" s="55"/>
      <c r="BW81" s="152"/>
      <c r="BX81" s="152"/>
      <c r="BY81" s="152"/>
      <c r="BZ81" s="152"/>
      <c r="CA81" s="152"/>
      <c r="CB81" s="152"/>
      <c r="CC81" s="152"/>
      <c r="CD81" s="152"/>
      <c r="CE81" s="152"/>
      <c r="CF81" s="152"/>
      <c r="CG81" s="152"/>
      <c r="CH81" s="152"/>
    </row>
    <row r="82" spans="2:86" ht="14.5" x14ac:dyDescent="0.35">
      <c r="B82" s="10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152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  <c r="BI82" s="152"/>
      <c r="BJ82" s="152"/>
      <c r="BK82" s="152"/>
      <c r="BL82" s="152"/>
      <c r="BM82" s="152"/>
      <c r="BN82" s="152"/>
      <c r="BO82" s="152"/>
      <c r="BP82" s="152"/>
      <c r="BQ82" s="152"/>
      <c r="BR82" s="152"/>
      <c r="BS82" s="152"/>
      <c r="BT82" s="152"/>
      <c r="BU82" s="152"/>
      <c r="BV82" s="55"/>
      <c r="BW82" s="152"/>
      <c r="BX82" s="152"/>
      <c r="BY82" s="152"/>
      <c r="BZ82" s="152"/>
      <c r="CA82" s="152"/>
      <c r="CB82" s="152"/>
      <c r="CC82" s="152"/>
      <c r="CD82" s="152"/>
      <c r="CE82" s="152"/>
      <c r="CF82" s="152"/>
      <c r="CG82" s="152"/>
      <c r="CH82" s="152"/>
    </row>
    <row r="83" spans="2:86" ht="13" x14ac:dyDescent="0.3"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55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</row>
    <row r="85" spans="2:86" x14ac:dyDescent="0.25"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</row>
    <row r="86" spans="2:86" x14ac:dyDescent="0.25"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</row>
    <row r="88" spans="2:86" x14ac:dyDescent="0.25">
      <c r="Y88" s="97"/>
      <c r="Z88" s="97"/>
      <c r="AA88" s="97"/>
    </row>
  </sheetData>
  <phoneticPr fontId="9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ignoredErrors>
    <ignoredError sqref="BU56 BU5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499984740745262"/>
    <pageSetUpPr fitToPage="1"/>
  </sheetPr>
  <dimension ref="A1:CP82"/>
  <sheetViews>
    <sheetView showGridLines="0" zoomScale="90" zoomScaleNormal="90" workbookViewId="0">
      <pane xSplit="2" ySplit="8" topLeftCell="BM9" activePane="bottomRight" state="frozen"/>
      <selection activeCell="AI67" sqref="AI67"/>
      <selection pane="topRight" activeCell="AI67" sqref="AI67"/>
      <selection pane="bottomLeft" activeCell="AI67" sqref="AI67"/>
      <selection pane="bottomRight" activeCell="BU2" sqref="BU2"/>
    </sheetView>
  </sheetViews>
  <sheetFormatPr defaultColWidth="11.7265625" defaultRowHeight="14.5" outlineLevelRow="1" x14ac:dyDescent="0.35"/>
  <cols>
    <col min="1" max="1" width="5.26953125" style="5" customWidth="1"/>
    <col min="2" max="2" width="52.26953125" style="5" bestFit="1" customWidth="1"/>
    <col min="3" max="44" width="11.1796875" style="60" customWidth="1"/>
    <col min="45" max="61" width="10.81640625" style="60" customWidth="1"/>
    <col min="62" max="63" width="13.54296875" style="60" bestFit="1" customWidth="1"/>
    <col min="64" max="65" width="13.453125" style="60" bestFit="1" customWidth="1"/>
    <col min="66" max="67" width="13.54296875" style="60" bestFit="1" customWidth="1"/>
    <col min="68" max="68" width="13.453125" style="60" bestFit="1" customWidth="1"/>
    <col min="69" max="71" width="13.7265625" style="60" customWidth="1"/>
    <col min="72" max="73" width="15.54296875" style="60" customWidth="1"/>
    <col min="74" max="74" width="9.81640625" customWidth="1"/>
    <col min="75" max="75" width="13.36328125" style="60" customWidth="1"/>
    <col min="76" max="92" width="14.453125" style="60" customWidth="1"/>
    <col min="93" max="93" width="15.54296875" style="5" bestFit="1" customWidth="1"/>
    <col min="94" max="109" width="12" style="5" bestFit="1" customWidth="1"/>
    <col min="110" max="110" width="13.26953125" style="5" bestFit="1" customWidth="1"/>
    <col min="111" max="183" width="12" style="5" bestFit="1" customWidth="1"/>
    <col min="184" max="230" width="13" style="5" bestFit="1" customWidth="1"/>
    <col min="231" max="277" width="14.1796875" style="5" bestFit="1" customWidth="1"/>
    <col min="278" max="306" width="15.1796875" style="5" bestFit="1" customWidth="1"/>
    <col min="307" max="16384" width="11.7265625" style="5"/>
  </cols>
  <sheetData>
    <row r="1" spans="1:93" s="14" customFormat="1" ht="13" x14ac:dyDescent="0.3"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</row>
    <row r="2" spans="1:93" s="14" customFormat="1" ht="18.5" x14ac:dyDescent="0.45">
      <c r="B2" s="15" t="str">
        <f>IF(Control!$D$5=1,"Cash Flow","Fluxo de Caixa")</f>
        <v>Fluxo de Caixa</v>
      </c>
      <c r="C2" s="62"/>
      <c r="D2" s="62"/>
      <c r="E2" s="54"/>
      <c r="F2" s="54"/>
      <c r="G2" s="62"/>
      <c r="H2" s="62"/>
      <c r="I2" s="54"/>
      <c r="J2" s="54"/>
      <c r="K2" s="62"/>
      <c r="L2" s="62"/>
      <c r="M2" s="54"/>
      <c r="N2" s="54"/>
      <c r="O2" s="62"/>
      <c r="P2" s="62"/>
      <c r="Q2" s="54"/>
      <c r="R2" s="54"/>
      <c r="S2" s="62"/>
      <c r="T2" s="62"/>
      <c r="U2" s="54"/>
      <c r="V2" s="54"/>
      <c r="W2" s="62"/>
      <c r="X2" s="54"/>
      <c r="Y2" s="54"/>
      <c r="Z2" s="54"/>
      <c r="AA2" s="62"/>
      <c r="AB2" s="54"/>
      <c r="AC2" s="54"/>
      <c r="AD2" s="54"/>
      <c r="AE2" s="62"/>
      <c r="AF2" s="54"/>
      <c r="AG2" s="54"/>
      <c r="AH2" s="54"/>
      <c r="AI2" s="62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218"/>
      <c r="BS2" s="218"/>
      <c r="BT2" s="218"/>
      <c r="BU2" s="218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</row>
    <row r="3" spans="1:93" s="14" customFormat="1" x14ac:dyDescent="0.35">
      <c r="B3" s="21" t="str">
        <f>IF(Control!$D$5=1,"Consolidated Financials","Consolidado")</f>
        <v>Consolidado</v>
      </c>
      <c r="C3" s="84"/>
      <c r="D3" s="84"/>
      <c r="E3" s="53"/>
      <c r="F3" s="53"/>
      <c r="G3" s="84"/>
      <c r="H3" s="84"/>
      <c r="I3" s="53"/>
      <c r="J3" s="53"/>
      <c r="K3" s="84"/>
      <c r="L3" s="84"/>
      <c r="M3" s="53"/>
      <c r="N3" s="53"/>
      <c r="O3" s="84"/>
      <c r="P3" s="84"/>
      <c r="Q3" s="53"/>
      <c r="R3" s="53"/>
      <c r="S3" s="84"/>
      <c r="T3" s="84"/>
      <c r="U3" s="53"/>
      <c r="V3" s="53"/>
      <c r="W3" s="84"/>
      <c r="X3" s="53"/>
      <c r="Y3" s="53"/>
      <c r="Z3" s="53"/>
      <c r="AA3" s="84"/>
      <c r="AB3" s="53"/>
      <c r="AC3" s="53"/>
      <c r="AD3" s="53"/>
      <c r="AE3" s="84"/>
      <c r="AF3" s="53"/>
      <c r="AG3" s="53"/>
      <c r="AH3" s="53"/>
      <c r="AI3" s="84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</row>
    <row r="4" spans="1:93" s="14" customFormat="1" ht="13" x14ac:dyDescent="0.3">
      <c r="C4" s="53"/>
      <c r="D4" s="53"/>
      <c r="E4" s="55"/>
      <c r="F4" s="55"/>
      <c r="G4" s="53"/>
      <c r="H4" s="53"/>
      <c r="I4" s="55"/>
      <c r="J4" s="55"/>
      <c r="K4" s="53"/>
      <c r="L4" s="53"/>
      <c r="M4" s="55"/>
      <c r="N4" s="55"/>
      <c r="O4" s="53"/>
      <c r="P4" s="53"/>
      <c r="Q4" s="55"/>
      <c r="R4" s="55"/>
      <c r="S4" s="53"/>
      <c r="T4" s="53"/>
      <c r="U4" s="55"/>
      <c r="V4" s="55"/>
      <c r="W4" s="53"/>
      <c r="X4" s="55"/>
      <c r="Y4" s="55"/>
      <c r="Z4" s="55"/>
      <c r="AA4" s="53"/>
      <c r="AB4" s="55"/>
      <c r="AC4" s="55"/>
      <c r="AD4" s="55"/>
      <c r="AE4" s="53"/>
      <c r="AF4" s="55"/>
      <c r="AG4" s="55"/>
      <c r="AH4" s="55"/>
      <c r="AI4" s="53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</row>
    <row r="5" spans="1:93" s="1" customFormat="1" x14ac:dyDescent="0.35">
      <c r="A5" s="6"/>
      <c r="B5" s="22" t="str">
        <f>IF(Control!$D$5=1,"FINANCIAL STATEMENTS","DEMONSTRATIVOS FINANCEIROS")</f>
        <v>DEMONSTRATIVOS FINANCEIROS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</row>
    <row r="6" spans="1:93" s="1" customFormat="1" x14ac:dyDescent="0.35">
      <c r="A6" s="6"/>
      <c r="B6" s="22" t="str">
        <f>IF(Control!$D$5=1,"In "&amp;TEXT(Control!$D$8,0)&amp;" "&amp;TEXT(Control!$D$7,0)&amp;", except where noted","Em "&amp;TEXT(Control!$D$8,0)&amp;" "&amp;TEXT(Control!$D$7,0)&amp;", exceto se especificado")</f>
        <v>Em milhões R$, exceto se especificado</v>
      </c>
      <c r="C6" s="56" t="str">
        <f>IF(Control!$D$5=1,"4Q07","4T07")</f>
        <v>4T07</v>
      </c>
      <c r="D6" s="56" t="str">
        <f>IF(Control!$D$5=1,"1Q08","1T08")</f>
        <v>1T08</v>
      </c>
      <c r="E6" s="56" t="str">
        <f>IF(Control!$D$5=1,"2Q08","2T08")</f>
        <v>2T08</v>
      </c>
      <c r="F6" s="56" t="str">
        <f>IF(Control!$D$5=1,"3Q08","3T08")</f>
        <v>3T08</v>
      </c>
      <c r="G6" s="56" t="str">
        <f>IF(Control!$D$5=1,"4Q08","4T08")</f>
        <v>4T08</v>
      </c>
      <c r="H6" s="56" t="str">
        <f>IF(Control!$D$5=1,"1Q09","1T09")</f>
        <v>1T09</v>
      </c>
      <c r="I6" s="56" t="str">
        <f>IF(Control!$D$5=1,"2Q09","2T09")</f>
        <v>2T09</v>
      </c>
      <c r="J6" s="56" t="str">
        <f>IF(Control!$D$5=1,"3Q09","3T09")</f>
        <v>3T09</v>
      </c>
      <c r="K6" s="56" t="str">
        <f>IF(Control!$D$5=1,"4Q09","4T09")</f>
        <v>4T09</v>
      </c>
      <c r="L6" s="56" t="str">
        <f>IF(Control!$D$5=1,"1Q10","1T10")</f>
        <v>1T10</v>
      </c>
      <c r="M6" s="56" t="str">
        <f>IF(Control!$D$5=1,"2Q10","2T10")</f>
        <v>2T10</v>
      </c>
      <c r="N6" s="56" t="str">
        <f>IF(Control!$D$5=1,"3Q10","3T10")</f>
        <v>3T10</v>
      </c>
      <c r="O6" s="56" t="str">
        <f>IF(Control!$D$5=1,"4Q10","4T10")</f>
        <v>4T10</v>
      </c>
      <c r="P6" s="56" t="str">
        <f>IF(Control!$D$5=1,"1Q11","1T11")</f>
        <v>1T11</v>
      </c>
      <c r="Q6" s="56" t="str">
        <f>IF(Control!$D$5=1,"2Q11","2T11")</f>
        <v>2T11</v>
      </c>
      <c r="R6" s="56" t="str">
        <f>IF(Control!$D$5=1,"3Q11","3T11")</f>
        <v>3T11</v>
      </c>
      <c r="S6" s="56" t="str">
        <f>IF(Control!$D$5=1,"4Q11","4T11")</f>
        <v>4T11</v>
      </c>
      <c r="T6" s="56" t="str">
        <f>IF(Control!$D$5=1,"1Q12","1T12")</f>
        <v>1T12</v>
      </c>
      <c r="U6" s="56" t="str">
        <f>IF(Control!$D$5=1,"2Q12","2T12")</f>
        <v>2T12</v>
      </c>
      <c r="V6" s="56" t="str">
        <f>IF(Control!$D$5=1,"3Q12","3T12")</f>
        <v>3T12</v>
      </c>
      <c r="W6" s="56" t="str">
        <f>IF(Control!$D$5=1,"4Q12","4T12")</f>
        <v>4T12</v>
      </c>
      <c r="X6" s="56" t="str">
        <f>IF(Control!$D$5=1,"1Q13","1T13")</f>
        <v>1T13</v>
      </c>
      <c r="Y6" s="56" t="str">
        <f>IF(Control!$D$5=1,"2Q13","2T13")</f>
        <v>2T13</v>
      </c>
      <c r="Z6" s="56" t="str">
        <f>IF(Control!$D$5=1,"3Q13","3T13")</f>
        <v>3T13</v>
      </c>
      <c r="AA6" s="56" t="str">
        <f>IF(Control!$D$5=1,"4Q13","4T13")</f>
        <v>4T13</v>
      </c>
      <c r="AB6" s="56" t="str">
        <f>IF(Control!$D$5=1,"1Q14","1T14")</f>
        <v>1T14</v>
      </c>
      <c r="AC6" s="56" t="str">
        <f>IF(Control!$D$5=1,"2Q14","2T14")</f>
        <v>2T14</v>
      </c>
      <c r="AD6" s="56" t="str">
        <f>IF(Control!$D$5=1,"3Q14","3T14")</f>
        <v>3T14</v>
      </c>
      <c r="AE6" s="56" t="str">
        <f>IF(Control!$D$5=1,"4Q14","4T14")</f>
        <v>4T14</v>
      </c>
      <c r="AF6" s="56" t="str">
        <f>IF(Control!$D$5=1,"1Q15","1T15")</f>
        <v>1T15</v>
      </c>
      <c r="AG6" s="56" t="str">
        <f>IF(Control!$D$5=1,"2Q15","2T15")</f>
        <v>2T15</v>
      </c>
      <c r="AH6" s="56" t="str">
        <f>IF(Control!$D$5=1,"3Q15","3T15")</f>
        <v>3T15</v>
      </c>
      <c r="AI6" s="56" t="str">
        <f>IF(Control!$D$5=1,"4Q15","4T15")</f>
        <v>4T15</v>
      </c>
      <c r="AJ6" s="56" t="str">
        <f>IF(Control!$D$5=1,"1Q16","1T16")</f>
        <v>1T16</v>
      </c>
      <c r="AK6" s="56" t="str">
        <f>IF(Control!$D$5=1,"2Q16","2T16")</f>
        <v>2T16</v>
      </c>
      <c r="AL6" s="56" t="str">
        <f>IF(Control!$D$5=1,"3Q16","3T16")</f>
        <v>3T16</v>
      </c>
      <c r="AM6" s="56" t="str">
        <f>IF(Control!$D$5=1,"4Q16","4T16")</f>
        <v>4T16</v>
      </c>
      <c r="AN6" s="56" t="str">
        <f>IF(Control!$D$5=1,"1Q17","1T17")</f>
        <v>1T17</v>
      </c>
      <c r="AO6" s="56" t="str">
        <f>IF(Control!$D$5=1,"2Q17","2T17")</f>
        <v>2T17</v>
      </c>
      <c r="AP6" s="56" t="str">
        <f>IF(Control!$D$5=1,"3Q17","3T17")</f>
        <v>3T17</v>
      </c>
      <c r="AQ6" s="56" t="str">
        <f>IF(Control!$D$5=1,"4Q17","4T17")</f>
        <v>4T17</v>
      </c>
      <c r="AR6" s="56" t="str">
        <f>IF(Control!$D$5=1,"1Q18","1T18")</f>
        <v>1T18</v>
      </c>
      <c r="AS6" s="56" t="str">
        <f>IF(Control!$D$5=1,"2Q18","2T18")</f>
        <v>2T18</v>
      </c>
      <c r="AT6" s="56" t="str">
        <f>IF(Control!$D$5=1,"3Q18","3T18")</f>
        <v>3T18</v>
      </c>
      <c r="AU6" s="56" t="str">
        <f>IF(Control!$D$5=1,"4Q18","4T18")</f>
        <v>4T18</v>
      </c>
      <c r="AV6" s="56" t="str">
        <f>IF(Control!$D$5=1,"1Q19","1T19")</f>
        <v>1T19</v>
      </c>
      <c r="AW6" s="56" t="str">
        <f>IF(Control!$D$5=1,"2Q19","2T19")</f>
        <v>2T19</v>
      </c>
      <c r="AX6" s="56" t="str">
        <f>IF(Control!$D$5=1,"3Q19","3T19")</f>
        <v>3T19</v>
      </c>
      <c r="AY6" s="56" t="str">
        <f>IF(Control!$D$5=1,"4Q19","4T19")</f>
        <v>4T19</v>
      </c>
      <c r="AZ6" s="56" t="str">
        <f>IF(Control!$D$5=1,"1Q20","1T20")</f>
        <v>1T20</v>
      </c>
      <c r="BA6" s="56" t="str">
        <f>IF(Control!$D$5=1,"2Q20","2T20")</f>
        <v>2T20</v>
      </c>
      <c r="BB6" s="56" t="str">
        <f>IF(Control!$D$5=1,"3Q20","3T20")</f>
        <v>3T20</v>
      </c>
      <c r="BC6" s="56" t="s">
        <v>13</v>
      </c>
      <c r="BD6" s="56" t="str">
        <f>IF(Control!$D$5=1,"1Q21","1T21")</f>
        <v>1T21</v>
      </c>
      <c r="BE6" s="56" t="str">
        <f>IF(Control!$D$5=1,"2Q21","2T21")</f>
        <v>2T21</v>
      </c>
      <c r="BF6" s="56" t="str">
        <f>IF(Control!$D$5=1,"3Q21","3T21")</f>
        <v>3T21</v>
      </c>
      <c r="BG6" s="56" t="str">
        <f>IF(Control!$D$5=1,"4Q21","4T21")</f>
        <v>4T21</v>
      </c>
      <c r="BH6" s="56" t="str">
        <f>IF(Control!$D$5=1,"1Q22","1T22")</f>
        <v>1T22</v>
      </c>
      <c r="BI6" s="56" t="str">
        <f>IF(Control!$D$5=1,"2Q22","2T22")</f>
        <v>2T22</v>
      </c>
      <c r="BJ6" s="56" t="str">
        <f>IF(Control!$D$5=1,"3Q22","3T22")</f>
        <v>3T22</v>
      </c>
      <c r="BK6" s="56" t="str">
        <f>IF(Control!$D$5=1,"4Q22","4T22")</f>
        <v>4T22</v>
      </c>
      <c r="BL6" s="56" t="str">
        <f>IF(Control!$D$5=1,"1Q23","1T23")</f>
        <v>1T23</v>
      </c>
      <c r="BM6" s="56" t="str">
        <f>IF(Control!$D$5=1,"2Q23","2T23")</f>
        <v>2T23</v>
      </c>
      <c r="BN6" s="56" t="str">
        <f>IF(Control!$D$5=1,"3Q23","3T23")</f>
        <v>3T23</v>
      </c>
      <c r="BO6" s="56" t="str">
        <f>IF(Control!$D$5=1,"4Q23","4T23")</f>
        <v>4T23</v>
      </c>
      <c r="BP6" s="56" t="str">
        <f>IF(Control!$D$5=1,"1Q24","1T24")</f>
        <v>1T24</v>
      </c>
      <c r="BQ6" s="56" t="str">
        <f>IF(Control!$D$5=1,"2Q24","2T24")</f>
        <v>2T24</v>
      </c>
      <c r="BR6" s="56" t="str">
        <f>IF(Control!$D$5=1,"3Q24","3T24")</f>
        <v>3T24</v>
      </c>
      <c r="BS6" s="56" t="str">
        <f>IF(Control!$D$5=1,"4Q24","4T24")</f>
        <v>4T24</v>
      </c>
      <c r="BT6" s="56" t="str">
        <f>IF(Control!$D$5=1,"1Q25","1T25")</f>
        <v>1T25</v>
      </c>
      <c r="BU6" s="56" t="str">
        <f>IF(Control!$D$5=1,"2Q25","2T25")</f>
        <v>2T25</v>
      </c>
      <c r="BW6" s="81" t="str">
        <f>'P&amp;L'!BW6</f>
        <v>12M07</v>
      </c>
      <c r="BX6" s="81" t="str">
        <f>'P&amp;L'!BX6</f>
        <v>12M08</v>
      </c>
      <c r="BY6" s="81" t="str">
        <f>'P&amp;L'!BY6</f>
        <v>12M09</v>
      </c>
      <c r="BZ6" s="81" t="str">
        <f>'P&amp;L'!BZ6</f>
        <v>12M10</v>
      </c>
      <c r="CA6" s="81" t="str">
        <f>'P&amp;L'!CA6</f>
        <v>11M11</v>
      </c>
      <c r="CB6" s="81" t="str">
        <f>'P&amp;L'!CB6</f>
        <v>12M12</v>
      </c>
      <c r="CC6" s="81" t="str">
        <f>'P&amp;L'!CC6</f>
        <v>12M13</v>
      </c>
      <c r="CD6" s="81" t="str">
        <f>'P&amp;L'!CD6</f>
        <v>12M14</v>
      </c>
      <c r="CE6" s="81" t="str">
        <f>'P&amp;L'!CE6</f>
        <v>12M15</v>
      </c>
      <c r="CF6" s="81" t="str">
        <f>'P&amp;L'!CF6</f>
        <v>12M16</v>
      </c>
      <c r="CG6" s="81" t="str">
        <f>'P&amp;L'!CG6</f>
        <v>12M17</v>
      </c>
      <c r="CH6" s="81" t="str">
        <f>'P&amp;L'!CH6</f>
        <v>12M18</v>
      </c>
      <c r="CI6" s="81" t="str">
        <f>'P&amp;L'!CI6</f>
        <v>12M19</v>
      </c>
      <c r="CJ6" s="56" t="s">
        <v>12</v>
      </c>
      <c r="CK6" s="56" t="str">
        <f>'P&amp;L'!CK6</f>
        <v>12M21</v>
      </c>
      <c r="CL6" s="56" t="s">
        <v>16</v>
      </c>
      <c r="CM6" s="56" t="s">
        <v>20</v>
      </c>
      <c r="CN6" s="56" t="s">
        <v>27</v>
      </c>
    </row>
    <row r="7" spans="1:93" s="61" customFormat="1" x14ac:dyDescent="0.35">
      <c r="B7" s="22" t="str">
        <f>IF(Control!$D$5=1,"Closing Date","Data Fechamento")</f>
        <v>Data Fechamento</v>
      </c>
      <c r="C7" s="236">
        <v>39506</v>
      </c>
      <c r="D7" s="236">
        <v>39599</v>
      </c>
      <c r="E7" s="236">
        <v>39690</v>
      </c>
      <c r="F7" s="236">
        <v>39782</v>
      </c>
      <c r="G7" s="236">
        <v>39872</v>
      </c>
      <c r="H7" s="236">
        <v>39964</v>
      </c>
      <c r="I7" s="236">
        <v>40056</v>
      </c>
      <c r="J7" s="236">
        <v>40147</v>
      </c>
      <c r="K7" s="236">
        <v>40237</v>
      </c>
      <c r="L7" s="236">
        <v>40329</v>
      </c>
      <c r="M7" s="236">
        <v>40421</v>
      </c>
      <c r="N7" s="236">
        <v>40512</v>
      </c>
      <c r="O7" s="236">
        <v>40602</v>
      </c>
      <c r="P7" s="236">
        <v>40694</v>
      </c>
      <c r="Q7" s="236">
        <v>40786</v>
      </c>
      <c r="R7" s="236">
        <v>40877</v>
      </c>
      <c r="S7" s="236">
        <v>40968</v>
      </c>
      <c r="T7" s="236">
        <v>41060</v>
      </c>
      <c r="U7" s="236">
        <v>41152</v>
      </c>
      <c r="V7" s="236">
        <v>41243</v>
      </c>
      <c r="W7" s="236">
        <v>41333</v>
      </c>
      <c r="X7" s="236">
        <v>41425</v>
      </c>
      <c r="Y7" s="236">
        <v>41517</v>
      </c>
      <c r="Z7" s="236">
        <v>41608</v>
      </c>
      <c r="AA7" s="236">
        <v>41698</v>
      </c>
      <c r="AB7" s="236">
        <v>41790</v>
      </c>
      <c r="AC7" s="236">
        <v>41882</v>
      </c>
      <c r="AD7" s="236">
        <v>41973</v>
      </c>
      <c r="AE7" s="236">
        <v>42063</v>
      </c>
      <c r="AF7" s="236">
        <v>42155</v>
      </c>
      <c r="AG7" s="236">
        <v>42247</v>
      </c>
      <c r="AH7" s="236">
        <v>42338</v>
      </c>
      <c r="AI7" s="236">
        <v>42429</v>
      </c>
      <c r="AJ7" s="236">
        <v>42521</v>
      </c>
      <c r="AK7" s="236">
        <v>42613</v>
      </c>
      <c r="AL7" s="236">
        <v>42704</v>
      </c>
      <c r="AM7" s="236">
        <v>42794</v>
      </c>
      <c r="AN7" s="236">
        <v>42886</v>
      </c>
      <c r="AO7" s="236">
        <v>42978</v>
      </c>
      <c r="AP7" s="236">
        <v>43069</v>
      </c>
      <c r="AQ7" s="236">
        <v>43159</v>
      </c>
      <c r="AR7" s="236">
        <v>43251</v>
      </c>
      <c r="AS7" s="236">
        <v>43343</v>
      </c>
      <c r="AT7" s="236">
        <v>43434</v>
      </c>
      <c r="AU7" s="236">
        <v>43524</v>
      </c>
      <c r="AV7" s="236">
        <v>43616</v>
      </c>
      <c r="AW7" s="236">
        <v>43708</v>
      </c>
      <c r="AX7" s="236">
        <v>43799</v>
      </c>
      <c r="AY7" s="236">
        <v>43890</v>
      </c>
      <c r="AZ7" s="236">
        <v>43982</v>
      </c>
      <c r="BA7" s="236">
        <v>44074</v>
      </c>
      <c r="BB7" s="236">
        <v>44165</v>
      </c>
      <c r="BC7" s="236">
        <v>44255</v>
      </c>
      <c r="BD7" s="236">
        <v>44347</v>
      </c>
      <c r="BE7" s="236">
        <v>44439</v>
      </c>
      <c r="BF7" s="236">
        <v>44530</v>
      </c>
      <c r="BG7" s="236">
        <v>44620</v>
      </c>
      <c r="BH7" s="236">
        <v>44712</v>
      </c>
      <c r="BI7" s="236">
        <v>44804</v>
      </c>
      <c r="BJ7" s="236">
        <v>44895</v>
      </c>
      <c r="BK7" s="236">
        <v>44985</v>
      </c>
      <c r="BL7" s="236">
        <v>45077</v>
      </c>
      <c r="BM7" s="236">
        <v>45169</v>
      </c>
      <c r="BN7" s="236">
        <v>45260</v>
      </c>
      <c r="BO7" s="236">
        <v>45351</v>
      </c>
      <c r="BP7" s="236">
        <v>45443</v>
      </c>
      <c r="BQ7" s="236">
        <v>45535</v>
      </c>
      <c r="BR7" s="236">
        <v>45626</v>
      </c>
      <c r="BS7" s="236">
        <v>45716</v>
      </c>
      <c r="BT7" s="236">
        <v>45808</v>
      </c>
      <c r="BU7" s="236">
        <v>45900</v>
      </c>
      <c r="BW7" s="236">
        <f>'P&amp;L'!BW7</f>
        <v>39506</v>
      </c>
      <c r="BX7" s="236">
        <f>'P&amp;L'!BX7</f>
        <v>39872</v>
      </c>
      <c r="BY7" s="236">
        <f>'P&amp;L'!BY7</f>
        <v>40237</v>
      </c>
      <c r="BZ7" s="236">
        <f>'P&amp;L'!BZ7</f>
        <v>40602</v>
      </c>
      <c r="CA7" s="236">
        <f>'P&amp;L'!CA7</f>
        <v>40967</v>
      </c>
      <c r="CB7" s="236">
        <f>'P&amp;L'!CB7</f>
        <v>41333</v>
      </c>
      <c r="CC7" s="236">
        <f>'P&amp;L'!CC7</f>
        <v>41698</v>
      </c>
      <c r="CD7" s="236">
        <f>'P&amp;L'!CD7</f>
        <v>42063</v>
      </c>
      <c r="CE7" s="236">
        <f>'P&amp;L'!CE7</f>
        <v>42429</v>
      </c>
      <c r="CF7" s="236">
        <f>'P&amp;L'!CF7</f>
        <v>42794</v>
      </c>
      <c r="CG7" s="236">
        <f>'P&amp;L'!CG7</f>
        <v>43159</v>
      </c>
      <c r="CH7" s="236">
        <v>43524</v>
      </c>
      <c r="CI7" s="236">
        <v>43890</v>
      </c>
      <c r="CJ7" s="236">
        <v>44255</v>
      </c>
      <c r="CK7" s="236">
        <v>44620</v>
      </c>
      <c r="CL7" s="236">
        <v>44985</v>
      </c>
      <c r="CM7" s="236">
        <v>45351</v>
      </c>
      <c r="CN7" s="236">
        <v>45716</v>
      </c>
    </row>
    <row r="8" spans="1:93" x14ac:dyDescent="0.35">
      <c r="B8" s="10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59"/>
      <c r="AN8" s="122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</row>
    <row r="9" spans="1:93" x14ac:dyDescent="0.35">
      <c r="A9" s="17"/>
      <c r="B9" s="10" t="str">
        <f>IF(Control!$D$5=1,"Pre-Tax Income","Lucro Líquido antes de Impostos e Contribuição Social")</f>
        <v>Lucro Líquido antes de Impostos e Contribuição Social</v>
      </c>
      <c r="C9" s="58">
        <v>0</v>
      </c>
      <c r="D9" s="58">
        <v>40.9</v>
      </c>
      <c r="E9" s="58">
        <v>49.500000000000007</v>
      </c>
      <c r="F9" s="58">
        <v>-3.5</v>
      </c>
      <c r="G9" s="159">
        <v>8.6999999999999886</v>
      </c>
      <c r="H9" s="58">
        <v>36.1</v>
      </c>
      <c r="I9" s="58">
        <v>24.799999999999997</v>
      </c>
      <c r="J9" s="58">
        <v>11.199999999999996</v>
      </c>
      <c r="K9" s="159">
        <v>16.5</v>
      </c>
      <c r="L9" s="58">
        <v>32.799999999999997</v>
      </c>
      <c r="M9" s="58">
        <v>15.700000000000003</v>
      </c>
      <c r="N9" s="58">
        <v>17.799999999999997</v>
      </c>
      <c r="O9" s="159">
        <v>14.100000000000009</v>
      </c>
      <c r="P9" s="58">
        <v>30.478000000000002</v>
      </c>
      <c r="Q9" s="58">
        <v>17.231000000000002</v>
      </c>
      <c r="R9" s="58">
        <v>22.444000000000003</v>
      </c>
      <c r="S9" s="58">
        <v>29.763999999999996</v>
      </c>
      <c r="T9" s="58">
        <v>42.198999999999998</v>
      </c>
      <c r="U9" s="58">
        <v>48.120999999999995</v>
      </c>
      <c r="V9" s="58">
        <v>58.938000000000017</v>
      </c>
      <c r="W9" s="58">
        <v>39.795999999999992</v>
      </c>
      <c r="X9" s="58">
        <v>68.593999999999994</v>
      </c>
      <c r="Y9" s="58">
        <v>36.001000000000005</v>
      </c>
      <c r="Z9" s="58">
        <v>33.614000000000004</v>
      </c>
      <c r="AA9" s="58">
        <v>41.09</v>
      </c>
      <c r="AB9" s="58">
        <v>56</v>
      </c>
      <c r="AC9" s="58">
        <v>39.673000000000002</v>
      </c>
      <c r="AD9" s="58">
        <v>35.59899999999999</v>
      </c>
      <c r="AE9" s="58">
        <v>25.427999999999997</v>
      </c>
      <c r="AF9" s="58">
        <v>55</v>
      </c>
      <c r="AG9" s="58">
        <v>42.599999999999994</v>
      </c>
      <c r="AH9" s="58">
        <v>42.400000000000006</v>
      </c>
      <c r="AI9" s="58">
        <v>41.199999999999989</v>
      </c>
      <c r="AJ9" s="58">
        <v>70.7</v>
      </c>
      <c r="AK9" s="58">
        <v>102.91199999999999</v>
      </c>
      <c r="AL9" s="58">
        <v>91.188000000000017</v>
      </c>
      <c r="AM9" s="58">
        <v>37.599999999999966</v>
      </c>
      <c r="AN9" s="58">
        <v>83.3</v>
      </c>
      <c r="AO9" s="58">
        <v>65.7</v>
      </c>
      <c r="AP9" s="58">
        <v>93.1</v>
      </c>
      <c r="AQ9" s="58">
        <v>83.1</v>
      </c>
      <c r="AR9" s="58">
        <v>45.3</v>
      </c>
      <c r="AS9" s="58">
        <v>102.8</v>
      </c>
      <c r="AT9" s="58">
        <v>146.50000000000003</v>
      </c>
      <c r="AU9" s="58">
        <v>71.400000000000006</v>
      </c>
      <c r="AV9" s="58">
        <v>38.4</v>
      </c>
      <c r="AW9" s="58">
        <v>36.806999999999995</v>
      </c>
      <c r="AX9" s="58">
        <v>77.572999999999581</v>
      </c>
      <c r="AY9" s="58">
        <v>83.376000000000005</v>
      </c>
      <c r="AZ9" s="58">
        <v>138.83600000000001</v>
      </c>
      <c r="BA9" s="58">
        <v>151.91300000000001</v>
      </c>
      <c r="BB9" s="58">
        <v>166.42400000000001</v>
      </c>
      <c r="BC9" s="58">
        <v>79.989999999999995</v>
      </c>
      <c r="BD9" s="58">
        <v>117.742</v>
      </c>
      <c r="BE9" s="58">
        <v>126.009</v>
      </c>
      <c r="BF9" s="58">
        <v>133.42599999999999</v>
      </c>
      <c r="BG9" s="58">
        <v>132.16200000000001</v>
      </c>
      <c r="BH9" s="58">
        <v>105.087</v>
      </c>
      <c r="BI9" s="58">
        <v>103.277</v>
      </c>
      <c r="BJ9" s="58">
        <v>176.89400000000001</v>
      </c>
      <c r="BK9" s="58">
        <v>9.9670000000000005</v>
      </c>
      <c r="BL9" s="58">
        <v>28.523</v>
      </c>
      <c r="BM9" s="58">
        <v>39.237000000000002</v>
      </c>
      <c r="BN9" s="58">
        <v>72.91</v>
      </c>
      <c r="BO9" s="58">
        <v>87.697999999999979</v>
      </c>
      <c r="BP9" s="58">
        <v>91.025000000000006</v>
      </c>
      <c r="BQ9" s="71">
        <v>131.97399999999999</v>
      </c>
      <c r="BR9" s="71">
        <v>-12.156000000000001</v>
      </c>
      <c r="BS9" s="71">
        <v>-34.210999999999984</v>
      </c>
      <c r="BT9" s="71">
        <v>47.877000000000002</v>
      </c>
      <c r="BU9" s="71">
        <v>42.100999999999999</v>
      </c>
      <c r="BV9" s="223"/>
      <c r="BW9" s="58">
        <v>80.099999999999994</v>
      </c>
      <c r="BX9" s="58">
        <v>95.6</v>
      </c>
      <c r="BY9" s="58">
        <v>88.6</v>
      </c>
      <c r="BZ9" s="58">
        <v>80.400000000000006</v>
      </c>
      <c r="CA9" s="58">
        <v>99.917000000000002</v>
      </c>
      <c r="CB9" s="58">
        <v>189.054</v>
      </c>
      <c r="CC9" s="58">
        <v>179.29900000000001</v>
      </c>
      <c r="CD9" s="58">
        <v>156.69999999999999</v>
      </c>
      <c r="CE9" s="58">
        <v>181.2</v>
      </c>
      <c r="CF9" s="58">
        <v>302.39999999999998</v>
      </c>
      <c r="CG9" s="58">
        <v>325.2</v>
      </c>
      <c r="CH9" s="58">
        <v>366.012</v>
      </c>
      <c r="CI9" s="58">
        <v>236.15600000000001</v>
      </c>
      <c r="CJ9" s="58">
        <v>537.16300000000001</v>
      </c>
      <c r="CK9" s="58">
        <v>509.339</v>
      </c>
      <c r="CL9" s="58">
        <v>395.22500000000002</v>
      </c>
      <c r="CM9" s="58">
        <v>228.36799999999999</v>
      </c>
      <c r="CN9" s="58">
        <v>176.63200000000001</v>
      </c>
      <c r="CO9" s="206"/>
    </row>
    <row r="10" spans="1:93" x14ac:dyDescent="0.35">
      <c r="A10" s="17"/>
      <c r="B10" s="10" t="str">
        <f>IF(Control!$D$5=1,"Net Result in Uncons. Subs.","Resultado de Equiv. Patrimonial")</f>
        <v>Resultado de Equiv. Patrimonial</v>
      </c>
      <c r="C10" s="159">
        <v>0</v>
      </c>
      <c r="D10" s="159">
        <v>0.69799999999999995</v>
      </c>
      <c r="E10" s="58">
        <v>-0.79699999999999993</v>
      </c>
      <c r="F10" s="58">
        <v>0.19900000000000001</v>
      </c>
      <c r="G10" s="159">
        <v>-0.187</v>
      </c>
      <c r="H10" s="159">
        <v>0.48899999999999999</v>
      </c>
      <c r="I10" s="58">
        <v>-0.249</v>
      </c>
      <c r="J10" s="58">
        <v>3.0599999999999996</v>
      </c>
      <c r="K10" s="159">
        <v>-3.286</v>
      </c>
      <c r="L10" s="159">
        <v>0.45300000000000001</v>
      </c>
      <c r="M10" s="58">
        <v>0.49899999999999994</v>
      </c>
      <c r="N10" s="58">
        <v>0.28900000000000015</v>
      </c>
      <c r="O10" s="159">
        <v>-1.131</v>
      </c>
      <c r="P10" s="159">
        <v>0.38300000000000001</v>
      </c>
      <c r="Q10" s="58">
        <v>0.23099999999999998</v>
      </c>
      <c r="R10" s="58">
        <v>0.378</v>
      </c>
      <c r="S10" s="58">
        <v>0.16900000000000004</v>
      </c>
      <c r="T10" s="159">
        <v>-0.255</v>
      </c>
      <c r="U10" s="58">
        <v>-0.91299999999999992</v>
      </c>
      <c r="V10" s="58">
        <v>-1.7190000000000001</v>
      </c>
      <c r="W10" s="58">
        <v>-1.1439999999999997</v>
      </c>
      <c r="X10" s="159">
        <v>0.36099999999999999</v>
      </c>
      <c r="Y10" s="58">
        <v>-0.437</v>
      </c>
      <c r="Z10" s="58">
        <v>0.38200000000000001</v>
      </c>
      <c r="AA10" s="58">
        <v>0.92900000000000005</v>
      </c>
      <c r="AB10" s="159">
        <v>0.2</v>
      </c>
      <c r="AC10" s="58">
        <v>-0.60699999999999998</v>
      </c>
      <c r="AD10" s="58">
        <v>0.16499999999999998</v>
      </c>
      <c r="AE10" s="58">
        <v>0.54499999999999993</v>
      </c>
      <c r="AF10" s="58">
        <v>1.3029999999999999</v>
      </c>
      <c r="AG10" s="58">
        <v>-0.20299999999999985</v>
      </c>
      <c r="AH10" s="58">
        <v>2.4</v>
      </c>
      <c r="AI10" s="58">
        <v>2.0999999999999996</v>
      </c>
      <c r="AJ10" s="58">
        <v>0.996</v>
      </c>
      <c r="AK10" s="58">
        <v>-0.53600000000000003</v>
      </c>
      <c r="AL10" s="58">
        <v>0.45100000000000001</v>
      </c>
      <c r="AM10" s="58">
        <v>-1.611</v>
      </c>
      <c r="AN10" s="58">
        <v>0.875</v>
      </c>
      <c r="AO10" s="58">
        <v>-0.375</v>
      </c>
      <c r="AP10" s="58">
        <v>0.8</v>
      </c>
      <c r="AQ10" s="58">
        <v>0.59999999999999987</v>
      </c>
      <c r="AR10" s="58">
        <v>0.9</v>
      </c>
      <c r="AS10" s="58">
        <v>-0.7</v>
      </c>
      <c r="AT10" s="58">
        <v>0.39999999999999997</v>
      </c>
      <c r="AU10" s="58">
        <v>0.4</v>
      </c>
      <c r="AV10" s="58">
        <v>0.4</v>
      </c>
      <c r="AW10" s="58">
        <v>1.871</v>
      </c>
      <c r="AX10" s="58">
        <v>0.94500000000000028</v>
      </c>
      <c r="AY10" s="58">
        <v>-2.5960000000000001</v>
      </c>
      <c r="AZ10" s="58">
        <v>0.14899999999999999</v>
      </c>
      <c r="BA10" s="58">
        <v>-0.10299999999999999</v>
      </c>
      <c r="BB10" s="58">
        <v>1.4690000000000001</v>
      </c>
      <c r="BC10" s="58">
        <v>-0.19800000000000001</v>
      </c>
      <c r="BD10" s="58">
        <v>-8.6999999999999994E-2</v>
      </c>
      <c r="BE10" s="58">
        <v>-0.32100000000000001</v>
      </c>
      <c r="BF10" s="58">
        <v>0.159</v>
      </c>
      <c r="BG10" s="58">
        <v>8.5000000000000006E-2</v>
      </c>
      <c r="BH10" s="58">
        <v>-0.61399999999999999</v>
      </c>
      <c r="BI10" s="58">
        <v>-0.115</v>
      </c>
      <c r="BJ10" s="58">
        <v>0.97199999999999998</v>
      </c>
      <c r="BK10" s="58">
        <v>0.39100000000000001</v>
      </c>
      <c r="BL10" s="58">
        <v>0</v>
      </c>
      <c r="BM10" s="58">
        <v>-2.2650000000000001</v>
      </c>
      <c r="BN10" s="58">
        <v>-4.2999999999999997E-2</v>
      </c>
      <c r="BO10" s="58">
        <v>1.2250000000000003</v>
      </c>
      <c r="BP10" s="58">
        <v>-0.372</v>
      </c>
      <c r="BQ10" s="71">
        <v>1.72</v>
      </c>
      <c r="BR10" s="71">
        <v>0</v>
      </c>
      <c r="BS10" s="71">
        <v>2.8180000000000005</v>
      </c>
      <c r="BT10" s="71">
        <v>0</v>
      </c>
      <c r="BU10" s="71">
        <v>-6.2480000000000002</v>
      </c>
      <c r="BV10" s="223"/>
      <c r="BW10" s="58">
        <v>-0.78400000000000003</v>
      </c>
      <c r="BX10" s="58">
        <v>-8.6999999999999994E-2</v>
      </c>
      <c r="BY10" s="58">
        <v>1.4E-2</v>
      </c>
      <c r="BZ10" s="58">
        <v>0.11</v>
      </c>
      <c r="CA10" s="58">
        <v>1.161</v>
      </c>
      <c r="CB10" s="58">
        <v>-4.0309999999999997</v>
      </c>
      <c r="CC10" s="58">
        <v>1.2350000000000001</v>
      </c>
      <c r="CD10" s="58">
        <v>0.30299999999999999</v>
      </c>
      <c r="CE10" s="58">
        <v>5.6</v>
      </c>
      <c r="CF10" s="58">
        <v>-0.7</v>
      </c>
      <c r="CG10" s="58">
        <v>1.9</v>
      </c>
      <c r="CH10" s="58">
        <v>0.996</v>
      </c>
      <c r="CI10" s="58">
        <v>0.62</v>
      </c>
      <c r="CJ10" s="58">
        <v>1.3169999999999999</v>
      </c>
      <c r="CK10" s="58">
        <v>-0.16400000000000001</v>
      </c>
      <c r="CL10" s="58">
        <v>0.63400000000000001</v>
      </c>
      <c r="CM10" s="58">
        <v>-1.083</v>
      </c>
      <c r="CN10" s="58">
        <v>4.1660000000000004</v>
      </c>
      <c r="CO10" s="206"/>
    </row>
    <row r="11" spans="1:93" x14ac:dyDescent="0.35">
      <c r="A11" s="17"/>
      <c r="B11" s="10" t="str">
        <f>IF(Control!$D$5=1,"Gain on Subsidiary Sale","Ganho na alienação de investimento")</f>
        <v>Ganho na alienação de investimento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0</v>
      </c>
      <c r="AD11" s="58">
        <v>0</v>
      </c>
      <c r="AE11" s="58">
        <v>0</v>
      </c>
      <c r="AF11" s="58">
        <v>0</v>
      </c>
      <c r="AG11" s="58">
        <v>0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0</v>
      </c>
      <c r="AN11" s="58">
        <v>0</v>
      </c>
      <c r="AO11" s="58">
        <v>0</v>
      </c>
      <c r="AP11" s="58">
        <v>0</v>
      </c>
      <c r="AQ11" s="58">
        <v>0</v>
      </c>
      <c r="AR11" s="58">
        <v>0</v>
      </c>
      <c r="AS11" s="58">
        <v>-0.5</v>
      </c>
      <c r="AT11" s="58">
        <v>0</v>
      </c>
      <c r="AU11" s="58">
        <v>0</v>
      </c>
      <c r="AV11" s="58">
        <v>0</v>
      </c>
      <c r="AW11" s="58">
        <v>0</v>
      </c>
      <c r="AX11" s="58">
        <v>0</v>
      </c>
      <c r="AY11" s="58">
        <v>0</v>
      </c>
      <c r="AZ11" s="58">
        <v>0</v>
      </c>
      <c r="BA11" s="58">
        <v>0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58">
        <v>0</v>
      </c>
      <c r="BH11" s="58">
        <v>0</v>
      </c>
      <c r="BI11" s="58">
        <v>0</v>
      </c>
      <c r="BJ11" s="58">
        <v>0</v>
      </c>
      <c r="BK11" s="58">
        <v>0</v>
      </c>
      <c r="BL11" s="58">
        <v>0</v>
      </c>
      <c r="BM11" s="58" t="s">
        <v>17</v>
      </c>
      <c r="BN11" s="58">
        <v>0</v>
      </c>
      <c r="BO11" s="58">
        <v>0</v>
      </c>
      <c r="BP11" s="58">
        <v>0</v>
      </c>
      <c r="BQ11" s="71">
        <v>0</v>
      </c>
      <c r="BR11" s="71">
        <v>0</v>
      </c>
      <c r="BS11" s="71">
        <v>0</v>
      </c>
      <c r="BT11" s="71">
        <v>0</v>
      </c>
      <c r="BU11" s="71">
        <v>0</v>
      </c>
      <c r="BW11" s="58">
        <v>0</v>
      </c>
      <c r="BX11" s="58">
        <v>0</v>
      </c>
      <c r="BY11" s="58">
        <v>0</v>
      </c>
      <c r="BZ11" s="58">
        <v>0</v>
      </c>
      <c r="CA11" s="58">
        <v>0</v>
      </c>
      <c r="CB11" s="58">
        <v>0</v>
      </c>
      <c r="CC11" s="58">
        <v>0</v>
      </c>
      <c r="CD11" s="58">
        <v>0</v>
      </c>
      <c r="CE11" s="58">
        <v>0</v>
      </c>
      <c r="CF11" s="58">
        <v>0</v>
      </c>
      <c r="CG11" s="58">
        <v>0</v>
      </c>
      <c r="CH11" s="58">
        <v>-0.52400000000000002</v>
      </c>
      <c r="CI11" s="58">
        <v>0</v>
      </c>
      <c r="CJ11" s="58">
        <v>0</v>
      </c>
      <c r="CK11" s="58">
        <v>0</v>
      </c>
      <c r="CL11" s="58">
        <v>0</v>
      </c>
      <c r="CM11" s="58">
        <v>0</v>
      </c>
      <c r="CN11" s="58">
        <v>0</v>
      </c>
      <c r="CO11" s="206"/>
    </row>
    <row r="12" spans="1:93" x14ac:dyDescent="0.35">
      <c r="A12" s="18"/>
      <c r="B12" s="10" t="str">
        <f>IF(Control!$D$5=1,"Accrued Financial Charges","Encargos Financeiros provisionados")</f>
        <v>Encargos Financeiros provisionados</v>
      </c>
      <c r="C12" s="159">
        <v>0</v>
      </c>
      <c r="D12" s="159">
        <v>0</v>
      </c>
      <c r="E12" s="58">
        <v>0</v>
      </c>
      <c r="F12" s="58">
        <v>0</v>
      </c>
      <c r="G12" s="159">
        <v>45.304000000000002</v>
      </c>
      <c r="H12" s="159">
        <v>0</v>
      </c>
      <c r="I12" s="58">
        <v>0</v>
      </c>
      <c r="J12" s="58">
        <v>25.1</v>
      </c>
      <c r="K12" s="159">
        <v>9.5229999999999961</v>
      </c>
      <c r="L12" s="159">
        <v>12.907999999999999</v>
      </c>
      <c r="M12" s="58">
        <v>-12.907999999999999</v>
      </c>
      <c r="N12" s="58">
        <v>43.7</v>
      </c>
      <c r="O12" s="159">
        <v>14.357999999999997</v>
      </c>
      <c r="P12" s="159">
        <v>16.391999999999999</v>
      </c>
      <c r="Q12" s="58">
        <v>22.891999999999999</v>
      </c>
      <c r="R12" s="58">
        <v>32.354999999999997</v>
      </c>
      <c r="S12" s="58">
        <v>19.567000000000007</v>
      </c>
      <c r="T12" s="159">
        <v>20.574000000000002</v>
      </c>
      <c r="U12" s="58">
        <v>20.194999999999997</v>
      </c>
      <c r="V12" s="58">
        <v>21.96</v>
      </c>
      <c r="W12" s="58">
        <v>23.837000000000003</v>
      </c>
      <c r="X12" s="159">
        <v>26.818000000000001</v>
      </c>
      <c r="Y12" s="58">
        <v>26.959999999999997</v>
      </c>
      <c r="Z12" s="58">
        <v>26.880000000000003</v>
      </c>
      <c r="AA12" s="58">
        <v>40.134</v>
      </c>
      <c r="AB12" s="159">
        <v>36.5</v>
      </c>
      <c r="AC12" s="58">
        <v>39.075000000000003</v>
      </c>
      <c r="AD12" s="58">
        <v>46.600999999999999</v>
      </c>
      <c r="AE12" s="58">
        <v>41.054999999999993</v>
      </c>
      <c r="AF12" s="58">
        <v>39.755000000000003</v>
      </c>
      <c r="AG12" s="58">
        <v>48.645000000000003</v>
      </c>
      <c r="AH12" s="58">
        <v>47.900000000000006</v>
      </c>
      <c r="AI12" s="58">
        <v>44.799999999999983</v>
      </c>
      <c r="AJ12" s="58">
        <v>40.735999999999997</v>
      </c>
      <c r="AK12" s="58">
        <v>44.455000000000005</v>
      </c>
      <c r="AL12" s="58">
        <v>40.159999999999997</v>
      </c>
      <c r="AM12" s="58">
        <v>46.049000000000007</v>
      </c>
      <c r="AN12" s="58">
        <v>37.411999999999999</v>
      </c>
      <c r="AO12" s="58">
        <v>32.687999999999995</v>
      </c>
      <c r="AP12" s="58">
        <v>24.800000000000011</v>
      </c>
      <c r="AQ12" s="58">
        <v>19.399999999999991</v>
      </c>
      <c r="AR12" s="58">
        <v>19.399999999999999</v>
      </c>
      <c r="AS12" s="58">
        <v>29.4</v>
      </c>
      <c r="AT12" s="58">
        <v>17.200000000000003</v>
      </c>
      <c r="AU12" s="58">
        <v>17.399999999999999</v>
      </c>
      <c r="AV12" s="58">
        <v>27.9</v>
      </c>
      <c r="AW12" s="58">
        <v>32.392000000000003</v>
      </c>
      <c r="AX12" s="58">
        <v>27.388000000000005</v>
      </c>
      <c r="AY12" s="58">
        <v>19.305</v>
      </c>
      <c r="AZ12" s="58">
        <v>32.061</v>
      </c>
      <c r="BA12" s="58">
        <v>17.361999999999998</v>
      </c>
      <c r="BB12" s="58">
        <v>17.532</v>
      </c>
      <c r="BC12" s="58">
        <v>24.658999999999999</v>
      </c>
      <c r="BD12" s="58">
        <v>24.509</v>
      </c>
      <c r="BE12" s="58">
        <v>32.314</v>
      </c>
      <c r="BF12" s="58">
        <v>47.895000000000003</v>
      </c>
      <c r="BG12" s="58">
        <v>70.951999999999998</v>
      </c>
      <c r="BH12" s="58">
        <v>87.703999999999994</v>
      </c>
      <c r="BI12" s="58">
        <v>100.9</v>
      </c>
      <c r="BJ12" s="58">
        <v>102.60599999999999</v>
      </c>
      <c r="BK12" s="58">
        <v>90.566000000000003</v>
      </c>
      <c r="BL12" s="58">
        <v>119.941</v>
      </c>
      <c r="BM12" s="58">
        <v>149.97200000000001</v>
      </c>
      <c r="BN12" s="58">
        <v>94.316000000000003</v>
      </c>
      <c r="BO12" s="58">
        <v>145.51699999999994</v>
      </c>
      <c r="BP12" s="58">
        <v>197.58500000000001</v>
      </c>
      <c r="BQ12" s="71">
        <v>216.86</v>
      </c>
      <c r="BR12" s="71">
        <v>106.247</v>
      </c>
      <c r="BS12" s="71">
        <v>134.60000000000002</v>
      </c>
      <c r="BT12" s="71">
        <v>160.23599999999999</v>
      </c>
      <c r="BU12" s="71">
        <v>164.69200000000001</v>
      </c>
      <c r="BV12" s="223"/>
      <c r="BW12" s="58">
        <v>0</v>
      </c>
      <c r="BX12" s="58">
        <v>45.304000000000002</v>
      </c>
      <c r="BY12" s="58">
        <v>34.622999999999998</v>
      </c>
      <c r="BZ12" s="58">
        <v>58.058</v>
      </c>
      <c r="CA12" s="58">
        <v>91.206000000000003</v>
      </c>
      <c r="CB12" s="58">
        <v>86.566000000000003</v>
      </c>
      <c r="CC12" s="58">
        <v>120.792</v>
      </c>
      <c r="CD12" s="58">
        <v>163.23099999999999</v>
      </c>
      <c r="CE12" s="58">
        <v>181.1</v>
      </c>
      <c r="CF12" s="58">
        <v>171.4</v>
      </c>
      <c r="CG12" s="58">
        <v>114.3</v>
      </c>
      <c r="CH12" s="58">
        <v>83.426000000000002</v>
      </c>
      <c r="CI12" s="58">
        <v>106.985</v>
      </c>
      <c r="CJ12" s="58">
        <v>91.614000000000004</v>
      </c>
      <c r="CK12" s="58">
        <v>175.67</v>
      </c>
      <c r="CL12" s="58">
        <v>381.77599999999995</v>
      </c>
      <c r="CM12" s="58">
        <v>509.74599999999998</v>
      </c>
      <c r="CN12" s="58">
        <v>655.29200000000003</v>
      </c>
      <c r="CO12" s="206"/>
    </row>
    <row r="13" spans="1:93" x14ac:dyDescent="0.35">
      <c r="A13" s="18"/>
      <c r="B13" s="10" t="str">
        <f>IF(Control!$D$5=1,"Interest Provision - Liability Lease","Juros provisionados - Passivo Arrendamento")</f>
        <v>Juros provisionados - Passivo Arrendamento</v>
      </c>
      <c r="C13" s="159">
        <v>0</v>
      </c>
      <c r="D13" s="159">
        <v>0</v>
      </c>
      <c r="E13" s="159">
        <v>0</v>
      </c>
      <c r="F13" s="159">
        <v>0</v>
      </c>
      <c r="G13" s="159">
        <v>0</v>
      </c>
      <c r="H13" s="159">
        <v>0</v>
      </c>
      <c r="I13" s="159">
        <v>0</v>
      </c>
      <c r="J13" s="159">
        <v>0</v>
      </c>
      <c r="K13" s="159">
        <v>0</v>
      </c>
      <c r="L13" s="159">
        <v>0</v>
      </c>
      <c r="M13" s="159">
        <v>0</v>
      </c>
      <c r="N13" s="159">
        <v>0</v>
      </c>
      <c r="O13" s="159">
        <v>0</v>
      </c>
      <c r="P13" s="159">
        <v>0</v>
      </c>
      <c r="Q13" s="159">
        <v>0</v>
      </c>
      <c r="R13" s="159">
        <v>0</v>
      </c>
      <c r="S13" s="58">
        <v>-13.868</v>
      </c>
      <c r="T13" s="159">
        <v>-6.4210000000000003</v>
      </c>
      <c r="U13" s="58">
        <v>6.4210000000000003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0</v>
      </c>
      <c r="AG13" s="58">
        <v>0</v>
      </c>
      <c r="AH13" s="58">
        <v>0</v>
      </c>
      <c r="AI13" s="58">
        <v>0</v>
      </c>
      <c r="AJ13" s="58">
        <v>0</v>
      </c>
      <c r="AK13" s="58">
        <v>0</v>
      </c>
      <c r="AL13" s="58">
        <v>0</v>
      </c>
      <c r="AM13" s="58">
        <v>0</v>
      </c>
      <c r="AN13" s="58">
        <v>0</v>
      </c>
      <c r="AO13" s="58">
        <v>0</v>
      </c>
      <c r="AP13" s="58">
        <v>0</v>
      </c>
      <c r="AQ13" s="58">
        <v>0</v>
      </c>
      <c r="AR13" s="58">
        <v>0</v>
      </c>
      <c r="AS13" s="58">
        <v>0</v>
      </c>
      <c r="AT13" s="58">
        <v>0</v>
      </c>
      <c r="AU13" s="58">
        <v>0</v>
      </c>
      <c r="AV13" s="58">
        <v>1.4</v>
      </c>
      <c r="AW13" s="58">
        <v>1.3149999999999999</v>
      </c>
      <c r="AX13" s="58">
        <v>1.3149999999999999</v>
      </c>
      <c r="AY13" s="58">
        <v>1.389</v>
      </c>
      <c r="AZ13" s="58">
        <v>1.274</v>
      </c>
      <c r="BA13" s="58">
        <v>1.2869999999999999</v>
      </c>
      <c r="BB13" s="58">
        <v>1.7989999999999999</v>
      </c>
      <c r="BC13" s="58">
        <v>1.631</v>
      </c>
      <c r="BD13" s="58">
        <v>1.5580000000000001</v>
      </c>
      <c r="BE13" s="58">
        <v>1.5780000000000001</v>
      </c>
      <c r="BF13" s="58">
        <v>1.5756060200000002</v>
      </c>
      <c r="BG13" s="58">
        <v>1.8428653199999998</v>
      </c>
      <c r="BH13" s="58">
        <v>2.3719999999999999</v>
      </c>
      <c r="BI13" s="58">
        <v>2.4</v>
      </c>
      <c r="BJ13" s="58">
        <v>2.8102724499999914</v>
      </c>
      <c r="BK13" s="58">
        <v>2.7879999999999998</v>
      </c>
      <c r="BL13" s="58">
        <v>2.911</v>
      </c>
      <c r="BM13" s="58">
        <v>3.226</v>
      </c>
      <c r="BN13" s="58">
        <v>3.67</v>
      </c>
      <c r="BO13" s="58">
        <v>4.3360000000000003</v>
      </c>
      <c r="BP13" s="58">
        <v>4.0979999999999999</v>
      </c>
      <c r="BQ13" s="71">
        <v>3.9809999999999999</v>
      </c>
      <c r="BR13" s="71">
        <v>4.0339999999999998</v>
      </c>
      <c r="BS13" s="71">
        <v>4.2590000000000003</v>
      </c>
      <c r="BT13" s="71">
        <v>4.1970000000000001</v>
      </c>
      <c r="BU13" s="71">
        <v>3.9569999999999999</v>
      </c>
      <c r="BV13" s="223"/>
      <c r="BW13" s="58">
        <v>0.88100000000000001</v>
      </c>
      <c r="BX13" s="58">
        <v>0</v>
      </c>
      <c r="BY13" s="58">
        <v>8.9999999999999993E-3</v>
      </c>
      <c r="BZ13" s="58">
        <v>0</v>
      </c>
      <c r="CA13" s="58">
        <v>-13.868</v>
      </c>
      <c r="CB13" s="58">
        <v>0</v>
      </c>
      <c r="CC13" s="58">
        <v>0</v>
      </c>
      <c r="CD13" s="58">
        <v>0</v>
      </c>
      <c r="CE13" s="58">
        <v>0</v>
      </c>
      <c r="CF13" s="58">
        <v>0</v>
      </c>
      <c r="CG13" s="58">
        <v>0</v>
      </c>
      <c r="CH13" s="58"/>
      <c r="CI13" s="58">
        <v>5.7439999999999998</v>
      </c>
      <c r="CJ13" s="58">
        <v>5.9909999999999997</v>
      </c>
      <c r="CK13" s="58">
        <v>6.5540000000000003</v>
      </c>
      <c r="CL13" s="58">
        <v>10.407999999999999</v>
      </c>
      <c r="CM13" s="58">
        <v>14.143000000000001</v>
      </c>
      <c r="CN13" s="58">
        <v>16.372</v>
      </c>
      <c r="CO13" s="206"/>
    </row>
    <row r="14" spans="1:93" x14ac:dyDescent="0.35">
      <c r="A14" s="18"/>
      <c r="B14" s="10" t="str">
        <f>IF(Control!$D$5=1,"Allowance for Doubtful Accounts","Provisão Devedores Duvidosos")</f>
        <v>Provisão Devedores Duvidosos</v>
      </c>
      <c r="C14" s="159">
        <v>0</v>
      </c>
      <c r="D14" s="159">
        <v>0</v>
      </c>
      <c r="E14" s="58">
        <v>0</v>
      </c>
      <c r="F14" s="58">
        <v>0</v>
      </c>
      <c r="G14" s="159">
        <v>3.355</v>
      </c>
      <c r="H14" s="159">
        <v>0</v>
      </c>
      <c r="I14" s="58">
        <v>0</v>
      </c>
      <c r="J14" s="58">
        <v>0</v>
      </c>
      <c r="K14" s="159">
        <v>4.875</v>
      </c>
      <c r="L14" s="159">
        <v>4.2629999999999999</v>
      </c>
      <c r="M14" s="58">
        <v>-4.2629999999999999</v>
      </c>
      <c r="N14" s="58">
        <v>4.3579999999999997</v>
      </c>
      <c r="O14" s="159">
        <v>0.13400000000000034</v>
      </c>
      <c r="P14" s="159">
        <v>7.5609999999999999</v>
      </c>
      <c r="Q14" s="58">
        <v>-3.3250000000000002</v>
      </c>
      <c r="R14" s="58">
        <v>-4.4779999999999998</v>
      </c>
      <c r="S14" s="58">
        <v>0.70700000000000007</v>
      </c>
      <c r="T14" s="159">
        <v>0.245</v>
      </c>
      <c r="U14" s="58">
        <v>-1.4580000000000002</v>
      </c>
      <c r="V14" s="58">
        <v>0</v>
      </c>
      <c r="W14" s="58">
        <v>7.7750000000000004</v>
      </c>
      <c r="X14" s="159">
        <v>1.4219999999999999</v>
      </c>
      <c r="Y14" s="58">
        <v>1.49</v>
      </c>
      <c r="Z14" s="58">
        <v>-2.9649999999999999</v>
      </c>
      <c r="AA14" s="58">
        <v>-0.31</v>
      </c>
      <c r="AB14" s="159">
        <v>0.6</v>
      </c>
      <c r="AC14" s="58">
        <v>1.9590000000000001</v>
      </c>
      <c r="AD14" s="58">
        <v>1.2119999999999997</v>
      </c>
      <c r="AE14" s="58">
        <v>-8.3219999999999992</v>
      </c>
      <c r="AF14" s="58">
        <v>-0.64</v>
      </c>
      <c r="AG14" s="58">
        <v>-0.16000000000000003</v>
      </c>
      <c r="AH14" s="58">
        <v>0.70000000000000007</v>
      </c>
      <c r="AI14" s="58">
        <v>1.7000000000000002</v>
      </c>
      <c r="AJ14" s="58">
        <v>2.4929999999999999</v>
      </c>
      <c r="AK14" s="58">
        <v>3.7230000000000003</v>
      </c>
      <c r="AL14" s="58">
        <v>-3.8370000000000002</v>
      </c>
      <c r="AM14" s="58">
        <v>2.5210000000000004</v>
      </c>
      <c r="AN14" s="58">
        <v>-0.39200000000000002</v>
      </c>
      <c r="AO14" s="58">
        <v>-1.4079999999999999</v>
      </c>
      <c r="AP14" s="58">
        <v>-0.49999999999999978</v>
      </c>
      <c r="AQ14" s="58">
        <v>-3.2</v>
      </c>
      <c r="AR14" s="58">
        <v>-0.1</v>
      </c>
      <c r="AS14" s="58">
        <v>-0.9</v>
      </c>
      <c r="AT14" s="58">
        <v>-0.30000000000000004</v>
      </c>
      <c r="AU14" s="58">
        <v>-2.2000000000000002</v>
      </c>
      <c r="AV14" s="58">
        <v>-1.2</v>
      </c>
      <c r="AW14" s="58">
        <v>0.18799999999999994</v>
      </c>
      <c r="AX14" s="58">
        <v>-0.498</v>
      </c>
      <c r="AY14" s="58">
        <v>-0.36199999999999999</v>
      </c>
      <c r="AZ14" s="58">
        <v>-0.748</v>
      </c>
      <c r="BA14" s="58">
        <v>-0.41599999999999998</v>
      </c>
      <c r="BB14" s="58">
        <v>-0.23799999999999999</v>
      </c>
      <c r="BC14" s="58">
        <v>0.11899999999999999</v>
      </c>
      <c r="BD14" s="58">
        <v>-0.245</v>
      </c>
      <c r="BE14" s="58">
        <v>-0.79800000000000004</v>
      </c>
      <c r="BF14" s="58">
        <v>-1.0569999999999999</v>
      </c>
      <c r="BG14" s="58">
        <v>1.05</v>
      </c>
      <c r="BH14" s="58">
        <v>-0.30299999999999999</v>
      </c>
      <c r="BI14" s="58">
        <v>-0.96799999999999997</v>
      </c>
      <c r="BJ14" s="58">
        <v>-9.7000000000000003E-2</v>
      </c>
      <c r="BK14" s="58">
        <v>6.8</v>
      </c>
      <c r="BL14" s="58">
        <v>1.298</v>
      </c>
      <c r="BM14" s="58">
        <v>1.9850000000000001</v>
      </c>
      <c r="BN14" s="58">
        <v>3.6760000000000002</v>
      </c>
      <c r="BO14" s="58">
        <v>0.48299999999999965</v>
      </c>
      <c r="BP14" s="58">
        <v>4.3529999999999998</v>
      </c>
      <c r="BQ14" s="71">
        <v>6.2320000000000002</v>
      </c>
      <c r="BR14" s="71">
        <v>-5.8440000000000003</v>
      </c>
      <c r="BS14" s="71">
        <v>8.4999999999999076E-2</v>
      </c>
      <c r="BT14" s="71">
        <v>1.736</v>
      </c>
      <c r="BU14" s="71">
        <v>-0.35099999999999998</v>
      </c>
      <c r="BV14" s="223"/>
      <c r="BW14" s="58">
        <v>0</v>
      </c>
      <c r="BX14" s="58">
        <v>3.355</v>
      </c>
      <c r="BY14" s="58">
        <v>4.875</v>
      </c>
      <c r="BZ14" s="58">
        <v>4.492</v>
      </c>
      <c r="CA14" s="58">
        <v>0.46500000000000002</v>
      </c>
      <c r="CB14" s="58">
        <v>6.5620000000000003</v>
      </c>
      <c r="CC14" s="58">
        <v>-0.36299999999999999</v>
      </c>
      <c r="CD14" s="58">
        <v>-4.5510000000000002</v>
      </c>
      <c r="CE14" s="58">
        <v>1.6</v>
      </c>
      <c r="CF14" s="58">
        <v>4.9000000000000004</v>
      </c>
      <c r="CG14" s="58">
        <v>-5.5</v>
      </c>
      <c r="CH14" s="58">
        <v>-3.5419999999999998</v>
      </c>
      <c r="CI14" s="58">
        <v>-1.8720000000000001</v>
      </c>
      <c r="CJ14" s="58">
        <v>-1.2829999999999999</v>
      </c>
      <c r="CK14" s="58">
        <v>-1.05</v>
      </c>
      <c r="CL14" s="58">
        <v>5.46</v>
      </c>
      <c r="CM14" s="58">
        <v>7.4420000000000002</v>
      </c>
      <c r="CN14" s="58">
        <v>4.8259999999999996</v>
      </c>
      <c r="CO14" s="206"/>
    </row>
    <row r="15" spans="1:93" x14ac:dyDescent="0.35">
      <c r="A15" s="18"/>
      <c r="B15" s="10" t="str">
        <f>IF(Control!$D$5=1,"Provision for Discounts","Provisão para Descontos")</f>
        <v>Provisão para Descontos</v>
      </c>
      <c r="C15" s="159">
        <v>0</v>
      </c>
      <c r="D15" s="159">
        <v>0</v>
      </c>
      <c r="E15" s="58">
        <v>0</v>
      </c>
      <c r="F15" s="58">
        <v>0</v>
      </c>
      <c r="G15" s="159">
        <v>0</v>
      </c>
      <c r="H15" s="159">
        <v>0</v>
      </c>
      <c r="I15" s="58">
        <v>0</v>
      </c>
      <c r="J15" s="58">
        <v>0</v>
      </c>
      <c r="K15" s="159">
        <v>0</v>
      </c>
      <c r="L15" s="159">
        <v>0</v>
      </c>
      <c r="M15" s="58">
        <v>0</v>
      </c>
      <c r="N15" s="58">
        <v>0</v>
      </c>
      <c r="O15" s="159">
        <v>0</v>
      </c>
      <c r="P15" s="159">
        <v>0</v>
      </c>
      <c r="Q15" s="58">
        <v>0</v>
      </c>
      <c r="R15" s="58">
        <v>0</v>
      </c>
      <c r="S15" s="58">
        <v>1.671</v>
      </c>
      <c r="T15" s="159">
        <v>0</v>
      </c>
      <c r="U15" s="58">
        <v>0</v>
      </c>
      <c r="V15" s="58">
        <v>0</v>
      </c>
      <c r="W15" s="58">
        <v>6.9710000000000001</v>
      </c>
      <c r="X15" s="159">
        <v>0.36399999999999999</v>
      </c>
      <c r="Y15" s="58">
        <v>0</v>
      </c>
      <c r="Z15" s="58">
        <v>-1.4350000000000001</v>
      </c>
      <c r="AA15" s="58">
        <v>-0.65400000000000014</v>
      </c>
      <c r="AB15" s="159">
        <v>2.6</v>
      </c>
      <c r="AC15" s="58">
        <v>3.3080000000000003</v>
      </c>
      <c r="AD15" s="58">
        <v>0.21399999999999952</v>
      </c>
      <c r="AE15" s="58">
        <v>-8.2809999999999988</v>
      </c>
      <c r="AF15" s="58">
        <v>2.1999999999999999E-2</v>
      </c>
      <c r="AG15" s="58">
        <v>4.6779999999999999</v>
      </c>
      <c r="AH15" s="58">
        <v>-2.6</v>
      </c>
      <c r="AI15" s="58">
        <v>10.8</v>
      </c>
      <c r="AJ15" s="58">
        <v>3.081</v>
      </c>
      <c r="AK15" s="58">
        <v>-1.7809999999999999</v>
      </c>
      <c r="AL15" s="58">
        <v>2.3730000000000002</v>
      </c>
      <c r="AM15" s="58">
        <v>3.827</v>
      </c>
      <c r="AN15" s="58">
        <v>-2.165</v>
      </c>
      <c r="AO15" s="58">
        <v>-4.4349999999999996</v>
      </c>
      <c r="AP15" s="58">
        <v>-2.4000000000000004</v>
      </c>
      <c r="AQ15" s="58">
        <v>7.7</v>
      </c>
      <c r="AR15" s="58">
        <v>-8.9</v>
      </c>
      <c r="AS15" s="58">
        <v>-0.5</v>
      </c>
      <c r="AT15" s="58">
        <v>-1.5</v>
      </c>
      <c r="AU15" s="58">
        <v>2.5</v>
      </c>
      <c r="AV15" s="58">
        <v>0.5</v>
      </c>
      <c r="AW15" s="58">
        <v>-3.2919999999999998</v>
      </c>
      <c r="AX15" s="58">
        <v>5.1050000000000004</v>
      </c>
      <c r="AY15" s="58">
        <v>-3.41</v>
      </c>
      <c r="AZ15" s="58">
        <v>2.1589999999999998</v>
      </c>
      <c r="BA15" s="58">
        <v>12.763999999999999</v>
      </c>
      <c r="BB15" s="58">
        <v>8.5879999999999992</v>
      </c>
      <c r="BC15" s="58">
        <v>5.4160000000000004</v>
      </c>
      <c r="BD15" s="58">
        <v>4.4390000000000001</v>
      </c>
      <c r="BE15" s="58">
        <v>-4.6130000000000004</v>
      </c>
      <c r="BF15" s="58">
        <v>5.8879999999999999</v>
      </c>
      <c r="BG15" s="58">
        <v>-9.01</v>
      </c>
      <c r="BH15" s="58">
        <v>17.783999999999999</v>
      </c>
      <c r="BI15" s="58">
        <v>-3.7930000000000001</v>
      </c>
      <c r="BJ15" s="58">
        <v>19.193999999999999</v>
      </c>
      <c r="BK15" s="58">
        <v>7.9690000000000003</v>
      </c>
      <c r="BL15" s="58">
        <v>-1.968</v>
      </c>
      <c r="BM15" s="58">
        <v>-9.9260000000000002</v>
      </c>
      <c r="BN15" s="58">
        <v>6.2510000000000003</v>
      </c>
      <c r="BO15" s="58">
        <v>-17.367999999999999</v>
      </c>
      <c r="BP15" s="58">
        <v>18.460999999999999</v>
      </c>
      <c r="BQ15" s="71">
        <v>-2.3769999999999998</v>
      </c>
      <c r="BR15" s="71">
        <v>2.3719999999999999</v>
      </c>
      <c r="BS15" s="71">
        <v>-9.3879999999999999</v>
      </c>
      <c r="BT15" s="71">
        <v>18.669</v>
      </c>
      <c r="BU15" s="71">
        <v>-2.2749999999999999</v>
      </c>
      <c r="BV15" s="223"/>
      <c r="BW15" s="58">
        <v>0</v>
      </c>
      <c r="BX15" s="58">
        <v>0</v>
      </c>
      <c r="BY15" s="58">
        <v>0</v>
      </c>
      <c r="BZ15" s="58">
        <v>0</v>
      </c>
      <c r="CA15" s="58">
        <v>1.671</v>
      </c>
      <c r="CB15" s="58">
        <v>6.9710000000000001</v>
      </c>
      <c r="CC15" s="58">
        <v>-1.7250000000000001</v>
      </c>
      <c r="CD15" s="58">
        <v>-2.1589999999999998</v>
      </c>
      <c r="CE15" s="58">
        <v>12.9</v>
      </c>
      <c r="CF15" s="58">
        <v>7.5</v>
      </c>
      <c r="CG15" s="58">
        <v>-1.3</v>
      </c>
      <c r="CH15" s="58">
        <v>-8.4350000000000005</v>
      </c>
      <c r="CI15" s="58">
        <v>-1.097</v>
      </c>
      <c r="CJ15" s="58">
        <v>28.927</v>
      </c>
      <c r="CK15" s="58">
        <v>-3.2959999999999998</v>
      </c>
      <c r="CL15" s="58">
        <v>41.154000000000003</v>
      </c>
      <c r="CM15" s="58">
        <v>-23.010999999999999</v>
      </c>
      <c r="CN15" s="58">
        <v>9.0679999999999996</v>
      </c>
      <c r="CO15" s="206"/>
    </row>
    <row r="16" spans="1:93" x14ac:dyDescent="0.35">
      <c r="A16" s="6"/>
      <c r="B16" s="10" t="str">
        <f>IF(Control!$D$5=1,"Provision for Contigencies","Provisão Demandas Judiciais")</f>
        <v>Provisão Demandas Judiciais</v>
      </c>
      <c r="C16" s="159">
        <v>0</v>
      </c>
      <c r="D16" s="159">
        <v>0</v>
      </c>
      <c r="E16" s="58">
        <v>0</v>
      </c>
      <c r="F16" s="58">
        <v>0</v>
      </c>
      <c r="G16" s="159">
        <v>0</v>
      </c>
      <c r="H16" s="159">
        <v>0</v>
      </c>
      <c r="I16" s="58">
        <v>0</v>
      </c>
      <c r="J16" s="58">
        <v>0</v>
      </c>
      <c r="K16" s="159">
        <v>0</v>
      </c>
      <c r="L16" s="159">
        <v>0</v>
      </c>
      <c r="M16" s="58">
        <v>0</v>
      </c>
      <c r="N16" s="58">
        <v>0</v>
      </c>
      <c r="O16" s="159">
        <v>0</v>
      </c>
      <c r="P16" s="159">
        <v>0</v>
      </c>
      <c r="Q16" s="58">
        <v>0</v>
      </c>
      <c r="R16" s="58">
        <v>0</v>
      </c>
      <c r="S16" s="58">
        <v>0</v>
      </c>
      <c r="T16" s="159">
        <v>0</v>
      </c>
      <c r="U16" s="58">
        <v>0</v>
      </c>
      <c r="V16" s="58">
        <v>0</v>
      </c>
      <c r="W16" s="58">
        <v>0.71</v>
      </c>
      <c r="X16" s="159">
        <v>0</v>
      </c>
      <c r="Y16" s="58">
        <v>2.948</v>
      </c>
      <c r="Z16" s="58">
        <v>-2.948</v>
      </c>
      <c r="AA16" s="58">
        <v>3.7650000000000001</v>
      </c>
      <c r="AB16" s="159">
        <v>0</v>
      </c>
      <c r="AC16" s="58">
        <v>1.6180000000000001</v>
      </c>
      <c r="AD16" s="58">
        <v>0.64099999999999979</v>
      </c>
      <c r="AE16" s="58">
        <v>-0.72299999999999986</v>
      </c>
      <c r="AF16" s="58">
        <v>-0.60899999999999999</v>
      </c>
      <c r="AG16" s="58">
        <v>0.60899999999999999</v>
      </c>
      <c r="AH16" s="58">
        <v>3.1</v>
      </c>
      <c r="AI16" s="58">
        <v>0.60000000000000009</v>
      </c>
      <c r="AJ16" s="58">
        <v>1.361</v>
      </c>
      <c r="AK16" s="58">
        <v>-0.10600000000000009</v>
      </c>
      <c r="AL16" s="58">
        <v>1.0609999999999999</v>
      </c>
      <c r="AM16" s="58">
        <v>14.384</v>
      </c>
      <c r="AN16" s="58">
        <v>3.605</v>
      </c>
      <c r="AO16" s="58">
        <v>-0.50499999999999989</v>
      </c>
      <c r="AP16" s="58">
        <v>-0.20000000000000018</v>
      </c>
      <c r="AQ16" s="58">
        <v>1</v>
      </c>
      <c r="AR16" s="58">
        <v>0.5</v>
      </c>
      <c r="AS16" s="58">
        <v>2</v>
      </c>
      <c r="AT16" s="58">
        <v>0.5</v>
      </c>
      <c r="AU16" s="58">
        <v>-1.3</v>
      </c>
      <c r="AV16" s="58">
        <v>3.6</v>
      </c>
      <c r="AW16" s="58">
        <v>0.30399999999999983</v>
      </c>
      <c r="AX16" s="58">
        <v>1.8680000000000003</v>
      </c>
      <c r="AY16" s="58">
        <v>4.2839999999999998</v>
      </c>
      <c r="AZ16" s="58">
        <v>-0.95799999999999996</v>
      </c>
      <c r="BA16" s="58">
        <v>5.2450000000000001</v>
      </c>
      <c r="BB16" s="58">
        <v>-0.96499999999999997</v>
      </c>
      <c r="BC16" s="58">
        <v>1.504</v>
      </c>
      <c r="BD16" s="58">
        <v>6.2350000000000003</v>
      </c>
      <c r="BE16" s="58">
        <v>-8.9999999999999993E-3</v>
      </c>
      <c r="BF16" s="58">
        <v>1.4159999999999999</v>
      </c>
      <c r="BG16" s="58">
        <v>16.757000000000001</v>
      </c>
      <c r="BH16" s="58">
        <v>-9.7829999999999995</v>
      </c>
      <c r="BI16" s="58">
        <v>1.196</v>
      </c>
      <c r="BJ16" s="58">
        <v>48.610999999999997</v>
      </c>
      <c r="BK16" s="58">
        <v>-13.247</v>
      </c>
      <c r="BL16" s="58">
        <v>1.226</v>
      </c>
      <c r="BM16" s="58">
        <v>-0.55200000000000005</v>
      </c>
      <c r="BN16" s="58">
        <v>0.74399999999999999</v>
      </c>
      <c r="BO16" s="58">
        <v>-6.9190000000000005</v>
      </c>
      <c r="BP16" s="58">
        <v>14.282999999999999</v>
      </c>
      <c r="BQ16" s="71">
        <v>31.074000000000002</v>
      </c>
      <c r="BR16" s="71">
        <v>-26.673999999999999</v>
      </c>
      <c r="BS16" s="71">
        <v>1.3210000000000015</v>
      </c>
      <c r="BT16" s="71">
        <v>5.3490000000000002</v>
      </c>
      <c r="BU16" s="71">
        <v>8.8040000000000003</v>
      </c>
      <c r="BV16" s="223"/>
      <c r="BW16" s="58">
        <v>0</v>
      </c>
      <c r="BX16" s="58">
        <v>0</v>
      </c>
      <c r="BY16" s="58">
        <v>0</v>
      </c>
      <c r="BZ16" s="58">
        <v>0</v>
      </c>
      <c r="CA16" s="58">
        <v>0</v>
      </c>
      <c r="CB16" s="58">
        <v>0.71</v>
      </c>
      <c r="CC16" s="58">
        <v>3.7650000000000001</v>
      </c>
      <c r="CD16" s="58">
        <v>1.536</v>
      </c>
      <c r="CE16" s="58">
        <v>3.7</v>
      </c>
      <c r="CF16" s="58">
        <v>16.7</v>
      </c>
      <c r="CG16" s="58">
        <v>3.9</v>
      </c>
      <c r="CH16" s="58">
        <v>1.1599999999999999</v>
      </c>
      <c r="CI16" s="58">
        <v>10.055999999999999</v>
      </c>
      <c r="CJ16" s="58">
        <v>4.8259999999999996</v>
      </c>
      <c r="CK16" s="58">
        <v>24.399000000000001</v>
      </c>
      <c r="CL16" s="58">
        <v>26.777000000000001</v>
      </c>
      <c r="CM16" s="58">
        <v>-5.5010000000000003</v>
      </c>
      <c r="CN16" s="58">
        <v>20.004000000000001</v>
      </c>
      <c r="CO16" s="206"/>
    </row>
    <row r="17" spans="1:94" x14ac:dyDescent="0.35">
      <c r="A17" s="18"/>
      <c r="B17" s="10" t="str">
        <f>IF(Control!$D$5=1,"Provision for Advances","Provisão (Reversão) outras contas")</f>
        <v>Provisão (Reversão) outras contas</v>
      </c>
      <c r="C17" s="159">
        <v>0</v>
      </c>
      <c r="D17" s="159">
        <v>0</v>
      </c>
      <c r="E17" s="58">
        <v>0</v>
      </c>
      <c r="F17" s="58">
        <v>0</v>
      </c>
      <c r="G17" s="159">
        <v>0</v>
      </c>
      <c r="H17" s="159">
        <v>0</v>
      </c>
      <c r="I17" s="58">
        <v>0</v>
      </c>
      <c r="J17" s="58">
        <v>0</v>
      </c>
      <c r="K17" s="159">
        <v>0</v>
      </c>
      <c r="L17" s="159">
        <v>0</v>
      </c>
      <c r="M17" s="58">
        <v>0</v>
      </c>
      <c r="N17" s="58">
        <v>0</v>
      </c>
      <c r="O17" s="159">
        <v>0</v>
      </c>
      <c r="P17" s="159">
        <v>0</v>
      </c>
      <c r="Q17" s="58">
        <v>0</v>
      </c>
      <c r="R17" s="58">
        <v>0</v>
      </c>
      <c r="S17" s="58">
        <v>0</v>
      </c>
      <c r="T17" s="159">
        <v>0</v>
      </c>
      <c r="U17" s="58">
        <v>0</v>
      </c>
      <c r="V17" s="58">
        <v>0</v>
      </c>
      <c r="W17" s="58">
        <v>0</v>
      </c>
      <c r="X17" s="159">
        <v>0</v>
      </c>
      <c r="Y17" s="58">
        <v>0</v>
      </c>
      <c r="Z17" s="58">
        <v>0</v>
      </c>
      <c r="AA17" s="58">
        <v>0</v>
      </c>
      <c r="AB17" s="159">
        <v>0</v>
      </c>
      <c r="AC17" s="58">
        <v>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0</v>
      </c>
      <c r="AJ17" s="58">
        <v>5.157</v>
      </c>
      <c r="AK17" s="58">
        <v>-0.35799999999999965</v>
      </c>
      <c r="AL17" s="58">
        <v>15.329000000000001</v>
      </c>
      <c r="AM17" s="58">
        <v>-32.527999999999999</v>
      </c>
      <c r="AN17" s="58">
        <v>12.864000000000001</v>
      </c>
      <c r="AO17" s="58">
        <v>-10.664000000000001</v>
      </c>
      <c r="AP17" s="58">
        <v>0.5</v>
      </c>
      <c r="AQ17" s="58">
        <v>-13.3</v>
      </c>
      <c r="AR17" s="58">
        <v>1.2</v>
      </c>
      <c r="AS17" s="58">
        <v>-2.8</v>
      </c>
      <c r="AT17" s="58">
        <v>2.9000000000000004</v>
      </c>
      <c r="AU17" s="58">
        <v>10.5</v>
      </c>
      <c r="AV17" s="58">
        <v>-0.8</v>
      </c>
      <c r="AW17" s="58">
        <v>-1.3869999999999998</v>
      </c>
      <c r="AX17" s="58">
        <v>1.1759999999999999</v>
      </c>
      <c r="AY17" s="58">
        <v>2.569</v>
      </c>
      <c r="AZ17" s="58">
        <v>-0.70299999999999996</v>
      </c>
      <c r="BA17" s="58">
        <v>-1.6160000000000001</v>
      </c>
      <c r="BB17" s="58">
        <v>0</v>
      </c>
      <c r="BC17" s="58">
        <v>-3.6560000000000001</v>
      </c>
      <c r="BD17" s="58">
        <v>0.5</v>
      </c>
      <c r="BE17" s="58">
        <v>-0.23100000000000001</v>
      </c>
      <c r="BF17" s="58">
        <v>0.193</v>
      </c>
      <c r="BG17" s="58">
        <v>9.3759999999999994</v>
      </c>
      <c r="BH17" s="58">
        <v>0.90200000000000002</v>
      </c>
      <c r="BI17" s="58">
        <v>0</v>
      </c>
      <c r="BJ17" s="58">
        <v>14.167999999999999</v>
      </c>
      <c r="BK17" s="58">
        <v>-14.907</v>
      </c>
      <c r="BL17" s="58">
        <v>0.20599999999999999</v>
      </c>
      <c r="BM17" s="58">
        <v>26.373000000000001</v>
      </c>
      <c r="BN17" s="58">
        <v>-10.003</v>
      </c>
      <c r="BO17" s="58">
        <v>-25.285</v>
      </c>
      <c r="BP17" s="58">
        <v>-0.73199999999999998</v>
      </c>
      <c r="BQ17" s="71">
        <v>6.2679999999999998</v>
      </c>
      <c r="BR17" s="71">
        <v>-0.222</v>
      </c>
      <c r="BS17" s="71">
        <v>-1.2349999999999994</v>
      </c>
      <c r="BT17" s="71">
        <v>-0.70899999999999996</v>
      </c>
      <c r="BU17" s="71">
        <v>0</v>
      </c>
      <c r="BV17" s="223"/>
      <c r="BW17" s="58">
        <v>0</v>
      </c>
      <c r="BX17" s="58">
        <v>0</v>
      </c>
      <c r="BY17" s="58">
        <v>0</v>
      </c>
      <c r="BZ17" s="58">
        <v>0</v>
      </c>
      <c r="CA17" s="58">
        <v>0</v>
      </c>
      <c r="CB17" s="58">
        <v>0</v>
      </c>
      <c r="CC17" s="58">
        <v>0</v>
      </c>
      <c r="CD17" s="58">
        <v>0</v>
      </c>
      <c r="CE17" s="58">
        <v>0</v>
      </c>
      <c r="CF17" s="58">
        <v>-12.4</v>
      </c>
      <c r="CG17" s="58">
        <v>-10.6</v>
      </c>
      <c r="CH17" s="58">
        <v>13.484</v>
      </c>
      <c r="CI17" s="58">
        <v>1.5580000000000001</v>
      </c>
      <c r="CJ17" s="58">
        <v>-5.9809999999999999</v>
      </c>
      <c r="CK17" s="58">
        <v>9.8379999999999992</v>
      </c>
      <c r="CL17" s="58">
        <v>0.16299999999999848</v>
      </c>
      <c r="CM17" s="58">
        <v>-8.7089999999999996</v>
      </c>
      <c r="CN17" s="58">
        <v>4.0789999999999997</v>
      </c>
      <c r="CO17" s="206"/>
    </row>
    <row r="18" spans="1:94" x14ac:dyDescent="0.35">
      <c r="A18" s="18"/>
      <c r="B18" s="10" t="str">
        <f>IF(Control!$D$5=1,"Provision for Loss on Assets Retirement","Provisão para Perda de Imobilizado")</f>
        <v>Provisão para Perda de Imobilizado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58">
        <v>0</v>
      </c>
      <c r="V18" s="58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0</v>
      </c>
      <c r="AB18" s="58">
        <v>0</v>
      </c>
      <c r="AC18" s="58">
        <v>0</v>
      </c>
      <c r="AD18" s="58">
        <v>0</v>
      </c>
      <c r="AE18" s="58">
        <v>0</v>
      </c>
      <c r="AF18" s="58">
        <v>0</v>
      </c>
      <c r="AG18" s="58">
        <v>0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58">
        <v>0</v>
      </c>
      <c r="AP18" s="58">
        <v>0</v>
      </c>
      <c r="AQ18" s="58">
        <v>0</v>
      </c>
      <c r="AR18" s="58">
        <v>0</v>
      </c>
      <c r="AS18" s="58">
        <v>0</v>
      </c>
      <c r="AT18" s="58">
        <v>44.1</v>
      </c>
      <c r="AU18" s="58">
        <v>-39.299999999999997</v>
      </c>
      <c r="AV18" s="58">
        <v>0</v>
      </c>
      <c r="AW18" s="58">
        <v>0</v>
      </c>
      <c r="AX18" s="58">
        <v>0</v>
      </c>
      <c r="AY18" s="58">
        <v>0</v>
      </c>
      <c r="AZ18" s="58">
        <v>0</v>
      </c>
      <c r="BA18" s="58">
        <v>0</v>
      </c>
      <c r="BB18" s="58">
        <v>0</v>
      </c>
      <c r="BC18" s="58">
        <v>0</v>
      </c>
      <c r="BD18" s="58">
        <v>0.67</v>
      </c>
      <c r="BE18" s="58">
        <v>2E-3</v>
      </c>
      <c r="BF18" s="58">
        <v>0</v>
      </c>
      <c r="BG18" s="58">
        <v>-0.156</v>
      </c>
      <c r="BH18" s="58">
        <v>-5.2999999999999999E-2</v>
      </c>
      <c r="BI18" s="58">
        <v>-4.4999999999999998E-2</v>
      </c>
      <c r="BJ18" s="58">
        <v>0</v>
      </c>
      <c r="BK18" s="58">
        <v>0</v>
      </c>
      <c r="BL18" s="58">
        <v>-0.317</v>
      </c>
      <c r="BM18" s="58">
        <v>0.317</v>
      </c>
      <c r="BN18" s="58">
        <v>0</v>
      </c>
      <c r="BO18" s="58">
        <v>0</v>
      </c>
      <c r="BP18" s="58">
        <v>0</v>
      </c>
      <c r="BQ18" s="71">
        <v>0</v>
      </c>
      <c r="BR18" s="71">
        <v>0</v>
      </c>
      <c r="BS18" s="71">
        <v>0</v>
      </c>
      <c r="BT18" s="71">
        <v>0</v>
      </c>
      <c r="BU18" s="71">
        <v>-8.1180000000000003</v>
      </c>
      <c r="BV18" s="223"/>
      <c r="BW18" s="58">
        <v>0</v>
      </c>
      <c r="BX18" s="58">
        <v>0</v>
      </c>
      <c r="BY18" s="58">
        <v>0</v>
      </c>
      <c r="BZ18" s="58">
        <v>0</v>
      </c>
      <c r="CA18" s="58">
        <v>0</v>
      </c>
      <c r="CB18" s="58">
        <v>0</v>
      </c>
      <c r="CC18" s="58">
        <v>0</v>
      </c>
      <c r="CD18" s="58">
        <v>0</v>
      </c>
      <c r="CE18" s="58">
        <v>0</v>
      </c>
      <c r="CF18" s="58">
        <v>0</v>
      </c>
      <c r="CG18" s="58">
        <v>0</v>
      </c>
      <c r="CH18" s="58">
        <v>4.7</v>
      </c>
      <c r="CI18" s="58">
        <v>0</v>
      </c>
      <c r="CJ18" s="58">
        <v>0</v>
      </c>
      <c r="CK18" s="58">
        <v>0.51600000000000001</v>
      </c>
      <c r="CL18" s="58">
        <v>-9.8000000000000004E-2</v>
      </c>
      <c r="CM18" s="58">
        <v>0</v>
      </c>
      <c r="CN18" s="58">
        <v>0</v>
      </c>
      <c r="CO18" s="206"/>
    </row>
    <row r="19" spans="1:94" x14ac:dyDescent="0.35">
      <c r="A19" s="6"/>
      <c r="B19" s="10" t="str">
        <f>IF(Control!$D$5=1,"Depreciation","Depreciação")</f>
        <v>Depreciação</v>
      </c>
      <c r="C19" s="159">
        <v>0</v>
      </c>
      <c r="D19" s="159">
        <v>3.153</v>
      </c>
      <c r="E19" s="58">
        <v>2.605</v>
      </c>
      <c r="F19" s="58">
        <v>4.1420000000000003</v>
      </c>
      <c r="G19" s="159">
        <v>7.2279999999999998</v>
      </c>
      <c r="H19" s="159">
        <v>3.585</v>
      </c>
      <c r="I19" s="58">
        <v>3.8879999999999999</v>
      </c>
      <c r="J19" s="58">
        <v>4.3270000000000008</v>
      </c>
      <c r="K19" s="159">
        <v>7.1099999999999994</v>
      </c>
      <c r="L19" s="159">
        <v>4.2450000000000001</v>
      </c>
      <c r="M19" s="58">
        <v>6.7060000000000004</v>
      </c>
      <c r="N19" s="58">
        <v>4.6389999999999993</v>
      </c>
      <c r="O19" s="159">
        <v>8.9959999999999987</v>
      </c>
      <c r="P19" s="159">
        <v>7.8979999999999997</v>
      </c>
      <c r="Q19" s="58">
        <v>9.847999999999999</v>
      </c>
      <c r="R19" s="58">
        <v>13.16</v>
      </c>
      <c r="S19" s="58">
        <v>11.483000000000004</v>
      </c>
      <c r="T19" s="159">
        <v>11.375</v>
      </c>
      <c r="U19" s="58">
        <v>11.795000000000002</v>
      </c>
      <c r="V19" s="58">
        <v>15.21</v>
      </c>
      <c r="W19" s="58">
        <v>17.579999999999998</v>
      </c>
      <c r="X19" s="159">
        <v>16.283000000000001</v>
      </c>
      <c r="Y19" s="58">
        <v>14.347999999999999</v>
      </c>
      <c r="Z19" s="58">
        <v>15.417000000000002</v>
      </c>
      <c r="AA19" s="58">
        <v>17.015999999999998</v>
      </c>
      <c r="AB19" s="159">
        <v>15.5</v>
      </c>
      <c r="AC19" s="58">
        <v>16.198</v>
      </c>
      <c r="AD19" s="58">
        <v>16.902999999999999</v>
      </c>
      <c r="AE19" s="58">
        <v>18.813000000000002</v>
      </c>
      <c r="AF19" s="58">
        <v>18.617000000000001</v>
      </c>
      <c r="AG19" s="58">
        <v>18.282999999999998</v>
      </c>
      <c r="AH19" s="58">
        <v>19.899999999999999</v>
      </c>
      <c r="AI19" s="58">
        <v>20.299999999999997</v>
      </c>
      <c r="AJ19" s="58">
        <v>20.853000000000002</v>
      </c>
      <c r="AK19" s="58">
        <v>19.024999999999999</v>
      </c>
      <c r="AL19" s="58">
        <v>19.11</v>
      </c>
      <c r="AM19" s="58">
        <v>19.212000000000003</v>
      </c>
      <c r="AN19" s="58">
        <v>19.620999999999999</v>
      </c>
      <c r="AO19" s="58">
        <v>20.779</v>
      </c>
      <c r="AP19" s="58">
        <v>21.700000000000003</v>
      </c>
      <c r="AQ19" s="58">
        <v>20.9</v>
      </c>
      <c r="AR19" s="58">
        <v>22.8</v>
      </c>
      <c r="AS19" s="58">
        <v>23.7</v>
      </c>
      <c r="AT19" s="58">
        <v>22.700000000000003</v>
      </c>
      <c r="AU19" s="58">
        <v>26.4</v>
      </c>
      <c r="AV19" s="58">
        <v>25</v>
      </c>
      <c r="AW19" s="58">
        <v>24.737000000000002</v>
      </c>
      <c r="AX19" s="58">
        <v>26.719999999999992</v>
      </c>
      <c r="AY19" s="58">
        <v>29.004999999999999</v>
      </c>
      <c r="AZ19" s="58">
        <v>30.3</v>
      </c>
      <c r="BA19" s="58">
        <v>29.396999999999998</v>
      </c>
      <c r="BB19" s="58">
        <v>30.024999999999999</v>
      </c>
      <c r="BC19" s="58">
        <v>29.388999999999999</v>
      </c>
      <c r="BD19" s="58">
        <v>30.236000000000001</v>
      </c>
      <c r="BE19" s="58">
        <v>28.538</v>
      </c>
      <c r="BF19" s="58">
        <v>30.698</v>
      </c>
      <c r="BG19" s="58">
        <v>36.341000000000001</v>
      </c>
      <c r="BH19" s="58">
        <v>40.411999999999999</v>
      </c>
      <c r="BI19" s="58">
        <v>36.5</v>
      </c>
      <c r="BJ19" s="58">
        <v>42.853999999999999</v>
      </c>
      <c r="BK19" s="58">
        <v>50.25</v>
      </c>
      <c r="BL19" s="58">
        <v>47.991</v>
      </c>
      <c r="BM19" s="58">
        <v>65.23</v>
      </c>
      <c r="BN19" s="58">
        <v>66.347999999999999</v>
      </c>
      <c r="BO19" s="58">
        <v>65.536000000000001</v>
      </c>
      <c r="BP19" s="58">
        <v>64.861999999999995</v>
      </c>
      <c r="BQ19" s="71">
        <v>66.128</v>
      </c>
      <c r="BR19" s="71">
        <v>68.266999999999996</v>
      </c>
      <c r="BS19" s="71">
        <v>67.019000000000005</v>
      </c>
      <c r="BT19" s="71">
        <v>66.87</v>
      </c>
      <c r="BU19" s="71">
        <v>66.899000000000001</v>
      </c>
      <c r="BV19" s="223"/>
      <c r="BW19" s="58">
        <v>9.2159999999999993</v>
      </c>
      <c r="BX19" s="58">
        <v>17.128</v>
      </c>
      <c r="BY19" s="58">
        <v>18.91</v>
      </c>
      <c r="BZ19" s="58">
        <v>24.585999999999999</v>
      </c>
      <c r="CA19" s="58">
        <v>42.389000000000003</v>
      </c>
      <c r="CB19" s="58">
        <v>55.96</v>
      </c>
      <c r="CC19" s="58">
        <v>63.064</v>
      </c>
      <c r="CD19" s="58">
        <v>67.414000000000001</v>
      </c>
      <c r="CE19" s="58">
        <v>77.099999999999994</v>
      </c>
      <c r="CF19" s="58">
        <v>78.2</v>
      </c>
      <c r="CG19" s="58">
        <v>83</v>
      </c>
      <c r="CH19" s="58">
        <v>95.6</v>
      </c>
      <c r="CI19" s="58">
        <v>105.462</v>
      </c>
      <c r="CJ19" s="58">
        <v>119.111</v>
      </c>
      <c r="CK19" s="58">
        <v>125.813</v>
      </c>
      <c r="CL19" s="58">
        <v>170.01600000000002</v>
      </c>
      <c r="CM19" s="58">
        <v>261.947</v>
      </c>
      <c r="CN19" s="58">
        <v>266.27600000000001</v>
      </c>
      <c r="CO19" s="206"/>
    </row>
    <row r="20" spans="1:94" x14ac:dyDescent="0.35">
      <c r="A20" s="91"/>
      <c r="B20" s="10" t="str">
        <f>IF(Control!$D$5=1,"Amortization","Amortização")</f>
        <v>Amortização</v>
      </c>
      <c r="C20" s="159">
        <v>0</v>
      </c>
      <c r="D20" s="159">
        <v>1.2809999999999999</v>
      </c>
      <c r="E20" s="58">
        <v>1.2329999999999999</v>
      </c>
      <c r="F20" s="58">
        <v>1.286</v>
      </c>
      <c r="G20" s="159">
        <v>-3.7319999999999998</v>
      </c>
      <c r="H20" s="159">
        <v>0</v>
      </c>
      <c r="I20" s="58">
        <v>0</v>
      </c>
      <c r="J20" s="58">
        <v>0</v>
      </c>
      <c r="K20" s="159">
        <v>0.247</v>
      </c>
      <c r="L20" s="159">
        <v>7.1999999999999995E-2</v>
      </c>
      <c r="M20" s="58">
        <v>0.17299999999999999</v>
      </c>
      <c r="N20" s="58">
        <v>-0.14899999999999999</v>
      </c>
      <c r="O20" s="159">
        <v>0.85399999999999998</v>
      </c>
      <c r="P20" s="159">
        <v>0.28199999999999997</v>
      </c>
      <c r="Q20" s="58">
        <v>0.11700000000000005</v>
      </c>
      <c r="R20" s="58">
        <v>0.11599999999999999</v>
      </c>
      <c r="S20" s="58">
        <v>0.19099999999999995</v>
      </c>
      <c r="T20" s="159">
        <v>0.129</v>
      </c>
      <c r="U20" s="58">
        <v>9.9000000000000005E-2</v>
      </c>
      <c r="V20" s="58">
        <v>6.9999999999999979E-2</v>
      </c>
      <c r="W20" s="58">
        <v>1.9769999999999999</v>
      </c>
      <c r="X20" s="159">
        <v>0.77100000000000002</v>
      </c>
      <c r="Y20" s="58">
        <v>8.1859999999999999</v>
      </c>
      <c r="Z20" s="58">
        <v>1.8039999999999985</v>
      </c>
      <c r="AA20" s="58">
        <v>2.6050000000000004</v>
      </c>
      <c r="AB20" s="159">
        <v>2.9</v>
      </c>
      <c r="AC20" s="58">
        <v>2.012</v>
      </c>
      <c r="AD20" s="58">
        <v>2.4560000000000004</v>
      </c>
      <c r="AE20" s="58">
        <v>1.4809999999999999</v>
      </c>
      <c r="AF20" s="58">
        <v>2.1320000000000001</v>
      </c>
      <c r="AG20" s="58">
        <v>2.1679999999999997</v>
      </c>
      <c r="AH20" s="58">
        <v>2.1000000000000005</v>
      </c>
      <c r="AI20" s="58">
        <v>2.1999999999999993</v>
      </c>
      <c r="AJ20" s="58">
        <v>2.2330000000000001</v>
      </c>
      <c r="AK20" s="58">
        <v>2.3080000000000003</v>
      </c>
      <c r="AL20" s="58">
        <v>2.1589999999999998</v>
      </c>
      <c r="AM20" s="58">
        <v>1.7000000000000002</v>
      </c>
      <c r="AN20" s="58">
        <v>1.6719999999999999</v>
      </c>
      <c r="AO20" s="58">
        <v>1.728</v>
      </c>
      <c r="AP20" s="58">
        <v>1.6</v>
      </c>
      <c r="AQ20" s="58">
        <v>2.2000000000000002</v>
      </c>
      <c r="AR20" s="58">
        <v>1.8</v>
      </c>
      <c r="AS20" s="58">
        <v>1.9999999999999998</v>
      </c>
      <c r="AT20" s="58">
        <v>1.1000000000000005</v>
      </c>
      <c r="AU20" s="58">
        <v>0.9</v>
      </c>
      <c r="AV20" s="58">
        <v>8.6999999999999993</v>
      </c>
      <c r="AW20" s="58">
        <v>9.0239999999999991</v>
      </c>
      <c r="AX20" s="58">
        <v>9.3000000000000007</v>
      </c>
      <c r="AY20" s="58">
        <v>11.846</v>
      </c>
      <c r="AZ20" s="58">
        <v>10.709</v>
      </c>
      <c r="BA20" s="52">
        <v>11.8</v>
      </c>
      <c r="BB20" s="52">
        <v>11.1</v>
      </c>
      <c r="BC20" s="52">
        <f>2.6+9.6</f>
        <v>12.2</v>
      </c>
      <c r="BD20" s="52">
        <f>3+7.9</f>
        <v>10.9</v>
      </c>
      <c r="BE20" s="52">
        <v>12.1</v>
      </c>
      <c r="BF20" s="52">
        <v>11.162000000000001</v>
      </c>
      <c r="BG20" s="58">
        <v>12.940999999999999</v>
      </c>
      <c r="BH20" s="58">
        <v>14.2</v>
      </c>
      <c r="BI20" s="58">
        <v>17.2</v>
      </c>
      <c r="BJ20" s="58">
        <v>14.6</v>
      </c>
      <c r="BK20" s="58">
        <v>16.5</v>
      </c>
      <c r="BL20" s="58">
        <v>16.841999999999999</v>
      </c>
      <c r="BM20" s="58">
        <v>0</v>
      </c>
      <c r="BN20" s="58">
        <v>0</v>
      </c>
      <c r="BO20" s="58">
        <v>0</v>
      </c>
      <c r="BP20" s="58">
        <v>0</v>
      </c>
      <c r="BQ20" s="71">
        <v>0</v>
      </c>
      <c r="BR20" s="71">
        <v>0</v>
      </c>
      <c r="BS20" s="71">
        <v>0</v>
      </c>
      <c r="BT20" s="71">
        <v>0</v>
      </c>
      <c r="BU20" s="71">
        <v>0</v>
      </c>
      <c r="BV20" s="223"/>
      <c r="BW20" s="58">
        <v>3.3969999999999998</v>
      </c>
      <c r="BX20" s="58">
        <v>6.8000000000000005E-2</v>
      </c>
      <c r="BY20" s="58">
        <v>0.247</v>
      </c>
      <c r="BZ20" s="58">
        <v>0.95</v>
      </c>
      <c r="CA20" s="58">
        <v>0.70599999999999996</v>
      </c>
      <c r="CB20" s="58">
        <v>2.2749999999999999</v>
      </c>
      <c r="CC20" s="58">
        <v>13.366</v>
      </c>
      <c r="CD20" s="58">
        <v>8.8490000000000002</v>
      </c>
      <c r="CE20" s="58">
        <v>8.6</v>
      </c>
      <c r="CF20" s="58">
        <v>8.4</v>
      </c>
      <c r="CG20" s="58">
        <v>7.2</v>
      </c>
      <c r="CH20" s="58">
        <v>5.8</v>
      </c>
      <c r="CI20" s="58">
        <v>38.216999999999999</v>
      </c>
      <c r="CJ20" s="58">
        <v>45.7</v>
      </c>
      <c r="CK20" s="58">
        <v>47.045000000000002</v>
      </c>
      <c r="CL20" s="58">
        <v>64.004000000000005</v>
      </c>
      <c r="CM20" s="58">
        <v>0</v>
      </c>
      <c r="CN20" s="58">
        <v>0</v>
      </c>
      <c r="CO20" s="206"/>
    </row>
    <row r="21" spans="1:94" x14ac:dyDescent="0.35">
      <c r="A21" s="91"/>
      <c r="B21" s="10" t="str">
        <f>IF(Control!$D$5=1,"Write-off Intagible Assets &amp; Plant, Property and Equipment","Baixa Intangível e bens do imobilizado")</f>
        <v>Baixa Intangível e bens do imobilizado</v>
      </c>
      <c r="C21" s="159">
        <v>0</v>
      </c>
      <c r="D21" s="159">
        <v>0</v>
      </c>
      <c r="E21" s="159">
        <v>5.2999999999999999E-2</v>
      </c>
      <c r="F21" s="159">
        <v>1.647</v>
      </c>
      <c r="G21" s="159">
        <v>-1.5229999999999999</v>
      </c>
      <c r="H21" s="159">
        <v>2.1999999999999999E-2</v>
      </c>
      <c r="I21" s="159">
        <v>-0.52600000000000002</v>
      </c>
      <c r="J21" s="159">
        <v>0.504</v>
      </c>
      <c r="K21" s="159">
        <v>0</v>
      </c>
      <c r="L21" s="159">
        <v>0.69</v>
      </c>
      <c r="M21" s="159">
        <v>-0.30399999999999994</v>
      </c>
      <c r="N21" s="159">
        <v>0.24199999999999999</v>
      </c>
      <c r="O21" s="159">
        <v>0.53500000000000003</v>
      </c>
      <c r="P21" s="159">
        <v>0.30599999999999999</v>
      </c>
      <c r="Q21" s="159">
        <v>18.306000000000001</v>
      </c>
      <c r="R21" s="159">
        <v>-16.381999999999998</v>
      </c>
      <c r="S21" s="159">
        <v>1.3479999999999999</v>
      </c>
      <c r="T21" s="159">
        <v>7.0000000000000007E-2</v>
      </c>
      <c r="U21" s="159">
        <v>0.51899999999999991</v>
      </c>
      <c r="V21" s="159">
        <v>2.347</v>
      </c>
      <c r="W21" s="159">
        <v>-0.37699999999999978</v>
      </c>
      <c r="X21" s="159">
        <v>9.9000000000000005E-2</v>
      </c>
      <c r="Y21" s="159">
        <v>3.9849999999999994</v>
      </c>
      <c r="Z21" s="159">
        <v>-1.8629999999999995</v>
      </c>
      <c r="AA21" s="159">
        <v>-0.63600000000000012</v>
      </c>
      <c r="AB21" s="159">
        <v>0.6</v>
      </c>
      <c r="AC21" s="159">
        <v>-0.6</v>
      </c>
      <c r="AD21" s="159">
        <v>-1.2130000000000001</v>
      </c>
      <c r="AE21" s="159">
        <v>-1.2869999999999999</v>
      </c>
      <c r="AF21" s="159">
        <v>1.242</v>
      </c>
      <c r="AG21" s="159">
        <v>1.258</v>
      </c>
      <c r="AH21" s="159">
        <v>9.6</v>
      </c>
      <c r="AI21" s="159">
        <v>4.5999999999999996</v>
      </c>
      <c r="AJ21" s="159">
        <v>0</v>
      </c>
      <c r="AK21" s="159">
        <v>0.71899999999999997</v>
      </c>
      <c r="AL21" s="159">
        <v>1.879</v>
      </c>
      <c r="AM21" s="159">
        <v>0.60200000000000031</v>
      </c>
      <c r="AN21" s="159">
        <v>0.32100000000000001</v>
      </c>
      <c r="AO21" s="159">
        <v>3.9789999999999996</v>
      </c>
      <c r="AP21" s="159">
        <v>1.2999999999999998</v>
      </c>
      <c r="AQ21" s="159">
        <v>5.5</v>
      </c>
      <c r="AR21" s="159">
        <v>2.1</v>
      </c>
      <c r="AS21" s="159">
        <v>2.6</v>
      </c>
      <c r="AT21" s="159">
        <v>0.20000000000000018</v>
      </c>
      <c r="AU21" s="159">
        <v>77</v>
      </c>
      <c r="AV21" s="159">
        <v>21.5</v>
      </c>
      <c r="AW21" s="159">
        <v>-16.497000000000003</v>
      </c>
      <c r="AX21" s="159">
        <v>0.28499999999999992</v>
      </c>
      <c r="AY21" s="159">
        <v>-2.7199999999999998</v>
      </c>
      <c r="AZ21" s="159">
        <v>7.8289999999999997</v>
      </c>
      <c r="BA21" s="159">
        <v>-7.3040000000000003</v>
      </c>
      <c r="BB21" s="159">
        <v>0.51800000000000002</v>
      </c>
      <c r="BC21" s="159">
        <v>0.67600000000000005</v>
      </c>
      <c r="BD21" s="159">
        <v>14.498000000000001</v>
      </c>
      <c r="BE21" s="159">
        <v>11.958</v>
      </c>
      <c r="BF21" s="159">
        <v>2.3039999999999998</v>
      </c>
      <c r="BG21" s="159">
        <v>3.0990000000000002</v>
      </c>
      <c r="BH21" s="159">
        <v>0.45600000000000002</v>
      </c>
      <c r="BI21" s="159">
        <v>0.372</v>
      </c>
      <c r="BJ21" s="159">
        <v>0.49</v>
      </c>
      <c r="BK21" s="159">
        <v>0.69899999999999995</v>
      </c>
      <c r="BL21" s="159">
        <v>-1.2529999999999999</v>
      </c>
      <c r="BM21" s="159">
        <v>1.038</v>
      </c>
      <c r="BN21" s="159">
        <v>2.2389999999999999</v>
      </c>
      <c r="BO21" s="159">
        <v>1.573</v>
      </c>
      <c r="BP21" s="159">
        <v>0.33800000000000002</v>
      </c>
      <c r="BQ21" s="71">
        <v>5.0910000000000002</v>
      </c>
      <c r="BR21" s="71">
        <v>6.8040000000000003</v>
      </c>
      <c r="BS21" s="71">
        <v>-10.267000000000001</v>
      </c>
      <c r="BT21" s="71">
        <v>21.327000000000002</v>
      </c>
      <c r="BU21" s="71">
        <v>-16.568000000000001</v>
      </c>
      <c r="BV21" s="223"/>
      <c r="BW21" s="58">
        <v>0</v>
      </c>
      <c r="BX21" s="58">
        <v>0.17699999999999999</v>
      </c>
      <c r="BY21" s="58">
        <v>0</v>
      </c>
      <c r="BZ21" s="58">
        <v>1.163</v>
      </c>
      <c r="CA21" s="58">
        <v>3.5779999999999998</v>
      </c>
      <c r="CB21" s="58">
        <v>2.5590000000000002</v>
      </c>
      <c r="CC21" s="58">
        <v>1.585</v>
      </c>
      <c r="CD21" s="58">
        <v>-2.5</v>
      </c>
      <c r="CE21" s="58">
        <v>16.7</v>
      </c>
      <c r="CF21" s="58">
        <v>3.2</v>
      </c>
      <c r="CG21" s="58">
        <v>11.1</v>
      </c>
      <c r="CH21" s="58">
        <v>81.900000000000006</v>
      </c>
      <c r="CI21" s="58">
        <v>2.5680000000000001</v>
      </c>
      <c r="CJ21" s="58">
        <v>1.7080000000000002</v>
      </c>
      <c r="CK21" s="58">
        <v>31.859000000000002</v>
      </c>
      <c r="CL21" s="58">
        <v>2.0170000000000003</v>
      </c>
      <c r="CM21" s="58">
        <v>3.597</v>
      </c>
      <c r="CN21" s="58">
        <v>1.9659999999999993</v>
      </c>
      <c r="CO21" s="206"/>
    </row>
    <row r="22" spans="1:94" x14ac:dyDescent="0.35">
      <c r="A22" s="18"/>
      <c r="B22" s="10" t="str">
        <f>IF(Control!$D$5=1,"Write-off active right to use","Baixa ativo direito de uso")</f>
        <v>Baixa ativo direito de uso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58">
        <v>0</v>
      </c>
      <c r="V22" s="58">
        <v>0</v>
      </c>
      <c r="W22" s="58">
        <v>0</v>
      </c>
      <c r="X22" s="58">
        <v>0</v>
      </c>
      <c r="Y22" s="58">
        <v>0</v>
      </c>
      <c r="Z22" s="58">
        <v>0</v>
      </c>
      <c r="AA22" s="58">
        <v>0</v>
      </c>
      <c r="AB22" s="58">
        <v>0</v>
      </c>
      <c r="AC22" s="58">
        <v>0</v>
      </c>
      <c r="AD22" s="58">
        <v>0</v>
      </c>
      <c r="AE22" s="58">
        <v>0</v>
      </c>
      <c r="AF22" s="58">
        <v>0</v>
      </c>
      <c r="AG22" s="58">
        <v>0</v>
      </c>
      <c r="AH22" s="58">
        <v>0</v>
      </c>
      <c r="AI22" s="58">
        <v>0</v>
      </c>
      <c r="AJ22" s="58">
        <v>0</v>
      </c>
      <c r="AK22" s="58">
        <v>0</v>
      </c>
      <c r="AL22" s="58">
        <v>0</v>
      </c>
      <c r="AM22" s="58">
        <v>0</v>
      </c>
      <c r="AN22" s="58">
        <v>0</v>
      </c>
      <c r="AO22" s="58">
        <v>0</v>
      </c>
      <c r="AP22" s="58">
        <v>0</v>
      </c>
      <c r="AQ22" s="58">
        <v>0</v>
      </c>
      <c r="AR22" s="58">
        <v>0</v>
      </c>
      <c r="AS22" s="58">
        <v>0</v>
      </c>
      <c r="AT22" s="58">
        <v>0</v>
      </c>
      <c r="AU22" s="58">
        <v>0</v>
      </c>
      <c r="AV22" s="58">
        <v>0</v>
      </c>
      <c r="AW22" s="58">
        <v>0</v>
      </c>
      <c r="AX22" s="58">
        <v>0</v>
      </c>
      <c r="AY22" s="58">
        <v>0</v>
      </c>
      <c r="AZ22" s="58">
        <v>0</v>
      </c>
      <c r="BA22" s="58">
        <v>0</v>
      </c>
      <c r="BB22" s="58">
        <v>0</v>
      </c>
      <c r="BC22" s="58">
        <v>0</v>
      </c>
      <c r="BD22" s="58">
        <v>0</v>
      </c>
      <c r="BE22" s="58">
        <v>0</v>
      </c>
      <c r="BF22" s="58">
        <v>-1.7569999999999999</v>
      </c>
      <c r="BG22" s="58">
        <v>0.05</v>
      </c>
      <c r="BH22" s="58">
        <v>0</v>
      </c>
      <c r="BI22" s="58">
        <v>0</v>
      </c>
      <c r="BJ22" s="58">
        <v>-1.7000000000000001E-2</v>
      </c>
      <c r="BK22" s="58">
        <v>-0.151</v>
      </c>
      <c r="BL22" s="58">
        <v>2.637</v>
      </c>
      <c r="BM22" s="58">
        <v>0.67300000000000004</v>
      </c>
      <c r="BN22" s="58">
        <v>4.1210000000000004</v>
      </c>
      <c r="BO22" s="58">
        <v>-5.0330000000000013</v>
      </c>
      <c r="BP22" s="159">
        <v>1.4999999999999999E-2</v>
      </c>
      <c r="BQ22" s="71">
        <v>3.97</v>
      </c>
      <c r="BR22" s="71">
        <v>-4.1420000000000003</v>
      </c>
      <c r="BS22" s="71">
        <v>1.0000000000000037E-2</v>
      </c>
      <c r="BT22" s="71">
        <v>0</v>
      </c>
      <c r="BU22" s="71">
        <v>0</v>
      </c>
      <c r="BV22" s="223"/>
      <c r="BW22" s="58">
        <v>0</v>
      </c>
      <c r="BX22" s="58">
        <v>0</v>
      </c>
      <c r="BY22" s="58">
        <v>0</v>
      </c>
      <c r="BZ22" s="58">
        <v>0</v>
      </c>
      <c r="CA22" s="58">
        <v>0</v>
      </c>
      <c r="CB22" s="58">
        <v>0</v>
      </c>
      <c r="CC22" s="58">
        <v>0</v>
      </c>
      <c r="CD22" s="58">
        <v>0</v>
      </c>
      <c r="CE22" s="58">
        <v>0</v>
      </c>
      <c r="CF22" s="58">
        <v>0</v>
      </c>
      <c r="CG22" s="58">
        <v>0</v>
      </c>
      <c r="CH22" s="58">
        <v>0</v>
      </c>
      <c r="CI22" s="58">
        <v>0</v>
      </c>
      <c r="CJ22" s="58">
        <v>0</v>
      </c>
      <c r="CK22" s="58">
        <v>-1.7069999999999999</v>
      </c>
      <c r="CL22" s="58">
        <v>-1.8280000000000001</v>
      </c>
      <c r="CM22" s="58">
        <v>2.3980000000000001</v>
      </c>
      <c r="CN22" s="58">
        <v>-0.14699999999999999</v>
      </c>
      <c r="CO22" s="206"/>
    </row>
    <row r="23" spans="1:94" x14ac:dyDescent="0.35">
      <c r="A23" s="91"/>
      <c r="B23" s="10" t="str">
        <f>IF(Control!$D$5=1,"Shares Granted","Ações Outorgadas")</f>
        <v>Ações Outorgadas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58">
        <v>0</v>
      </c>
      <c r="V23" s="58">
        <v>0</v>
      </c>
      <c r="W23" s="58">
        <v>0</v>
      </c>
      <c r="X23" s="58">
        <v>0</v>
      </c>
      <c r="Y23" s="58">
        <v>0</v>
      </c>
      <c r="Z23" s="58">
        <v>0</v>
      </c>
      <c r="AA23" s="58">
        <v>0</v>
      </c>
      <c r="AB23" s="58">
        <v>0</v>
      </c>
      <c r="AC23" s="58">
        <v>0</v>
      </c>
      <c r="AD23" s="58">
        <v>0</v>
      </c>
      <c r="AE23" s="58">
        <v>0</v>
      </c>
      <c r="AF23" s="58">
        <v>0</v>
      </c>
      <c r="AG23" s="58">
        <v>0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  <c r="AO23" s="58">
        <v>0</v>
      </c>
      <c r="AP23" s="58">
        <v>0</v>
      </c>
      <c r="AQ23" s="58">
        <v>0.7</v>
      </c>
      <c r="AR23" s="58">
        <v>1</v>
      </c>
      <c r="AS23" s="58">
        <v>0.8</v>
      </c>
      <c r="AT23" s="58">
        <v>0.90000000000000013</v>
      </c>
      <c r="AU23" s="58">
        <v>0.8</v>
      </c>
      <c r="AV23" s="58">
        <v>0.2</v>
      </c>
      <c r="AW23" s="58">
        <v>1.1060000000000001</v>
      </c>
      <c r="AX23" s="58">
        <v>1.0909999999999997</v>
      </c>
      <c r="AY23" s="58">
        <v>0.79800000000000004</v>
      </c>
      <c r="AZ23" s="58">
        <v>1.74</v>
      </c>
      <c r="BA23" s="58">
        <v>1.7</v>
      </c>
      <c r="BB23" s="58">
        <v>1.6659999999999999</v>
      </c>
      <c r="BC23" s="58">
        <v>1.5</v>
      </c>
      <c r="BD23" s="58">
        <v>0.55200000000000005</v>
      </c>
      <c r="BE23" s="58">
        <v>2.101</v>
      </c>
      <c r="BF23" s="58">
        <v>2.3079999999999998</v>
      </c>
      <c r="BG23" s="58">
        <v>0.751</v>
      </c>
      <c r="BH23" s="58">
        <v>2.073</v>
      </c>
      <c r="BI23" s="58">
        <v>2.2970000000000002</v>
      </c>
      <c r="BJ23" s="58">
        <v>2.298</v>
      </c>
      <c r="BK23" s="58">
        <v>2.2970000000000002</v>
      </c>
      <c r="BL23" s="58">
        <v>-1.5509999999999999</v>
      </c>
      <c r="BM23" s="58">
        <v>2.246</v>
      </c>
      <c r="BN23" s="58">
        <v>2.2450000000000001</v>
      </c>
      <c r="BO23" s="58">
        <v>2.1759999999999993</v>
      </c>
      <c r="BP23" s="58">
        <v>-1.8919999999999999</v>
      </c>
      <c r="BQ23" s="71">
        <v>2.36</v>
      </c>
      <c r="BR23" s="71">
        <v>2.1389999999999998</v>
      </c>
      <c r="BS23" s="71">
        <v>2.14</v>
      </c>
      <c r="BT23" s="71">
        <v>-2.1480000000000001</v>
      </c>
      <c r="BU23" s="71">
        <v>1.3460000000000001</v>
      </c>
      <c r="BV23" s="223"/>
      <c r="BW23" s="58">
        <v>0</v>
      </c>
      <c r="BX23" s="58">
        <v>0</v>
      </c>
      <c r="BY23" s="58">
        <v>0</v>
      </c>
      <c r="BZ23" s="58">
        <v>0</v>
      </c>
      <c r="CA23" s="58">
        <v>0</v>
      </c>
      <c r="CB23" s="58">
        <v>0</v>
      </c>
      <c r="CC23" s="58">
        <v>0</v>
      </c>
      <c r="CD23" s="58">
        <v>0</v>
      </c>
      <c r="CE23" s="58">
        <v>0</v>
      </c>
      <c r="CF23" s="58">
        <v>0</v>
      </c>
      <c r="CG23" s="58">
        <v>0.7</v>
      </c>
      <c r="CH23" s="58">
        <v>3.5</v>
      </c>
      <c r="CI23" s="58">
        <v>3.1949999999999998</v>
      </c>
      <c r="CJ23" s="58">
        <v>6.6459999999999999</v>
      </c>
      <c r="CK23" s="58">
        <v>5.7119999999999997</v>
      </c>
      <c r="CL23" s="58">
        <v>8.9649999999999999</v>
      </c>
      <c r="CM23" s="58">
        <v>5.1159999999999997</v>
      </c>
      <c r="CN23" s="58">
        <v>4.7469999999999999</v>
      </c>
      <c r="CO23" s="206"/>
    </row>
    <row r="24" spans="1:94" x14ac:dyDescent="0.35">
      <c r="A24" s="6"/>
      <c r="B24" s="10" t="str">
        <f>IF(Control!$D$5=1,"Exchange gains on Cash and Equivalents","Variação Cambial Caixa e Equivalentes")</f>
        <v>Variação Cambial Caixa e Equivalentes</v>
      </c>
      <c r="C24" s="159">
        <v>0</v>
      </c>
      <c r="D24" s="159">
        <v>0</v>
      </c>
      <c r="E24" s="58">
        <v>0</v>
      </c>
      <c r="F24" s="58">
        <v>0</v>
      </c>
      <c r="G24" s="159">
        <v>0</v>
      </c>
      <c r="H24" s="159">
        <v>0</v>
      </c>
      <c r="I24" s="58">
        <v>0</v>
      </c>
      <c r="J24" s="58">
        <v>0</v>
      </c>
      <c r="K24" s="159">
        <v>0</v>
      </c>
      <c r="L24" s="159">
        <v>0</v>
      </c>
      <c r="M24" s="58">
        <v>0</v>
      </c>
      <c r="N24" s="58">
        <v>0</v>
      </c>
      <c r="O24" s="159">
        <v>0</v>
      </c>
      <c r="P24" s="159">
        <v>0</v>
      </c>
      <c r="Q24" s="58">
        <v>0</v>
      </c>
      <c r="R24" s="58">
        <v>0</v>
      </c>
      <c r="S24" s="58">
        <v>0</v>
      </c>
      <c r="T24" s="159">
        <v>0</v>
      </c>
      <c r="U24" s="58">
        <v>0</v>
      </c>
      <c r="V24" s="58">
        <v>0</v>
      </c>
      <c r="W24" s="58">
        <v>0</v>
      </c>
      <c r="X24" s="159">
        <v>0</v>
      </c>
      <c r="Y24" s="58">
        <v>0</v>
      </c>
      <c r="Z24" s="58">
        <v>0</v>
      </c>
      <c r="AA24" s="58">
        <v>0</v>
      </c>
      <c r="AB24" s="159">
        <v>0</v>
      </c>
      <c r="AC24" s="58">
        <v>0</v>
      </c>
      <c r="AD24" s="58">
        <v>0</v>
      </c>
      <c r="AE24" s="58">
        <v>0</v>
      </c>
      <c r="AF24" s="58">
        <v>0</v>
      </c>
      <c r="AG24" s="58">
        <v>0</v>
      </c>
      <c r="AH24" s="58">
        <v>0</v>
      </c>
      <c r="AI24" s="58">
        <v>0</v>
      </c>
      <c r="AJ24" s="58">
        <v>0</v>
      </c>
      <c r="AK24" s="58">
        <v>0</v>
      </c>
      <c r="AL24" s="58">
        <v>0</v>
      </c>
      <c r="AM24" s="58">
        <v>0</v>
      </c>
      <c r="AN24" s="58">
        <v>0</v>
      </c>
      <c r="AO24" s="58">
        <v>0</v>
      </c>
      <c r="AP24" s="58">
        <v>0</v>
      </c>
      <c r="AQ24" s="58">
        <v>0</v>
      </c>
      <c r="AR24" s="58">
        <v>0</v>
      </c>
      <c r="AS24" s="58">
        <v>0</v>
      </c>
      <c r="AT24" s="58">
        <v>0</v>
      </c>
      <c r="AU24" s="58">
        <v>0</v>
      </c>
      <c r="AV24" s="58">
        <v>0</v>
      </c>
      <c r="AW24" s="58">
        <v>0</v>
      </c>
      <c r="AX24" s="58">
        <v>0</v>
      </c>
      <c r="AY24" s="58">
        <v>0</v>
      </c>
      <c r="AZ24" s="58">
        <v>0</v>
      </c>
      <c r="BA24" s="58">
        <v>0</v>
      </c>
      <c r="BB24" s="58">
        <v>0</v>
      </c>
      <c r="BC24" s="58">
        <v>0</v>
      </c>
      <c r="BD24" s="58">
        <v>0</v>
      </c>
      <c r="BE24" s="58">
        <v>0</v>
      </c>
      <c r="BF24" s="58">
        <v>0</v>
      </c>
      <c r="BG24" s="58">
        <v>0</v>
      </c>
      <c r="BH24" s="58">
        <v>0</v>
      </c>
      <c r="BI24" s="58">
        <v>0</v>
      </c>
      <c r="BJ24" s="58">
        <v>0</v>
      </c>
      <c r="BK24" s="58">
        <v>0</v>
      </c>
      <c r="BL24" s="58">
        <v>0</v>
      </c>
      <c r="BM24" s="58">
        <v>0</v>
      </c>
      <c r="BN24" s="58">
        <v>0</v>
      </c>
      <c r="BO24" s="58">
        <v>0</v>
      </c>
      <c r="BP24" s="58">
        <v>0</v>
      </c>
      <c r="BQ24" s="71">
        <v>0</v>
      </c>
      <c r="BR24" s="71">
        <v>0</v>
      </c>
      <c r="BS24" s="71">
        <v>0</v>
      </c>
      <c r="BT24" s="71">
        <v>0</v>
      </c>
      <c r="BU24" s="71">
        <v>0</v>
      </c>
      <c r="BV24" s="223"/>
      <c r="BW24" s="58">
        <v>0</v>
      </c>
      <c r="BX24" s="58">
        <v>0</v>
      </c>
      <c r="BY24" s="58">
        <v>0</v>
      </c>
      <c r="BZ24" s="58">
        <v>0</v>
      </c>
      <c r="CA24" s="58">
        <v>0</v>
      </c>
      <c r="CB24" s="58">
        <v>0</v>
      </c>
      <c r="CC24" s="58">
        <v>0</v>
      </c>
      <c r="CD24" s="58">
        <v>0</v>
      </c>
      <c r="CE24" s="58">
        <v>0</v>
      </c>
      <c r="CF24" s="58">
        <v>0</v>
      </c>
      <c r="CG24" s="58">
        <v>0</v>
      </c>
      <c r="CH24" s="58">
        <v>0</v>
      </c>
      <c r="CI24" s="58">
        <v>0</v>
      </c>
      <c r="CJ24" s="58">
        <v>0</v>
      </c>
      <c r="CK24" s="58"/>
      <c r="CL24" s="58">
        <v>0</v>
      </c>
      <c r="CM24" s="58"/>
      <c r="CN24" s="58">
        <v>0</v>
      </c>
      <c r="CO24" s="206"/>
    </row>
    <row r="25" spans="1:94" x14ac:dyDescent="0.35">
      <c r="A25" s="6"/>
      <c r="B25" s="10" t="str">
        <f>IF(Control!$D$5=1,"Advantage in Aquisitions","Compra Vantajosa")</f>
        <v>Compra Vantajosa</v>
      </c>
      <c r="C25" s="159"/>
      <c r="D25" s="159"/>
      <c r="E25" s="58"/>
      <c r="F25" s="58"/>
      <c r="G25" s="159"/>
      <c r="H25" s="159"/>
      <c r="I25" s="58"/>
      <c r="J25" s="58"/>
      <c r="K25" s="159"/>
      <c r="L25" s="159"/>
      <c r="M25" s="58"/>
      <c r="N25" s="58"/>
      <c r="O25" s="159"/>
      <c r="P25" s="159"/>
      <c r="Q25" s="58"/>
      <c r="R25" s="58"/>
      <c r="S25" s="58"/>
      <c r="T25" s="159"/>
      <c r="U25" s="58"/>
      <c r="V25" s="58"/>
      <c r="W25" s="58"/>
      <c r="X25" s="159"/>
      <c r="Y25" s="58"/>
      <c r="Z25" s="58"/>
      <c r="AA25" s="58"/>
      <c r="AB25" s="159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>
        <v>-46.329000000000001</v>
      </c>
      <c r="BH25" s="58">
        <v>0</v>
      </c>
      <c r="BI25" s="58">
        <v>0</v>
      </c>
      <c r="BJ25" s="58">
        <v>-199.0397905665375</v>
      </c>
      <c r="BK25" s="58">
        <v>0.76</v>
      </c>
      <c r="BL25" s="58">
        <v>-18.056999999999999</v>
      </c>
      <c r="BM25" s="58">
        <v>0</v>
      </c>
      <c r="BN25" s="58">
        <v>0</v>
      </c>
      <c r="BO25" s="58">
        <v>0</v>
      </c>
      <c r="BP25" s="58">
        <v>0</v>
      </c>
      <c r="BQ25" s="71">
        <v>0</v>
      </c>
      <c r="BR25" s="71">
        <v>0</v>
      </c>
      <c r="BS25" s="71">
        <v>0</v>
      </c>
      <c r="BT25" s="71">
        <v>0</v>
      </c>
      <c r="BU25" s="71">
        <v>0</v>
      </c>
      <c r="BV25" s="223"/>
      <c r="BW25" s="58">
        <v>0</v>
      </c>
      <c r="BX25" s="58">
        <v>0</v>
      </c>
      <c r="BY25" s="58">
        <v>0</v>
      </c>
      <c r="BZ25" s="58">
        <v>0</v>
      </c>
      <c r="CA25" s="58">
        <v>0</v>
      </c>
      <c r="CB25" s="58">
        <v>0</v>
      </c>
      <c r="CC25" s="58">
        <v>0</v>
      </c>
      <c r="CD25" s="58">
        <v>0</v>
      </c>
      <c r="CE25" s="58">
        <v>0</v>
      </c>
      <c r="CF25" s="58">
        <v>0</v>
      </c>
      <c r="CG25" s="58">
        <v>0</v>
      </c>
      <c r="CH25" s="58">
        <v>0</v>
      </c>
      <c r="CI25" s="58">
        <v>0</v>
      </c>
      <c r="CJ25" s="58">
        <v>0</v>
      </c>
      <c r="CK25" s="58">
        <v>-46.329000000000001</v>
      </c>
      <c r="CL25" s="58">
        <v>-198.27979056653751</v>
      </c>
      <c r="CM25" s="58">
        <v>-18.056999999999999</v>
      </c>
      <c r="CN25" s="58">
        <v>0</v>
      </c>
      <c r="CO25" s="206"/>
    </row>
    <row r="26" spans="1:94" x14ac:dyDescent="0.35">
      <c r="A26" s="91"/>
      <c r="B26" s="10" t="str">
        <f>IF(Control!$D$5=1,"Deferred Taxes","Impostos Diferidos")</f>
        <v>Impostos Diferidos</v>
      </c>
      <c r="C26" s="159">
        <v>0</v>
      </c>
      <c r="D26" s="159">
        <v>0</v>
      </c>
      <c r="E26" s="58">
        <v>0</v>
      </c>
      <c r="F26" s="58">
        <v>0</v>
      </c>
      <c r="G26" s="159">
        <v>0</v>
      </c>
      <c r="H26" s="159">
        <v>0</v>
      </c>
      <c r="I26" s="58">
        <v>0</v>
      </c>
      <c r="J26" s="58">
        <v>0.29999999999999982</v>
      </c>
      <c r="K26" s="159">
        <v>-0.29999999999999982</v>
      </c>
      <c r="L26" s="159">
        <v>-0.58499999999999996</v>
      </c>
      <c r="M26" s="58">
        <v>0.58499999999999996</v>
      </c>
      <c r="N26" s="58">
        <v>0</v>
      </c>
      <c r="O26" s="159">
        <v>0</v>
      </c>
      <c r="P26" s="159">
        <v>27.904</v>
      </c>
      <c r="Q26" s="58">
        <v>-27.904</v>
      </c>
      <c r="R26" s="58">
        <v>19.706</v>
      </c>
      <c r="S26" s="58">
        <v>-16.802</v>
      </c>
      <c r="T26" s="159">
        <v>0</v>
      </c>
      <c r="U26" s="58">
        <v>0</v>
      </c>
      <c r="V26" s="58">
        <v>0</v>
      </c>
      <c r="W26" s="58">
        <v>0</v>
      </c>
      <c r="X26" s="159">
        <v>0</v>
      </c>
      <c r="Y26" s="58">
        <v>0</v>
      </c>
      <c r="Z26" s="58">
        <v>0</v>
      </c>
      <c r="AA26" s="58">
        <v>0</v>
      </c>
      <c r="AB26" s="159">
        <v>0</v>
      </c>
      <c r="AC26" s="58">
        <v>0</v>
      </c>
      <c r="AD26" s="58">
        <v>0</v>
      </c>
      <c r="AE26" s="58">
        <v>0</v>
      </c>
      <c r="AF26" s="58">
        <v>0</v>
      </c>
      <c r="AG26" s="58">
        <v>0</v>
      </c>
      <c r="AH26" s="58">
        <v>0</v>
      </c>
      <c r="AI26" s="58">
        <v>0</v>
      </c>
      <c r="AJ26" s="58">
        <v>0</v>
      </c>
      <c r="AK26" s="58">
        <v>0</v>
      </c>
      <c r="AL26" s="58">
        <v>0</v>
      </c>
      <c r="AM26" s="58">
        <v>0</v>
      </c>
      <c r="AN26" s="58">
        <v>0</v>
      </c>
      <c r="AO26" s="58">
        <v>0</v>
      </c>
      <c r="AP26" s="58">
        <v>0</v>
      </c>
      <c r="AQ26" s="58">
        <v>0</v>
      </c>
      <c r="AR26" s="58">
        <v>0</v>
      </c>
      <c r="AS26" s="58">
        <v>0</v>
      </c>
      <c r="AT26" s="58">
        <v>0</v>
      </c>
      <c r="AU26" s="58">
        <v>0</v>
      </c>
      <c r="AV26" s="58">
        <v>0</v>
      </c>
      <c r="AW26" s="58">
        <v>0</v>
      </c>
      <c r="AX26" s="58">
        <v>0</v>
      </c>
      <c r="AY26" s="58">
        <v>0</v>
      </c>
      <c r="AZ26" s="58">
        <v>0</v>
      </c>
      <c r="BA26" s="58">
        <v>0</v>
      </c>
      <c r="BB26" s="58">
        <v>0</v>
      </c>
      <c r="BC26" s="58">
        <v>0</v>
      </c>
      <c r="BD26" s="58">
        <v>0</v>
      </c>
      <c r="BE26" s="58">
        <v>0</v>
      </c>
      <c r="BF26" s="58">
        <v>0</v>
      </c>
      <c r="BG26" s="58">
        <v>0</v>
      </c>
      <c r="BH26" s="199">
        <v>0</v>
      </c>
      <c r="BI26" s="199">
        <v>0</v>
      </c>
      <c r="BJ26" s="58">
        <v>0</v>
      </c>
      <c r="BK26" s="58">
        <v>0</v>
      </c>
      <c r="BL26" s="199">
        <v>0</v>
      </c>
      <c r="BM26" s="199">
        <v>0</v>
      </c>
      <c r="BN26" s="199">
        <v>0</v>
      </c>
      <c r="BO26" s="199">
        <v>0</v>
      </c>
      <c r="BP26" s="199">
        <v>0</v>
      </c>
      <c r="BQ26" s="71">
        <v>0</v>
      </c>
      <c r="BR26" s="71">
        <v>0</v>
      </c>
      <c r="BS26" s="71">
        <v>0</v>
      </c>
      <c r="BT26" s="71">
        <v>0</v>
      </c>
      <c r="BU26" s="71">
        <v>0</v>
      </c>
      <c r="BV26" s="198"/>
      <c r="BW26" s="58">
        <v>0</v>
      </c>
      <c r="BX26" s="58">
        <v>0</v>
      </c>
      <c r="BY26" s="58">
        <v>0</v>
      </c>
      <c r="BZ26" s="58">
        <v>0</v>
      </c>
      <c r="CA26" s="58">
        <v>2.9039999999999999</v>
      </c>
      <c r="CB26" s="58">
        <v>0</v>
      </c>
      <c r="CC26" s="58">
        <v>0</v>
      </c>
      <c r="CD26" s="58">
        <v>0</v>
      </c>
      <c r="CE26" s="58">
        <v>0</v>
      </c>
      <c r="CF26" s="58">
        <v>0</v>
      </c>
      <c r="CG26" s="58">
        <v>0</v>
      </c>
      <c r="CH26" s="58">
        <v>0</v>
      </c>
      <c r="CI26" s="58">
        <v>0</v>
      </c>
      <c r="CJ26" s="58">
        <v>0</v>
      </c>
      <c r="CK26" s="58">
        <v>0</v>
      </c>
      <c r="CL26" s="58">
        <v>0</v>
      </c>
      <c r="CM26" s="58">
        <v>0</v>
      </c>
      <c r="CN26" s="58">
        <v>0</v>
      </c>
      <c r="CO26" s="206"/>
    </row>
    <row r="27" spans="1:94" x14ac:dyDescent="0.35">
      <c r="A27" s="91"/>
      <c r="B27" s="10" t="str">
        <f>IF(Control!$D$5=1,"Provision for Actuarial Liabilities","Provisão para Passivo Atuarial")</f>
        <v>Provisão para Passivo Atuarial</v>
      </c>
      <c r="C27" s="159"/>
      <c r="D27" s="159"/>
      <c r="E27" s="58"/>
      <c r="F27" s="58"/>
      <c r="G27" s="159"/>
      <c r="H27" s="159"/>
      <c r="I27" s="58"/>
      <c r="J27" s="58"/>
      <c r="K27" s="159"/>
      <c r="L27" s="159"/>
      <c r="M27" s="58"/>
      <c r="N27" s="58"/>
      <c r="O27" s="159"/>
      <c r="P27" s="159"/>
      <c r="Q27" s="58"/>
      <c r="R27" s="58"/>
      <c r="S27" s="58"/>
      <c r="T27" s="159"/>
      <c r="U27" s="58"/>
      <c r="V27" s="58"/>
      <c r="W27" s="58"/>
      <c r="X27" s="159"/>
      <c r="Y27" s="58"/>
      <c r="Z27" s="58"/>
      <c r="AA27" s="58"/>
      <c r="AB27" s="159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199"/>
      <c r="BI27" s="199"/>
      <c r="BJ27" s="58"/>
      <c r="BK27" s="58"/>
      <c r="BL27" s="199"/>
      <c r="BM27" s="199"/>
      <c r="BN27" s="199"/>
      <c r="BO27" s="199">
        <v>3.7280000000000002</v>
      </c>
      <c r="BP27" s="199">
        <v>0</v>
      </c>
      <c r="BQ27" s="71">
        <v>0</v>
      </c>
      <c r="BR27" s="71">
        <v>0</v>
      </c>
      <c r="BS27" s="71">
        <v>0</v>
      </c>
      <c r="BT27" s="71">
        <v>0</v>
      </c>
      <c r="BU27" s="71">
        <v>0</v>
      </c>
      <c r="BV27" s="198"/>
      <c r="BW27" s="58">
        <v>0</v>
      </c>
      <c r="BX27" s="58">
        <v>0</v>
      </c>
      <c r="BY27" s="58">
        <v>0</v>
      </c>
      <c r="BZ27" s="58">
        <v>0</v>
      </c>
      <c r="CA27" s="58">
        <v>0</v>
      </c>
      <c r="CB27" s="58">
        <v>0</v>
      </c>
      <c r="CC27" s="58">
        <v>0</v>
      </c>
      <c r="CD27" s="58">
        <v>0</v>
      </c>
      <c r="CE27" s="58">
        <v>0</v>
      </c>
      <c r="CF27" s="58">
        <v>0</v>
      </c>
      <c r="CG27" s="58">
        <v>0</v>
      </c>
      <c r="CH27" s="58">
        <v>0</v>
      </c>
      <c r="CI27" s="58">
        <v>0</v>
      </c>
      <c r="CJ27" s="58">
        <v>0</v>
      </c>
      <c r="CK27" s="58">
        <v>0</v>
      </c>
      <c r="CL27" s="58">
        <v>0</v>
      </c>
      <c r="CM27" s="58">
        <v>3.7280000000000002</v>
      </c>
      <c r="CN27" s="58">
        <v>0</v>
      </c>
      <c r="CO27" s="206"/>
    </row>
    <row r="28" spans="1:94" s="6" customFormat="1" x14ac:dyDescent="0.35">
      <c r="B28" s="179" t="str">
        <f>IF(Control!$D$5=1,"Funds From Operations","Recursos de Operações")</f>
        <v>Recursos de Operações</v>
      </c>
      <c r="C28" s="180">
        <f t="shared" ref="C28:AH28" si="0">SUM(C9:C27)</f>
        <v>0</v>
      </c>
      <c r="D28" s="180">
        <f t="shared" si="0"/>
        <v>46.031999999999996</v>
      </c>
      <c r="E28" s="180">
        <f t="shared" si="0"/>
        <v>52.594000000000001</v>
      </c>
      <c r="F28" s="180">
        <f t="shared" si="0"/>
        <v>3.774</v>
      </c>
      <c r="G28" s="180">
        <f t="shared" si="0"/>
        <v>59.144999999999989</v>
      </c>
      <c r="H28" s="180">
        <f t="shared" si="0"/>
        <v>40.195999999999998</v>
      </c>
      <c r="I28" s="180">
        <f t="shared" si="0"/>
        <v>27.913</v>
      </c>
      <c r="J28" s="180">
        <f t="shared" si="0"/>
        <v>44.490999999999993</v>
      </c>
      <c r="K28" s="180">
        <f t="shared" si="0"/>
        <v>34.668999999999997</v>
      </c>
      <c r="L28" s="180">
        <f t="shared" si="0"/>
        <v>54.845999999999997</v>
      </c>
      <c r="M28" s="180">
        <f t="shared" si="0"/>
        <v>6.1880000000000024</v>
      </c>
      <c r="N28" s="180">
        <f t="shared" si="0"/>
        <v>70.879000000000005</v>
      </c>
      <c r="O28" s="180">
        <f t="shared" si="0"/>
        <v>37.846000000000004</v>
      </c>
      <c r="P28" s="180">
        <f t="shared" si="0"/>
        <v>91.203999999999994</v>
      </c>
      <c r="Q28" s="180">
        <f t="shared" si="0"/>
        <v>37.396000000000001</v>
      </c>
      <c r="R28" s="180">
        <f t="shared" si="0"/>
        <v>67.298999999999992</v>
      </c>
      <c r="S28" s="180">
        <f t="shared" si="0"/>
        <v>34.230000000000004</v>
      </c>
      <c r="T28" s="180">
        <f t="shared" si="0"/>
        <v>67.915999999999997</v>
      </c>
      <c r="U28" s="180">
        <f t="shared" si="0"/>
        <v>84.779000000000011</v>
      </c>
      <c r="V28" s="180">
        <f t="shared" si="0"/>
        <v>96.805999999999997</v>
      </c>
      <c r="W28" s="180">
        <f t="shared" si="0"/>
        <v>97.125</v>
      </c>
      <c r="X28" s="180">
        <f t="shared" si="0"/>
        <v>114.712</v>
      </c>
      <c r="Y28" s="180">
        <f t="shared" si="0"/>
        <v>93.48099999999998</v>
      </c>
      <c r="Z28" s="180">
        <f t="shared" si="0"/>
        <v>68.885999999999996</v>
      </c>
      <c r="AA28" s="180">
        <f t="shared" si="0"/>
        <v>103.93900000000001</v>
      </c>
      <c r="AB28" s="180">
        <f t="shared" si="0"/>
        <v>114.89999999999999</v>
      </c>
      <c r="AC28" s="180">
        <f t="shared" si="0"/>
        <v>102.63600000000002</v>
      </c>
      <c r="AD28" s="180">
        <f t="shared" si="0"/>
        <v>102.57799999999999</v>
      </c>
      <c r="AE28" s="180">
        <f t="shared" si="0"/>
        <v>68.708999999999975</v>
      </c>
      <c r="AF28" s="180">
        <f t="shared" si="0"/>
        <v>116.82200000000002</v>
      </c>
      <c r="AG28" s="180">
        <f t="shared" si="0"/>
        <v>117.878</v>
      </c>
      <c r="AH28" s="180">
        <f t="shared" si="0"/>
        <v>125.5</v>
      </c>
      <c r="AI28" s="180">
        <f t="shared" ref="AI28:BN28" si="1">SUM(AI9:AI27)</f>
        <v>128.29999999999995</v>
      </c>
      <c r="AJ28" s="180">
        <f t="shared" si="1"/>
        <v>147.60999999999999</v>
      </c>
      <c r="AK28" s="180">
        <f t="shared" si="1"/>
        <v>170.36099999999999</v>
      </c>
      <c r="AL28" s="180">
        <f t="shared" si="1"/>
        <v>169.87300000000002</v>
      </c>
      <c r="AM28" s="180">
        <f t="shared" si="1"/>
        <v>91.756</v>
      </c>
      <c r="AN28" s="180">
        <f t="shared" si="1"/>
        <v>157.113</v>
      </c>
      <c r="AO28" s="180">
        <f t="shared" si="1"/>
        <v>107.48699999999999</v>
      </c>
      <c r="AP28" s="180">
        <f t="shared" si="1"/>
        <v>140.70000000000002</v>
      </c>
      <c r="AQ28" s="180">
        <f t="shared" si="1"/>
        <v>124.6</v>
      </c>
      <c r="AR28" s="180">
        <f t="shared" si="1"/>
        <v>86</v>
      </c>
      <c r="AS28" s="180">
        <f t="shared" si="1"/>
        <v>157.89999999999998</v>
      </c>
      <c r="AT28" s="180">
        <f t="shared" si="1"/>
        <v>234.7</v>
      </c>
      <c r="AU28" s="180">
        <f t="shared" si="1"/>
        <v>164.50000000000003</v>
      </c>
      <c r="AV28" s="180">
        <f t="shared" si="1"/>
        <v>125.6</v>
      </c>
      <c r="AW28" s="180">
        <f t="shared" si="1"/>
        <v>86.567999999999998</v>
      </c>
      <c r="AX28" s="180">
        <f t="shared" si="1"/>
        <v>152.26799999999957</v>
      </c>
      <c r="AY28" s="180">
        <f t="shared" si="1"/>
        <v>143.48400000000004</v>
      </c>
      <c r="AZ28" s="180">
        <f t="shared" si="1"/>
        <v>222.64800000000005</v>
      </c>
      <c r="BA28" s="180">
        <f t="shared" si="1"/>
        <v>222.029</v>
      </c>
      <c r="BB28" s="180">
        <f t="shared" si="1"/>
        <v>237.91800000000001</v>
      </c>
      <c r="BC28" s="180">
        <f t="shared" si="1"/>
        <v>153.22999999999996</v>
      </c>
      <c r="BD28" s="180">
        <f t="shared" si="1"/>
        <v>211.50699999999995</v>
      </c>
      <c r="BE28" s="180">
        <f t="shared" si="1"/>
        <v>208.62800000000004</v>
      </c>
      <c r="BF28" s="180">
        <f t="shared" si="1"/>
        <v>234.21060602000003</v>
      </c>
      <c r="BG28" s="180">
        <f t="shared" si="1"/>
        <v>229.91186531999995</v>
      </c>
      <c r="BH28" s="180">
        <f t="shared" si="1"/>
        <v>260.23699999999997</v>
      </c>
      <c r="BI28" s="180">
        <f t="shared" si="1"/>
        <v>259.22100000000006</v>
      </c>
      <c r="BJ28" s="180">
        <f t="shared" si="1"/>
        <v>226.34348188346254</v>
      </c>
      <c r="BK28" s="180">
        <f t="shared" si="1"/>
        <v>160.68199999999999</v>
      </c>
      <c r="BL28" s="180">
        <f t="shared" si="1"/>
        <v>198.429</v>
      </c>
      <c r="BM28" s="180">
        <f t="shared" si="1"/>
        <v>277.55400000000003</v>
      </c>
      <c r="BN28" s="180">
        <f t="shared" si="1"/>
        <v>246.47399999999999</v>
      </c>
      <c r="BO28" s="180">
        <f t="shared" ref="BO28:BU28" si="2">SUM(BO9:BO27)</f>
        <v>257.66699999999992</v>
      </c>
      <c r="BP28" s="180">
        <f t="shared" si="2"/>
        <v>392.024</v>
      </c>
      <c r="BQ28" s="180">
        <f t="shared" si="2"/>
        <v>473.28100000000001</v>
      </c>
      <c r="BR28" s="180">
        <f t="shared" si="2"/>
        <v>140.82500000000002</v>
      </c>
      <c r="BS28" s="180">
        <f t="shared" si="2"/>
        <v>157.15100000000001</v>
      </c>
      <c r="BT28" s="180">
        <f t="shared" si="2"/>
        <v>323.404</v>
      </c>
      <c r="BU28" s="180">
        <f t="shared" si="2"/>
        <v>254.239</v>
      </c>
      <c r="BV28" s="223"/>
      <c r="BW28" s="180">
        <f t="shared" ref="BW28:CN28" si="3">SUM(BW9:BW27)</f>
        <v>92.809999999999988</v>
      </c>
      <c r="BX28" s="180">
        <f t="shared" si="3"/>
        <v>161.54500000000002</v>
      </c>
      <c r="BY28" s="180">
        <f t="shared" si="3"/>
        <v>147.27799999999999</v>
      </c>
      <c r="BZ28" s="180">
        <f t="shared" si="3"/>
        <v>169.75900000000001</v>
      </c>
      <c r="CA28" s="180">
        <f t="shared" si="3"/>
        <v>230.12899999999999</v>
      </c>
      <c r="CB28" s="180">
        <f t="shared" si="3"/>
        <v>346.62599999999998</v>
      </c>
      <c r="CC28" s="180">
        <f t="shared" si="3"/>
        <v>381.01799999999997</v>
      </c>
      <c r="CD28" s="180">
        <f t="shared" si="3"/>
        <v>388.82299999999998</v>
      </c>
      <c r="CE28" s="180">
        <f t="shared" si="3"/>
        <v>488.49999999999994</v>
      </c>
      <c r="CF28" s="180">
        <f t="shared" si="3"/>
        <v>579.6</v>
      </c>
      <c r="CG28" s="180">
        <f t="shared" si="3"/>
        <v>529.9</v>
      </c>
      <c r="CH28" s="180">
        <f t="shared" si="3"/>
        <v>644.07699999999988</v>
      </c>
      <c r="CI28" s="180">
        <f t="shared" si="3"/>
        <v>507.59199999999993</v>
      </c>
      <c r="CJ28" s="180">
        <f t="shared" si="3"/>
        <v>835.73900000000003</v>
      </c>
      <c r="CK28" s="180">
        <f t="shared" si="3"/>
        <v>884.19899999999996</v>
      </c>
      <c r="CL28" s="180">
        <f t="shared" si="3"/>
        <v>906.39320943346252</v>
      </c>
      <c r="CM28" s="180">
        <f t="shared" si="3"/>
        <v>980.12400000000002</v>
      </c>
      <c r="CN28" s="180">
        <f t="shared" si="3"/>
        <v>1163.2809999999999</v>
      </c>
      <c r="CO28" s="206"/>
      <c r="CP28" s="5"/>
    </row>
    <row r="29" spans="1:94" s="6" customFormat="1" ht="6.75" customHeight="1" x14ac:dyDescent="0.35">
      <c r="A29" s="18"/>
      <c r="B29" s="28"/>
      <c r="C29" s="104"/>
      <c r="D29" s="104"/>
      <c r="E29" s="181"/>
      <c r="F29" s="181"/>
      <c r="G29" s="181"/>
      <c r="H29" s="104"/>
      <c r="I29" s="181"/>
      <c r="J29" s="181"/>
      <c r="K29" s="181"/>
      <c r="L29" s="104"/>
      <c r="M29" s="181"/>
      <c r="N29" s="181"/>
      <c r="O29" s="181"/>
      <c r="P29" s="104"/>
      <c r="Q29" s="181"/>
      <c r="R29" s="181"/>
      <c r="S29" s="181"/>
      <c r="T29" s="104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04"/>
      <c r="AN29" s="181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81"/>
      <c r="BM29" s="181"/>
      <c r="BN29" s="181"/>
      <c r="BO29" s="181"/>
      <c r="BP29" s="181"/>
      <c r="BQ29" s="181"/>
      <c r="BR29" s="181"/>
      <c r="BS29" s="181"/>
      <c r="BT29" s="181"/>
      <c r="BU29" s="181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206"/>
    </row>
    <row r="30" spans="1:94" s="6" customFormat="1" x14ac:dyDescent="0.35">
      <c r="A30" s="18"/>
      <c r="B30" s="45" t="str">
        <f>IF(Control!$D$5=1,"(Inc.) / Dec. In:","(Aum.) / Dim. Em:")</f>
        <v>(Aum.) / Dim. Em:</v>
      </c>
      <c r="C30" s="59"/>
      <c r="D30" s="59"/>
      <c r="E30" s="181"/>
      <c r="F30" s="181"/>
      <c r="G30" s="181"/>
      <c r="H30" s="59"/>
      <c r="I30" s="181"/>
      <c r="J30" s="181"/>
      <c r="K30" s="181"/>
      <c r="L30" s="182"/>
      <c r="M30" s="181"/>
      <c r="N30" s="181"/>
      <c r="O30" s="181"/>
      <c r="P30" s="59"/>
      <c r="Q30" s="181"/>
      <c r="R30" s="181"/>
      <c r="S30" s="181"/>
      <c r="T30" s="59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59"/>
      <c r="AN30" s="181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206"/>
    </row>
    <row r="31" spans="1:94" x14ac:dyDescent="0.35">
      <c r="A31" s="18"/>
      <c r="B31" s="28" t="str">
        <f>IF(Control!$D$5=1,"Current Assets","Ativo Circulante")</f>
        <v>Ativo Circulante</v>
      </c>
      <c r="C31" s="181">
        <f t="shared" ref="C31:AH31" si="4">SUM(C32:C37)</f>
        <v>0</v>
      </c>
      <c r="D31" s="181">
        <f t="shared" si="4"/>
        <v>-357.17500000000001</v>
      </c>
      <c r="E31" s="181">
        <f t="shared" si="4"/>
        <v>83.305000000000007</v>
      </c>
      <c r="F31" s="181">
        <f t="shared" si="4"/>
        <v>-17.129999999999988</v>
      </c>
      <c r="G31" s="181">
        <f t="shared" si="4"/>
        <v>70.173000000000002</v>
      </c>
      <c r="H31" s="181">
        <f t="shared" si="4"/>
        <v>-120.03999999999998</v>
      </c>
      <c r="I31" s="181">
        <f t="shared" si="4"/>
        <v>82.762999999999977</v>
      </c>
      <c r="J31" s="181">
        <f t="shared" si="4"/>
        <v>84.87700000000001</v>
      </c>
      <c r="K31" s="181">
        <f t="shared" si="4"/>
        <v>-4.1859999999999999</v>
      </c>
      <c r="L31" s="181">
        <f t="shared" si="4"/>
        <v>-255.47399999999999</v>
      </c>
      <c r="M31" s="181">
        <f t="shared" si="4"/>
        <v>120.41699999999997</v>
      </c>
      <c r="N31" s="181">
        <f t="shared" si="4"/>
        <v>56.864999999999981</v>
      </c>
      <c r="O31" s="181">
        <f t="shared" si="4"/>
        <v>82.376000000000005</v>
      </c>
      <c r="P31" s="181">
        <f t="shared" si="4"/>
        <v>-362.226</v>
      </c>
      <c r="Q31" s="181">
        <f t="shared" si="4"/>
        <v>64.646000000000029</v>
      </c>
      <c r="R31" s="181">
        <f t="shared" si="4"/>
        <v>-1.5100000000000051</v>
      </c>
      <c r="S31" s="181">
        <f t="shared" si="4"/>
        <v>-44.632999999999996</v>
      </c>
      <c r="T31" s="181">
        <f t="shared" si="4"/>
        <v>-393.58600000000001</v>
      </c>
      <c r="U31" s="181">
        <f t="shared" si="4"/>
        <v>57.343000000000011</v>
      </c>
      <c r="V31" s="181">
        <f t="shared" si="4"/>
        <v>75.466999999999999</v>
      </c>
      <c r="W31" s="181">
        <f t="shared" si="4"/>
        <v>88.818999999999988</v>
      </c>
      <c r="X31" s="181">
        <f t="shared" si="4"/>
        <v>-370.07700000000006</v>
      </c>
      <c r="Y31" s="181">
        <f t="shared" si="4"/>
        <v>-15.471000000000011</v>
      </c>
      <c r="Z31" s="181">
        <f t="shared" si="4"/>
        <v>43.203000000000031</v>
      </c>
      <c r="AA31" s="181">
        <f t="shared" si="4"/>
        <v>139.76</v>
      </c>
      <c r="AB31" s="181">
        <f t="shared" si="4"/>
        <v>-407.79999999999995</v>
      </c>
      <c r="AC31" s="181">
        <f t="shared" si="4"/>
        <v>168.89100000000002</v>
      </c>
      <c r="AD31" s="181">
        <f t="shared" si="4"/>
        <v>13.049999999999997</v>
      </c>
      <c r="AE31" s="181">
        <f t="shared" si="4"/>
        <v>243.62800000000001</v>
      </c>
      <c r="AF31" s="181">
        <f t="shared" si="4"/>
        <v>-494.12400000000008</v>
      </c>
      <c r="AG31" s="181">
        <f t="shared" si="4"/>
        <v>168.12400000000002</v>
      </c>
      <c r="AH31" s="181">
        <f t="shared" si="4"/>
        <v>-112.70000000000002</v>
      </c>
      <c r="AI31" s="181">
        <f t="shared" ref="AI31:BN31" si="5">SUM(AI32:AI37)</f>
        <v>227.2</v>
      </c>
      <c r="AJ31" s="181">
        <f t="shared" si="5"/>
        <v>-550.00400000000002</v>
      </c>
      <c r="AK31" s="181">
        <f t="shared" si="5"/>
        <v>-10.03799999999999</v>
      </c>
      <c r="AL31" s="181">
        <f t="shared" si="5"/>
        <v>90.088000000000022</v>
      </c>
      <c r="AM31" s="181">
        <f t="shared" si="5"/>
        <v>117.75399999999996</v>
      </c>
      <c r="AN31" s="181">
        <f t="shared" si="5"/>
        <v>-394.92</v>
      </c>
      <c r="AO31" s="181">
        <f t="shared" si="5"/>
        <v>250.01499999999999</v>
      </c>
      <c r="AP31" s="181">
        <f t="shared" si="5"/>
        <v>151.83226433999999</v>
      </c>
      <c r="AQ31" s="181">
        <f t="shared" si="5"/>
        <v>192.47273566000004</v>
      </c>
      <c r="AR31" s="181">
        <f t="shared" si="5"/>
        <v>-445.2</v>
      </c>
      <c r="AS31" s="181">
        <f t="shared" si="5"/>
        <v>57.200000000000024</v>
      </c>
      <c r="AT31" s="181">
        <f t="shared" si="5"/>
        <v>-227.4</v>
      </c>
      <c r="AU31" s="181">
        <f t="shared" si="5"/>
        <v>-40.200000000000017</v>
      </c>
      <c r="AV31" s="181">
        <f t="shared" si="5"/>
        <v>-510.4</v>
      </c>
      <c r="AW31" s="181">
        <f t="shared" si="5"/>
        <v>237.11100000000002</v>
      </c>
      <c r="AX31" s="181">
        <f t="shared" si="5"/>
        <v>-180.18500000000003</v>
      </c>
      <c r="AY31" s="181">
        <f t="shared" si="5"/>
        <v>516.19000000000005</v>
      </c>
      <c r="AZ31" s="181">
        <f t="shared" si="5"/>
        <v>-967.25300000000016</v>
      </c>
      <c r="BA31" s="181">
        <f t="shared" si="5"/>
        <v>166.14699999999999</v>
      </c>
      <c r="BB31" s="181">
        <f t="shared" si="5"/>
        <v>-18.391999999999999</v>
      </c>
      <c r="BC31" s="181">
        <f t="shared" si="5"/>
        <v>473.06799999999998</v>
      </c>
      <c r="BD31" s="181">
        <f t="shared" si="5"/>
        <v>-1006.097</v>
      </c>
      <c r="BE31" s="181">
        <f t="shared" si="5"/>
        <v>549.98700000000008</v>
      </c>
      <c r="BF31" s="181">
        <f t="shared" si="5"/>
        <v>-200.11100000000002</v>
      </c>
      <c r="BG31" s="181">
        <f t="shared" si="5"/>
        <v>192.89100000000002</v>
      </c>
      <c r="BH31" s="181">
        <f t="shared" si="5"/>
        <v>-995.0147358527729</v>
      </c>
      <c r="BI31" s="181">
        <f t="shared" si="5"/>
        <v>458.34425822610001</v>
      </c>
      <c r="BJ31" s="181">
        <f t="shared" si="5"/>
        <v>-219.7486740395934</v>
      </c>
      <c r="BK31" s="181">
        <f t="shared" si="5"/>
        <v>184.476</v>
      </c>
      <c r="BL31" s="181">
        <f t="shared" si="5"/>
        <v>-998.15600000000006</v>
      </c>
      <c r="BM31" s="181">
        <f t="shared" si="5"/>
        <v>517.73400000000004</v>
      </c>
      <c r="BN31" s="181">
        <f t="shared" si="5"/>
        <v>-369.505</v>
      </c>
      <c r="BO31" s="181">
        <f t="shared" ref="BO31:BU31" si="6">SUM(BO32:BO37)</f>
        <v>1144.4580000000001</v>
      </c>
      <c r="BP31" s="181">
        <f t="shared" si="6"/>
        <v>-1669.3739999999998</v>
      </c>
      <c r="BQ31" s="181">
        <f t="shared" si="6"/>
        <v>429.43099999999998</v>
      </c>
      <c r="BR31" s="181">
        <f t="shared" si="6"/>
        <v>-184.12</v>
      </c>
      <c r="BS31" s="181">
        <f t="shared" si="6"/>
        <v>1508.9829999999999</v>
      </c>
      <c r="BT31" s="181">
        <f t="shared" si="6"/>
        <v>-1937.8330000000001</v>
      </c>
      <c r="BU31" s="181">
        <f t="shared" si="6"/>
        <v>1051.0929999999998</v>
      </c>
      <c r="BV31" s="223"/>
      <c r="BW31" s="181">
        <f t="shared" ref="BW31:CL31" si="7">SUM(BW32:BW37)</f>
        <v>5.2020000000000017</v>
      </c>
      <c r="BX31" s="181">
        <f t="shared" si="7"/>
        <v>-220.827</v>
      </c>
      <c r="BY31" s="181">
        <f t="shared" si="7"/>
        <v>43.414000000000001</v>
      </c>
      <c r="BZ31" s="181">
        <f t="shared" si="7"/>
        <v>4.1840000000000002</v>
      </c>
      <c r="CA31" s="181">
        <f t="shared" si="7"/>
        <v>-343.72300000000001</v>
      </c>
      <c r="CB31" s="181">
        <f t="shared" si="7"/>
        <v>-171.95699999999999</v>
      </c>
      <c r="CC31" s="181">
        <f t="shared" si="7"/>
        <v>-202.58500000000001</v>
      </c>
      <c r="CD31" s="181">
        <f t="shared" si="7"/>
        <v>17.769000000000005</v>
      </c>
      <c r="CE31" s="181">
        <f t="shared" si="7"/>
        <v>-211.5</v>
      </c>
      <c r="CF31" s="181">
        <f t="shared" si="7"/>
        <v>-352.20000000000005</v>
      </c>
      <c r="CG31" s="181">
        <f t="shared" si="7"/>
        <v>199.39999999999998</v>
      </c>
      <c r="CH31" s="181">
        <f t="shared" si="7"/>
        <v>-450.69299999999998</v>
      </c>
      <c r="CI31" s="181">
        <f t="shared" si="7"/>
        <v>68.045999999999992</v>
      </c>
      <c r="CJ31" s="181">
        <f t="shared" si="7"/>
        <v>-346.43599999999998</v>
      </c>
      <c r="CK31" s="181">
        <f t="shared" si="7"/>
        <v>-463.32900000000001</v>
      </c>
      <c r="CL31" s="181">
        <f t="shared" si="7"/>
        <v>-571.94876407262745</v>
      </c>
      <c r="CM31" s="181">
        <f>SUM(CM32:CM37)</f>
        <v>294.53100000000001</v>
      </c>
      <c r="CN31" s="181">
        <f>SUM(CN32:CN37)</f>
        <v>84.920000000000044</v>
      </c>
      <c r="CO31" s="206"/>
    </row>
    <row r="32" spans="1:94" s="18" customFormat="1" x14ac:dyDescent="0.35">
      <c r="B32" s="25" t="str">
        <f>IF(Control!$D$5=1,"Trade Accounts Receivable","Contas a Receber")</f>
        <v>Contas a Receber</v>
      </c>
      <c r="C32" s="159">
        <v>0</v>
      </c>
      <c r="D32" s="159">
        <v>-27.334</v>
      </c>
      <c r="E32" s="58">
        <v>-3.370000000000001</v>
      </c>
      <c r="F32" s="58">
        <v>-3.4960000000000022</v>
      </c>
      <c r="G32" s="159">
        <v>-35.915999999999997</v>
      </c>
      <c r="H32" s="159">
        <v>15.217000000000001</v>
      </c>
      <c r="I32" s="58">
        <v>19.527999999999999</v>
      </c>
      <c r="J32" s="58">
        <v>9.855000000000004</v>
      </c>
      <c r="K32" s="159">
        <v>-37.169000000000004</v>
      </c>
      <c r="L32" s="159">
        <v>-43.688000000000002</v>
      </c>
      <c r="M32" s="58">
        <v>38.925000000000004</v>
      </c>
      <c r="N32" s="58">
        <v>-7.8079999999999998</v>
      </c>
      <c r="O32" s="159">
        <v>4.8199999999999994</v>
      </c>
      <c r="P32" s="159">
        <v>-58.551000000000002</v>
      </c>
      <c r="Q32" s="58">
        <v>28.273000000000003</v>
      </c>
      <c r="R32" s="58">
        <v>-65.548000000000002</v>
      </c>
      <c r="S32" s="58">
        <v>-37.951999999999998</v>
      </c>
      <c r="T32" s="159">
        <v>-9.1760000000000002</v>
      </c>
      <c r="U32" s="58">
        <v>-32.833999999999996</v>
      </c>
      <c r="V32" s="58">
        <v>-30.991999999999997</v>
      </c>
      <c r="W32" s="58">
        <v>11.543999999999997</v>
      </c>
      <c r="X32" s="159">
        <v>2.7679999999999998</v>
      </c>
      <c r="Y32" s="58">
        <v>-30.863</v>
      </c>
      <c r="Z32" s="58">
        <v>9.1050000000000004</v>
      </c>
      <c r="AA32" s="58">
        <v>-52.168000000000006</v>
      </c>
      <c r="AB32" s="159">
        <v>19.8</v>
      </c>
      <c r="AC32" s="58">
        <v>1.3499999999999979</v>
      </c>
      <c r="AD32" s="58">
        <v>-56.533000000000001</v>
      </c>
      <c r="AE32" s="58">
        <v>40.288000000000004</v>
      </c>
      <c r="AF32" s="58">
        <v>35.448999999999998</v>
      </c>
      <c r="AG32" s="58">
        <v>-7.4489999999999981</v>
      </c>
      <c r="AH32" s="58">
        <v>-88.4</v>
      </c>
      <c r="AI32" s="58">
        <v>69.2</v>
      </c>
      <c r="AJ32" s="58">
        <v>-3.4489999999999998</v>
      </c>
      <c r="AK32" s="58">
        <v>-20.487000000000002</v>
      </c>
      <c r="AL32" s="58">
        <v>-29.673999999999999</v>
      </c>
      <c r="AM32" s="58">
        <v>-75.690000000000012</v>
      </c>
      <c r="AN32" s="58">
        <v>83.972999999999999</v>
      </c>
      <c r="AO32" s="58">
        <v>27.293999999999997</v>
      </c>
      <c r="AP32" s="58">
        <v>-13.173000000000002</v>
      </c>
      <c r="AQ32" s="58">
        <v>-14.793999999999997</v>
      </c>
      <c r="AR32" s="58">
        <v>88.5</v>
      </c>
      <c r="AS32" s="58">
        <v>-8.7999999999999972</v>
      </c>
      <c r="AT32" s="58">
        <v>-104</v>
      </c>
      <c r="AU32" s="58">
        <v>-18.399999999999999</v>
      </c>
      <c r="AV32" s="58">
        <v>31.1</v>
      </c>
      <c r="AW32" s="58">
        <v>43.374000000000002</v>
      </c>
      <c r="AX32" s="58">
        <v>-282.67700000000002</v>
      </c>
      <c r="AY32" s="58">
        <v>200.815</v>
      </c>
      <c r="AZ32" s="58">
        <v>-88.465000000000003</v>
      </c>
      <c r="BA32" s="58">
        <v>-122.104</v>
      </c>
      <c r="BB32" s="58">
        <v>-0.158</v>
      </c>
      <c r="BC32" s="58">
        <v>27.981999999999999</v>
      </c>
      <c r="BD32" s="58">
        <v>-270.94099999999997</v>
      </c>
      <c r="BE32" s="58">
        <v>143.11199999999999</v>
      </c>
      <c r="BF32" s="58">
        <v>-181.66200000000001</v>
      </c>
      <c r="BG32" s="58">
        <v>47.564</v>
      </c>
      <c r="BH32" s="58">
        <v>-240.23370705563602</v>
      </c>
      <c r="BI32" s="58">
        <v>130.554</v>
      </c>
      <c r="BJ32" s="58">
        <v>-176.10599999999997</v>
      </c>
      <c r="BK32" s="58">
        <v>173.071</v>
      </c>
      <c r="BL32" s="58">
        <v>-46.07</v>
      </c>
      <c r="BM32" s="58">
        <v>13.305</v>
      </c>
      <c r="BN32" s="58">
        <v>-550.63900000000001</v>
      </c>
      <c r="BO32" s="58">
        <v>536.00699999999995</v>
      </c>
      <c r="BP32" s="58">
        <v>-555.40099999999995</v>
      </c>
      <c r="BQ32" s="71">
        <v>203.208</v>
      </c>
      <c r="BR32" s="67">
        <v>-204.67500000000001</v>
      </c>
      <c r="BS32" s="67">
        <v>820.26599999999996</v>
      </c>
      <c r="BT32" s="67">
        <v>-725.85</v>
      </c>
      <c r="BU32" s="67">
        <v>384.73099999999999</v>
      </c>
      <c r="BV32" s="223"/>
      <c r="BW32" s="58">
        <v>-35.433999999999997</v>
      </c>
      <c r="BX32" s="58">
        <v>-70.116</v>
      </c>
      <c r="BY32" s="58">
        <v>7.431</v>
      </c>
      <c r="BZ32" s="58">
        <v>-7.7510000000000003</v>
      </c>
      <c r="CA32" s="58">
        <v>-133.77799999999999</v>
      </c>
      <c r="CB32" s="58">
        <v>-61.457999999999998</v>
      </c>
      <c r="CC32" s="58">
        <v>-71.158000000000001</v>
      </c>
      <c r="CD32" s="58">
        <v>4.9050000000000002</v>
      </c>
      <c r="CE32" s="58">
        <v>8.8000000000000007</v>
      </c>
      <c r="CF32" s="58">
        <v>-129.30000000000001</v>
      </c>
      <c r="CG32" s="58">
        <v>83.3</v>
      </c>
      <c r="CH32" s="58">
        <v>18.814</v>
      </c>
      <c r="CI32" s="58">
        <v>-7.3879999999999999</v>
      </c>
      <c r="CJ32" s="58">
        <v>-182.745</v>
      </c>
      <c r="CK32" s="58">
        <v>-261.92599999999999</v>
      </c>
      <c r="CL32" s="58">
        <v>-112.71470705563596</v>
      </c>
      <c r="CM32" s="58">
        <v>-47.396999999999998</v>
      </c>
      <c r="CN32" s="58">
        <v>263.39800000000002</v>
      </c>
      <c r="CO32" s="206"/>
      <c r="CP32" s="5"/>
    </row>
    <row r="33" spans="1:94" x14ac:dyDescent="0.35">
      <c r="A33" s="6"/>
      <c r="B33" s="10" t="str">
        <f>IF(Control!$D$5=1,"Inventories","Estoques")</f>
        <v>Estoques</v>
      </c>
      <c r="C33" s="159">
        <v>0</v>
      </c>
      <c r="D33" s="159">
        <v>-304.08100000000002</v>
      </c>
      <c r="E33" s="58">
        <v>43.163000000000011</v>
      </c>
      <c r="F33" s="58">
        <v>22.218000000000018</v>
      </c>
      <c r="G33" s="159">
        <v>158.512</v>
      </c>
      <c r="H33" s="159">
        <v>-192.24799999999999</v>
      </c>
      <c r="I33" s="58">
        <v>78.996999999999986</v>
      </c>
      <c r="J33" s="58">
        <v>84.951000000000008</v>
      </c>
      <c r="K33" s="159">
        <v>64.177000000000007</v>
      </c>
      <c r="L33" s="159">
        <v>-224.93199999999999</v>
      </c>
      <c r="M33" s="58">
        <v>224.93199999999999</v>
      </c>
      <c r="N33" s="58">
        <v>-87.837000000000003</v>
      </c>
      <c r="O33" s="159">
        <v>100.001</v>
      </c>
      <c r="P33" s="159">
        <v>-296.17</v>
      </c>
      <c r="Q33" s="58">
        <v>9.5950000000000273</v>
      </c>
      <c r="R33" s="58">
        <v>100.44499999999999</v>
      </c>
      <c r="S33" s="58">
        <v>52.302999999999997</v>
      </c>
      <c r="T33" s="159">
        <v>-373.94900000000001</v>
      </c>
      <c r="U33" s="58">
        <v>79.716000000000008</v>
      </c>
      <c r="V33" s="58">
        <v>91.22</v>
      </c>
      <c r="W33" s="58">
        <v>141.5</v>
      </c>
      <c r="X33" s="159">
        <v>-383.03300000000002</v>
      </c>
      <c r="Y33" s="58">
        <v>-9.7690000000000055</v>
      </c>
      <c r="Z33" s="58">
        <v>146.80400000000003</v>
      </c>
      <c r="AA33" s="58">
        <v>158.97399999999999</v>
      </c>
      <c r="AB33" s="159">
        <v>-421.7</v>
      </c>
      <c r="AC33" s="58">
        <v>141.86000000000001</v>
      </c>
      <c r="AD33" s="58">
        <v>162.017</v>
      </c>
      <c r="AE33" s="58">
        <v>164.45599999999999</v>
      </c>
      <c r="AF33" s="58">
        <v>-550.05200000000002</v>
      </c>
      <c r="AG33" s="58">
        <v>120.55200000000002</v>
      </c>
      <c r="AH33" s="58">
        <v>117</v>
      </c>
      <c r="AI33" s="58">
        <v>154.5</v>
      </c>
      <c r="AJ33" s="58">
        <v>-547.74400000000003</v>
      </c>
      <c r="AK33" s="58">
        <v>-26.663999999999987</v>
      </c>
      <c r="AL33" s="58">
        <v>111.70300000000003</v>
      </c>
      <c r="AM33" s="58">
        <v>271.30499999999995</v>
      </c>
      <c r="AN33" s="58">
        <v>-463.53300000000002</v>
      </c>
      <c r="AO33" s="58">
        <v>188.26600000000002</v>
      </c>
      <c r="AP33" s="58">
        <v>160.53144190999998</v>
      </c>
      <c r="AQ33" s="58">
        <v>225.13555809000002</v>
      </c>
      <c r="AR33" s="58">
        <v>-503.3</v>
      </c>
      <c r="AS33" s="58">
        <v>61.600000000000023</v>
      </c>
      <c r="AT33" s="58">
        <v>32.5</v>
      </c>
      <c r="AU33" s="58">
        <v>175.1</v>
      </c>
      <c r="AV33" s="58">
        <v>-540</v>
      </c>
      <c r="AW33" s="58">
        <v>161.584</v>
      </c>
      <c r="AX33" s="58">
        <v>90.507000000000005</v>
      </c>
      <c r="AY33" s="58">
        <v>286.35700000000003</v>
      </c>
      <c r="AZ33" s="58">
        <v>-814.60900000000004</v>
      </c>
      <c r="BA33" s="58">
        <v>206.10699999999997</v>
      </c>
      <c r="BB33" s="58">
        <v>-23.811</v>
      </c>
      <c r="BC33" s="58">
        <v>440.13900000000001</v>
      </c>
      <c r="BD33" s="58">
        <v>-694.77</v>
      </c>
      <c r="BE33" s="58">
        <v>397.21800000000002</v>
      </c>
      <c r="BF33" s="58">
        <v>3.9580000000000002</v>
      </c>
      <c r="BG33" s="58">
        <v>119.929</v>
      </c>
      <c r="BH33" s="58">
        <v>-724.60238297739795</v>
      </c>
      <c r="BI33" s="58">
        <v>290.69</v>
      </c>
      <c r="BJ33" s="58">
        <v>8.9723259604065682</v>
      </c>
      <c r="BK33" s="58">
        <v>-79.984999999999999</v>
      </c>
      <c r="BL33" s="58">
        <v>-926.81600000000003</v>
      </c>
      <c r="BM33" s="58">
        <v>472.86700000000002</v>
      </c>
      <c r="BN33" s="58">
        <v>167.99700000000001</v>
      </c>
      <c r="BO33" s="58">
        <v>509.68100000000004</v>
      </c>
      <c r="BP33" s="58">
        <v>-1094.0450000000001</v>
      </c>
      <c r="BQ33" s="71">
        <v>152.304</v>
      </c>
      <c r="BR33" s="67">
        <v>117.08199999999999</v>
      </c>
      <c r="BS33" s="67">
        <v>638.06200000000013</v>
      </c>
      <c r="BT33" s="67">
        <v>-1162.5260000000001</v>
      </c>
      <c r="BU33" s="67">
        <v>707.18799999999999</v>
      </c>
      <c r="BV33" s="223"/>
      <c r="BW33" s="58">
        <v>53.442</v>
      </c>
      <c r="BX33" s="58">
        <v>-80.188000000000002</v>
      </c>
      <c r="BY33" s="58">
        <v>35.877000000000002</v>
      </c>
      <c r="BZ33" s="58">
        <v>12.164</v>
      </c>
      <c r="CA33" s="58">
        <v>-133.827</v>
      </c>
      <c r="CB33" s="58">
        <v>-61.512999999999998</v>
      </c>
      <c r="CC33" s="58">
        <v>-87.024000000000001</v>
      </c>
      <c r="CD33" s="58">
        <v>46.633000000000003</v>
      </c>
      <c r="CE33" s="58">
        <v>-158</v>
      </c>
      <c r="CF33" s="58">
        <v>-191.4</v>
      </c>
      <c r="CG33" s="58">
        <v>110.4</v>
      </c>
      <c r="CH33" s="58">
        <v>-193.124</v>
      </c>
      <c r="CI33" s="58">
        <v>-1.552</v>
      </c>
      <c r="CJ33" s="58">
        <v>-192.16499999999999</v>
      </c>
      <c r="CK33" s="58">
        <v>-173.66499999999999</v>
      </c>
      <c r="CL33" s="58">
        <v>-504.92505701699139</v>
      </c>
      <c r="CM33" s="58">
        <v>223.72900000000001</v>
      </c>
      <c r="CN33" s="58">
        <v>-186.59699999999998</v>
      </c>
      <c r="CO33" s="206"/>
    </row>
    <row r="34" spans="1:94" x14ac:dyDescent="0.35">
      <c r="A34" s="6"/>
      <c r="B34" s="10" t="str">
        <f>IF(Control!$D$5=1,"Recoverable Taxes","Impostos a Recuperar")</f>
        <v>Impostos a Recuperar</v>
      </c>
      <c r="C34" s="159">
        <v>0</v>
      </c>
      <c r="D34" s="159">
        <v>0</v>
      </c>
      <c r="E34" s="58">
        <v>0</v>
      </c>
      <c r="F34" s="58">
        <v>0</v>
      </c>
      <c r="G34" s="159">
        <v>0</v>
      </c>
      <c r="H34" s="159">
        <v>0</v>
      </c>
      <c r="I34" s="58">
        <v>0</v>
      </c>
      <c r="J34" s="58">
        <v>0</v>
      </c>
      <c r="K34" s="159">
        <v>0</v>
      </c>
      <c r="L34" s="159">
        <v>0</v>
      </c>
      <c r="M34" s="58">
        <v>-161.24299999999999</v>
      </c>
      <c r="N34" s="58">
        <v>161.24299999999999</v>
      </c>
      <c r="O34" s="159">
        <v>0</v>
      </c>
      <c r="P34" s="159">
        <v>0.63800000000000001</v>
      </c>
      <c r="Q34" s="58">
        <v>-0.63800000000000001</v>
      </c>
      <c r="R34" s="58">
        <v>0</v>
      </c>
      <c r="S34" s="58">
        <v>0</v>
      </c>
      <c r="T34" s="159">
        <v>0</v>
      </c>
      <c r="U34" s="58">
        <v>0</v>
      </c>
      <c r="V34" s="58">
        <v>0</v>
      </c>
      <c r="W34" s="58">
        <v>0</v>
      </c>
      <c r="X34" s="159">
        <v>0</v>
      </c>
      <c r="Y34" s="58">
        <v>0</v>
      </c>
      <c r="Z34" s="58">
        <v>0</v>
      </c>
      <c r="AA34" s="58">
        <v>0</v>
      </c>
      <c r="AB34" s="159">
        <v>0</v>
      </c>
      <c r="AC34" s="58">
        <v>0</v>
      </c>
      <c r="AD34" s="58">
        <v>0</v>
      </c>
      <c r="AE34" s="58">
        <v>0</v>
      </c>
      <c r="AF34" s="159">
        <v>0</v>
      </c>
      <c r="AG34" s="58">
        <v>0</v>
      </c>
      <c r="AH34" s="58">
        <v>0</v>
      </c>
      <c r="AI34" s="58">
        <v>0</v>
      </c>
      <c r="AJ34" s="58">
        <v>0</v>
      </c>
      <c r="AK34" s="58">
        <v>0</v>
      </c>
      <c r="AL34" s="58">
        <v>0</v>
      </c>
      <c r="AM34" s="58">
        <v>0</v>
      </c>
      <c r="AN34" s="58">
        <v>0</v>
      </c>
      <c r="AO34" s="58">
        <v>0</v>
      </c>
      <c r="AP34" s="58">
        <v>0</v>
      </c>
      <c r="AQ34" s="58">
        <v>0</v>
      </c>
      <c r="AR34" s="58">
        <v>0</v>
      </c>
      <c r="AS34" s="58">
        <v>0</v>
      </c>
      <c r="AT34" s="58">
        <v>-176.3</v>
      </c>
      <c r="AU34" s="58">
        <v>-137.9</v>
      </c>
      <c r="AV34" s="58">
        <v>3.8</v>
      </c>
      <c r="AW34" s="58">
        <v>5.883</v>
      </c>
      <c r="AX34" s="58">
        <v>6.6230000000000011</v>
      </c>
      <c r="AY34" s="58">
        <v>11.459</v>
      </c>
      <c r="AZ34" s="58">
        <v>-24.594000000000001</v>
      </c>
      <c r="BA34" s="58">
        <v>8.8550000000000004</v>
      </c>
      <c r="BB34" s="58">
        <v>18.379000000000001</v>
      </c>
      <c r="BC34" s="58">
        <v>10.567</v>
      </c>
      <c r="BD34" s="58">
        <v>5.0179999999999998</v>
      </c>
      <c r="BE34" s="58">
        <v>17.202000000000002</v>
      </c>
      <c r="BF34" s="58">
        <v>-12.698</v>
      </c>
      <c r="BG34" s="58">
        <v>-25.966999999999999</v>
      </c>
      <c r="BH34" s="58">
        <v>-36.607999999999997</v>
      </c>
      <c r="BI34" s="58">
        <v>9.5960000000000001</v>
      </c>
      <c r="BJ34" s="58">
        <v>-60.274999999999999</v>
      </c>
      <c r="BK34" s="58">
        <v>66.225999999999999</v>
      </c>
      <c r="BL34" s="58">
        <v>0.65200000000000002</v>
      </c>
      <c r="BM34" s="58">
        <v>37.795999999999999</v>
      </c>
      <c r="BN34" s="58">
        <v>7.3479999999999999</v>
      </c>
      <c r="BO34" s="58">
        <v>47.529000000000003</v>
      </c>
      <c r="BP34" s="58">
        <v>-0.745</v>
      </c>
      <c r="BQ34" s="71">
        <v>43.05</v>
      </c>
      <c r="BR34" s="67">
        <v>5.5289999999999999</v>
      </c>
      <c r="BS34" s="67">
        <v>-61.218000000000004</v>
      </c>
      <c r="BT34" s="67">
        <v>-13.047000000000001</v>
      </c>
      <c r="BU34" s="67">
        <v>-12.111000000000001</v>
      </c>
      <c r="BV34" s="223"/>
      <c r="BW34" s="58">
        <v>0</v>
      </c>
      <c r="BX34" s="58">
        <v>0</v>
      </c>
      <c r="BY34" s="58">
        <v>0</v>
      </c>
      <c r="BZ34" s="58">
        <v>0</v>
      </c>
      <c r="CA34" s="58">
        <v>0</v>
      </c>
      <c r="CB34" s="58">
        <v>0</v>
      </c>
      <c r="CC34" s="58">
        <v>0</v>
      </c>
      <c r="CD34" s="58">
        <v>0</v>
      </c>
      <c r="CE34" s="58">
        <v>0</v>
      </c>
      <c r="CF34" s="58">
        <v>0</v>
      </c>
      <c r="CG34" s="58">
        <v>16.100000000000001</v>
      </c>
      <c r="CH34" s="58">
        <v>-218.846</v>
      </c>
      <c r="CI34" s="58">
        <v>27.765000000000001</v>
      </c>
      <c r="CJ34" s="58">
        <v>13.207000000000001</v>
      </c>
      <c r="CK34" s="58">
        <v>-16.445</v>
      </c>
      <c r="CL34" s="58">
        <v>-21.060999999999993</v>
      </c>
      <c r="CM34" s="58">
        <v>93.325000000000003</v>
      </c>
      <c r="CN34" s="58">
        <v>-13.384</v>
      </c>
      <c r="CO34" s="206"/>
    </row>
    <row r="35" spans="1:94" x14ac:dyDescent="0.35">
      <c r="A35" s="6"/>
      <c r="B35" s="10" t="str">
        <f>IF(Control!$D$5=1,"Related Parts","Partes Relacionadas")</f>
        <v>Partes Relacionadas</v>
      </c>
      <c r="C35" s="159">
        <v>0</v>
      </c>
      <c r="D35" s="159">
        <v>0</v>
      </c>
      <c r="E35" s="159">
        <v>0</v>
      </c>
      <c r="F35" s="159">
        <v>0</v>
      </c>
      <c r="G35" s="159">
        <v>0</v>
      </c>
      <c r="H35" s="159">
        <v>0</v>
      </c>
      <c r="I35" s="159">
        <v>0</v>
      </c>
      <c r="J35" s="159">
        <v>0</v>
      </c>
      <c r="K35" s="159">
        <v>0</v>
      </c>
      <c r="L35" s="159">
        <v>0</v>
      </c>
      <c r="M35" s="159">
        <v>0</v>
      </c>
      <c r="N35" s="159">
        <v>0</v>
      </c>
      <c r="O35" s="159">
        <v>0</v>
      </c>
      <c r="P35" s="159">
        <v>0</v>
      </c>
      <c r="Q35" s="159">
        <v>0</v>
      </c>
      <c r="R35" s="159">
        <v>0</v>
      </c>
      <c r="S35" s="159">
        <v>0</v>
      </c>
      <c r="T35" s="159">
        <v>0</v>
      </c>
      <c r="U35" s="159">
        <v>0</v>
      </c>
      <c r="V35" s="159">
        <v>0</v>
      </c>
      <c r="W35" s="159">
        <v>0</v>
      </c>
      <c r="X35" s="159">
        <v>0</v>
      </c>
      <c r="Y35" s="159">
        <v>0</v>
      </c>
      <c r="Z35" s="159">
        <v>0</v>
      </c>
      <c r="AA35" s="159">
        <v>0</v>
      </c>
      <c r="AB35" s="159">
        <v>0</v>
      </c>
      <c r="AC35" s="159">
        <v>0</v>
      </c>
      <c r="AD35" s="159">
        <v>0</v>
      </c>
      <c r="AE35" s="159">
        <v>0</v>
      </c>
      <c r="AF35" s="159">
        <v>0</v>
      </c>
      <c r="AG35" s="159">
        <v>0</v>
      </c>
      <c r="AH35" s="159">
        <v>0</v>
      </c>
      <c r="AI35" s="159">
        <v>0</v>
      </c>
      <c r="AJ35" s="159">
        <v>0</v>
      </c>
      <c r="AK35" s="159">
        <v>0</v>
      </c>
      <c r="AL35" s="159">
        <v>0</v>
      </c>
      <c r="AM35" s="159">
        <v>0</v>
      </c>
      <c r="AN35" s="159">
        <v>0</v>
      </c>
      <c r="AO35" s="159">
        <v>0</v>
      </c>
      <c r="AP35" s="159">
        <v>0</v>
      </c>
      <c r="AQ35" s="159">
        <v>0</v>
      </c>
      <c r="AR35" s="159">
        <v>0</v>
      </c>
      <c r="AS35" s="159">
        <v>0</v>
      </c>
      <c r="AT35" s="159">
        <v>0</v>
      </c>
      <c r="AU35" s="159">
        <v>0</v>
      </c>
      <c r="AV35" s="159">
        <v>0</v>
      </c>
      <c r="AW35" s="159">
        <v>0</v>
      </c>
      <c r="AX35" s="159">
        <v>0</v>
      </c>
      <c r="AY35" s="159">
        <v>0</v>
      </c>
      <c r="AZ35" s="159">
        <v>0</v>
      </c>
      <c r="BA35" s="159">
        <v>0</v>
      </c>
      <c r="BB35" s="159">
        <v>0</v>
      </c>
      <c r="BC35" s="159">
        <v>0</v>
      </c>
      <c r="BD35" s="159">
        <v>0</v>
      </c>
      <c r="BE35" s="159">
        <v>0</v>
      </c>
      <c r="BF35" s="159">
        <v>0</v>
      </c>
      <c r="BG35" s="159">
        <v>0</v>
      </c>
      <c r="BH35" s="159">
        <v>0</v>
      </c>
      <c r="BI35" s="159">
        <v>0</v>
      </c>
      <c r="BJ35" s="159">
        <v>0</v>
      </c>
      <c r="BK35" s="159">
        <v>0</v>
      </c>
      <c r="BL35" s="159">
        <v>0</v>
      </c>
      <c r="BM35" s="159">
        <v>-4.556</v>
      </c>
      <c r="BN35" s="159">
        <v>-2.3319999999999999</v>
      </c>
      <c r="BO35" s="159">
        <v>26.845999999999997</v>
      </c>
      <c r="BP35" s="159">
        <v>1.9970000000000001</v>
      </c>
      <c r="BQ35" s="71">
        <v>38.353999999999999</v>
      </c>
      <c r="BR35" s="67">
        <v>-113.22199999999999</v>
      </c>
      <c r="BS35" s="67">
        <v>0</v>
      </c>
      <c r="BT35" s="67">
        <v>-20.876999999999999</v>
      </c>
      <c r="BU35" s="67">
        <v>-12.018000000000001</v>
      </c>
      <c r="BW35" s="58">
        <v>0</v>
      </c>
      <c r="BX35" s="58">
        <v>0</v>
      </c>
      <c r="BY35" s="58">
        <v>0</v>
      </c>
      <c r="BZ35" s="58">
        <v>0</v>
      </c>
      <c r="CA35" s="58">
        <v>0</v>
      </c>
      <c r="CB35" s="58">
        <v>0</v>
      </c>
      <c r="CC35" s="58">
        <v>0</v>
      </c>
      <c r="CD35" s="58">
        <v>0</v>
      </c>
      <c r="CE35" s="58">
        <v>0</v>
      </c>
      <c r="CF35" s="58">
        <v>0</v>
      </c>
      <c r="CG35" s="58">
        <v>0</v>
      </c>
      <c r="CH35" s="58">
        <v>0</v>
      </c>
      <c r="CI35" s="58">
        <v>0</v>
      </c>
      <c r="CJ35" s="58">
        <v>0</v>
      </c>
      <c r="CK35" s="58">
        <v>0</v>
      </c>
      <c r="CL35" s="58">
        <v>0</v>
      </c>
      <c r="CM35" s="58">
        <v>19.957999999999998</v>
      </c>
      <c r="CN35" s="58">
        <v>-72.870999999999995</v>
      </c>
      <c r="CO35" s="206"/>
    </row>
    <row r="36" spans="1:94" x14ac:dyDescent="0.35">
      <c r="A36" s="18"/>
      <c r="B36" s="10" t="str">
        <f>IF(Control!$D$5=1,"Payments in Advance","Adiantamentos a Fornecedores")</f>
        <v>Adiantamentos a Fornecedores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0</v>
      </c>
      <c r="AB36" s="58">
        <v>0</v>
      </c>
      <c r="AC36" s="58">
        <v>0</v>
      </c>
      <c r="AD36" s="58">
        <v>0</v>
      </c>
      <c r="AE36" s="58">
        <v>0</v>
      </c>
      <c r="AF36" s="58">
        <v>0</v>
      </c>
      <c r="AG36" s="58">
        <v>0</v>
      </c>
      <c r="AH36" s="58">
        <v>0</v>
      </c>
      <c r="AI36" s="58">
        <v>0</v>
      </c>
      <c r="AJ36" s="58">
        <v>0</v>
      </c>
      <c r="AK36" s="58">
        <v>0</v>
      </c>
      <c r="AL36" s="58">
        <v>0</v>
      </c>
      <c r="AM36" s="58">
        <v>0</v>
      </c>
      <c r="AN36" s="58">
        <v>0</v>
      </c>
      <c r="AO36" s="58">
        <v>0</v>
      </c>
      <c r="AP36" s="58">
        <v>0</v>
      </c>
      <c r="AQ36" s="58">
        <v>0</v>
      </c>
      <c r="AR36" s="58">
        <v>0</v>
      </c>
      <c r="AS36" s="58">
        <v>0</v>
      </c>
      <c r="AT36" s="58">
        <v>0</v>
      </c>
      <c r="AU36" s="58">
        <v>0</v>
      </c>
      <c r="AV36" s="58">
        <v>0</v>
      </c>
      <c r="AW36" s="58">
        <v>0</v>
      </c>
      <c r="AX36" s="58">
        <v>0</v>
      </c>
      <c r="AY36" s="58">
        <v>0</v>
      </c>
      <c r="AZ36" s="58">
        <v>0</v>
      </c>
      <c r="BA36" s="58">
        <v>0</v>
      </c>
      <c r="BB36" s="58">
        <v>-12.802</v>
      </c>
      <c r="BC36" s="58">
        <v>0</v>
      </c>
      <c r="BD36" s="58">
        <v>0</v>
      </c>
      <c r="BE36" s="58">
        <v>0</v>
      </c>
      <c r="BF36" s="58">
        <v>0</v>
      </c>
      <c r="BG36" s="58">
        <v>0</v>
      </c>
      <c r="BH36" s="58">
        <v>0</v>
      </c>
      <c r="BI36" s="58">
        <v>0</v>
      </c>
      <c r="BJ36" s="58">
        <v>0</v>
      </c>
      <c r="BK36" s="58">
        <v>0</v>
      </c>
      <c r="BL36" s="58">
        <v>0</v>
      </c>
      <c r="BM36" s="58">
        <v>0</v>
      </c>
      <c r="BN36" s="58">
        <v>0</v>
      </c>
      <c r="BO36" s="58">
        <v>0</v>
      </c>
      <c r="BP36" s="58">
        <v>0</v>
      </c>
      <c r="BQ36" s="71">
        <v>0</v>
      </c>
      <c r="BR36" s="67">
        <v>0</v>
      </c>
      <c r="BS36" s="67">
        <v>94.381999999999991</v>
      </c>
      <c r="BT36" s="67">
        <v>0</v>
      </c>
      <c r="BU36" s="67">
        <v>0</v>
      </c>
      <c r="BW36" s="58">
        <v>3.8969999999999998</v>
      </c>
      <c r="BX36" s="58">
        <v>0</v>
      </c>
      <c r="BY36" s="58">
        <v>0</v>
      </c>
      <c r="BZ36" s="58">
        <v>0</v>
      </c>
      <c r="CA36" s="58">
        <v>0</v>
      </c>
      <c r="CB36" s="58">
        <v>0</v>
      </c>
      <c r="CC36" s="58">
        <v>0</v>
      </c>
      <c r="CD36" s="58">
        <v>0</v>
      </c>
      <c r="CE36" s="58">
        <v>0</v>
      </c>
      <c r="CF36" s="58">
        <v>0</v>
      </c>
      <c r="CG36" s="58">
        <v>0</v>
      </c>
      <c r="CH36" s="58">
        <v>0</v>
      </c>
      <c r="CI36" s="58">
        <v>0</v>
      </c>
      <c r="CJ36" s="58">
        <v>0</v>
      </c>
      <c r="CK36" s="58">
        <v>0</v>
      </c>
      <c r="CL36" s="58">
        <v>0</v>
      </c>
      <c r="CM36" s="58">
        <v>0</v>
      </c>
      <c r="CN36" s="58">
        <v>94.381999999999991</v>
      </c>
      <c r="CO36" s="206"/>
    </row>
    <row r="37" spans="1:94" x14ac:dyDescent="0.35">
      <c r="A37" s="18"/>
      <c r="B37" s="10" t="str">
        <f>IF(Control!$D$5=1,"Other Current Assets","Outros Ativos Circulantes")</f>
        <v>Outros Ativos Circulantes</v>
      </c>
      <c r="C37" s="159">
        <v>0</v>
      </c>
      <c r="D37" s="159">
        <v>-25.76</v>
      </c>
      <c r="E37" s="58">
        <v>43.512</v>
      </c>
      <c r="F37" s="58">
        <v>-35.852000000000004</v>
      </c>
      <c r="G37" s="159">
        <v>-52.422999999999995</v>
      </c>
      <c r="H37" s="159">
        <v>56.991</v>
      </c>
      <c r="I37" s="58">
        <v>-15.762</v>
      </c>
      <c r="J37" s="58">
        <v>-9.9289999999999985</v>
      </c>
      <c r="K37" s="159">
        <v>-31.194000000000003</v>
      </c>
      <c r="L37" s="159">
        <v>13.146000000000001</v>
      </c>
      <c r="M37" s="58">
        <v>17.803000000000001</v>
      </c>
      <c r="N37" s="58">
        <v>-8.7330000000000005</v>
      </c>
      <c r="O37" s="159">
        <v>-22.445</v>
      </c>
      <c r="P37" s="159">
        <v>-8.1430000000000007</v>
      </c>
      <c r="Q37" s="58">
        <v>27.416</v>
      </c>
      <c r="R37" s="58">
        <v>-36.406999999999996</v>
      </c>
      <c r="S37" s="58">
        <v>-58.983999999999995</v>
      </c>
      <c r="T37" s="159">
        <v>-10.461</v>
      </c>
      <c r="U37" s="58">
        <v>10.461</v>
      </c>
      <c r="V37" s="58">
        <v>15.239000000000001</v>
      </c>
      <c r="W37" s="58">
        <v>-64.224999999999994</v>
      </c>
      <c r="X37" s="159">
        <v>10.188000000000001</v>
      </c>
      <c r="Y37" s="58">
        <v>25.160999999999994</v>
      </c>
      <c r="Z37" s="58">
        <v>-112.70599999999999</v>
      </c>
      <c r="AA37" s="58">
        <v>32.954000000000001</v>
      </c>
      <c r="AB37" s="159">
        <v>-5.9</v>
      </c>
      <c r="AC37" s="58">
        <v>25.680999999999997</v>
      </c>
      <c r="AD37" s="58">
        <v>-92.433999999999997</v>
      </c>
      <c r="AE37" s="58">
        <v>38.884000000000007</v>
      </c>
      <c r="AF37" s="58">
        <v>20.478999999999999</v>
      </c>
      <c r="AG37" s="58">
        <v>55.021000000000001</v>
      </c>
      <c r="AH37" s="58">
        <v>-141.30000000000001</v>
      </c>
      <c r="AI37" s="58">
        <v>3.5</v>
      </c>
      <c r="AJ37" s="58">
        <v>1.1890000000000001</v>
      </c>
      <c r="AK37" s="58">
        <v>37.113</v>
      </c>
      <c r="AL37" s="58">
        <v>8.0589999999999975</v>
      </c>
      <c r="AM37" s="58">
        <v>-77.86099999999999</v>
      </c>
      <c r="AN37" s="58">
        <v>-15.36</v>
      </c>
      <c r="AO37" s="58">
        <v>34.454999999999998</v>
      </c>
      <c r="AP37" s="58">
        <v>4.473822430000002</v>
      </c>
      <c r="AQ37" s="58">
        <v>-17.868822430000002</v>
      </c>
      <c r="AR37" s="58">
        <v>-30.4</v>
      </c>
      <c r="AS37" s="58">
        <v>4.3999999999999986</v>
      </c>
      <c r="AT37" s="58">
        <v>20.400000000000002</v>
      </c>
      <c r="AU37" s="58">
        <v>-59</v>
      </c>
      <c r="AV37" s="58">
        <v>-5.3</v>
      </c>
      <c r="AW37" s="58">
        <v>26.27</v>
      </c>
      <c r="AX37" s="58">
        <v>5.3619999999999983</v>
      </c>
      <c r="AY37" s="58">
        <v>17.559000000000001</v>
      </c>
      <c r="AZ37" s="58">
        <v>-39.585000000000001</v>
      </c>
      <c r="BA37" s="58">
        <v>73.289000000000001</v>
      </c>
      <c r="BB37" s="58"/>
      <c r="BC37" s="58">
        <v>-5.62</v>
      </c>
      <c r="BD37" s="58">
        <v>-45.404000000000003</v>
      </c>
      <c r="BE37" s="58">
        <v>-7.5449999999999999</v>
      </c>
      <c r="BF37" s="58">
        <v>-9.7089999999999996</v>
      </c>
      <c r="BG37" s="58">
        <v>51.365000000000002</v>
      </c>
      <c r="BH37" s="58">
        <v>6.4293541802609999</v>
      </c>
      <c r="BI37" s="58">
        <v>27.504258226100006</v>
      </c>
      <c r="BJ37" s="58">
        <v>7.66</v>
      </c>
      <c r="BK37" s="58">
        <v>25.164000000000001</v>
      </c>
      <c r="BL37" s="58">
        <v>-25.922000000000001</v>
      </c>
      <c r="BM37" s="58">
        <v>-1.6779999999999999</v>
      </c>
      <c r="BN37" s="58">
        <v>8.1210000000000004</v>
      </c>
      <c r="BO37" s="58">
        <v>24.395</v>
      </c>
      <c r="BP37" s="58">
        <v>-21.18</v>
      </c>
      <c r="BQ37" s="71">
        <v>-7.4850000000000003</v>
      </c>
      <c r="BR37" s="67">
        <v>11.166</v>
      </c>
      <c r="BS37" s="67">
        <v>17.491</v>
      </c>
      <c r="BT37" s="67">
        <v>-15.532999999999999</v>
      </c>
      <c r="BU37" s="67">
        <v>-16.696999999999999</v>
      </c>
      <c r="BV37" s="223"/>
      <c r="BW37" s="58">
        <v>-16.702999999999999</v>
      </c>
      <c r="BX37" s="58">
        <v>-70.522999999999996</v>
      </c>
      <c r="BY37" s="58">
        <v>0.10599999999999987</v>
      </c>
      <c r="BZ37" s="58">
        <v>-0.2289999999999992</v>
      </c>
      <c r="CA37" s="58">
        <v>-76.117999999999995</v>
      </c>
      <c r="CB37" s="58">
        <v>-48.985999999999997</v>
      </c>
      <c r="CC37" s="58">
        <v>-44.402999999999999</v>
      </c>
      <c r="CD37" s="58">
        <v>-33.768999999999998</v>
      </c>
      <c r="CE37" s="58">
        <v>-62.3</v>
      </c>
      <c r="CF37" s="58">
        <v>-31.5</v>
      </c>
      <c r="CG37" s="58">
        <v>-10.4</v>
      </c>
      <c r="CH37" s="58">
        <v>-57.536999999999999</v>
      </c>
      <c r="CI37" s="58">
        <v>49.220999999999997</v>
      </c>
      <c r="CJ37" s="58">
        <v>15.266999999999999</v>
      </c>
      <c r="CK37" s="58">
        <v>-11.292999999999999</v>
      </c>
      <c r="CL37" s="58">
        <v>66.751999999999995</v>
      </c>
      <c r="CM37" s="58">
        <v>4.9160000000000004</v>
      </c>
      <c r="CN37" s="58">
        <v>-7.9999999999991189E-3</v>
      </c>
      <c r="CO37" s="206"/>
    </row>
    <row r="38" spans="1:94" s="6" customFormat="1" ht="6.75" customHeight="1" x14ac:dyDescent="0.35">
      <c r="B38" s="28"/>
      <c r="C38" s="181">
        <v>0</v>
      </c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181"/>
      <c r="BD38" s="181"/>
      <c r="BE38" s="181"/>
      <c r="BF38" s="181"/>
      <c r="BG38" s="181"/>
      <c r="BH38" s="181"/>
      <c r="BI38" s="181"/>
      <c r="BJ38" s="181"/>
      <c r="BK38" s="181"/>
      <c r="BL38" s="181"/>
      <c r="BM38" s="181"/>
      <c r="BN38" s="181"/>
      <c r="BO38" s="181"/>
      <c r="BP38" s="181"/>
      <c r="BQ38" s="181"/>
      <c r="BR38" s="181"/>
      <c r="BS38" s="181"/>
      <c r="BT38" s="181"/>
      <c r="BU38" s="181"/>
      <c r="BV38"/>
      <c r="BW38" s="181"/>
      <c r="BX38" s="181"/>
      <c r="BY38" s="181"/>
      <c r="BZ38" s="181"/>
      <c r="CA38" s="181"/>
      <c r="CB38" s="181"/>
      <c r="CC38" s="181"/>
      <c r="CD38" s="181"/>
      <c r="CE38" s="181"/>
      <c r="CF38" s="181"/>
      <c r="CG38" s="181"/>
      <c r="CH38" s="181"/>
      <c r="CI38" s="181"/>
      <c r="CJ38" s="181"/>
      <c r="CK38" s="181"/>
      <c r="CL38" s="181"/>
      <c r="CM38" s="181"/>
      <c r="CN38" s="181"/>
      <c r="CO38" s="206"/>
    </row>
    <row r="39" spans="1:94" x14ac:dyDescent="0.35">
      <c r="B39" s="28" t="str">
        <f>IF(Control!$D$5=1,"Current Liabilities","Passivo Circulante")</f>
        <v>Passivo Circulante</v>
      </c>
      <c r="C39" s="181">
        <v>0</v>
      </c>
      <c r="D39" s="181">
        <v>227.78699999999998</v>
      </c>
      <c r="E39" s="181">
        <v>-126.85400000000001</v>
      </c>
      <c r="F39" s="181">
        <v>39.567000000000007</v>
      </c>
      <c r="G39" s="181">
        <v>-26.110999999999997</v>
      </c>
      <c r="H39" s="181">
        <v>161.601</v>
      </c>
      <c r="I39" s="181">
        <v>-144.08399999999997</v>
      </c>
      <c r="J39" s="181">
        <v>-59.01700000000001</v>
      </c>
      <c r="K39" s="181">
        <v>-18.373999999999999</v>
      </c>
      <c r="L39" s="181">
        <v>208.62800000000001</v>
      </c>
      <c r="M39" s="181">
        <v>-178.25</v>
      </c>
      <c r="N39" s="181">
        <v>-30.946999999999996</v>
      </c>
      <c r="O39" s="181">
        <v>-51.468000000000004</v>
      </c>
      <c r="P39" s="181">
        <v>275.65699999999998</v>
      </c>
      <c r="Q39" s="181">
        <v>-182.18499999999997</v>
      </c>
      <c r="R39" s="181">
        <v>39.102999999999987</v>
      </c>
      <c r="S39" s="181">
        <v>95.153999999999996</v>
      </c>
      <c r="T39" s="181">
        <v>289.887</v>
      </c>
      <c r="U39" s="181">
        <v>-251.80099999999999</v>
      </c>
      <c r="V39" s="181">
        <v>-214.17499999999995</v>
      </c>
      <c r="W39" s="181">
        <v>-29.068000000000008</v>
      </c>
      <c r="X39" s="181">
        <v>259.93600000000004</v>
      </c>
      <c r="Y39" s="181">
        <v>-185.68700000000001</v>
      </c>
      <c r="Z39" s="181">
        <v>-7.778000000000004</v>
      </c>
      <c r="AA39" s="181">
        <v>-155.28000000000003</v>
      </c>
      <c r="AB39" s="181">
        <v>352.79999999999995</v>
      </c>
      <c r="AC39" s="181">
        <v>-256.55399999999997</v>
      </c>
      <c r="AD39" s="181">
        <v>-7.3130000000000033</v>
      </c>
      <c r="AE39" s="181">
        <v>-46.871000000000002</v>
      </c>
      <c r="AF39" s="181">
        <v>392.91399999999993</v>
      </c>
      <c r="AG39" s="181">
        <v>-280.714</v>
      </c>
      <c r="AH39" s="181">
        <v>-51.70000000000001</v>
      </c>
      <c r="AI39" s="181">
        <v>0.79999999999999361</v>
      </c>
      <c r="AJ39" s="181">
        <v>425.21499999999992</v>
      </c>
      <c r="AK39" s="181">
        <v>-381.76100000000002</v>
      </c>
      <c r="AL39" s="181">
        <v>-20.472999999999999</v>
      </c>
      <c r="AM39" s="181">
        <v>43.919000000000004</v>
      </c>
      <c r="AN39" s="181">
        <v>336.83799999999997</v>
      </c>
      <c r="AO39" s="181">
        <v>-445.75200000000001</v>
      </c>
      <c r="AP39" s="181">
        <v>-110.2760356566568</v>
      </c>
      <c r="AQ39" s="181">
        <v>-22.109964343343208</v>
      </c>
      <c r="AR39" s="181">
        <v>426.7</v>
      </c>
      <c r="AS39" s="181">
        <v>-352.2</v>
      </c>
      <c r="AT39" s="181">
        <v>-24.799999999999997</v>
      </c>
      <c r="AU39" s="181">
        <v>56.7</v>
      </c>
      <c r="AV39" s="181">
        <v>484.90000000000003</v>
      </c>
      <c r="AW39" s="181">
        <v>-424.41700000000003</v>
      </c>
      <c r="AX39" s="181">
        <v>8.0689999999999937</v>
      </c>
      <c r="AY39" s="181">
        <f t="shared" ref="AY39:BK39" si="8">SUM(AY40:AY47)</f>
        <v>-69.644000000000005</v>
      </c>
      <c r="AZ39" s="181">
        <f t="shared" si="8"/>
        <v>669.01199999999994</v>
      </c>
      <c r="BA39" s="181">
        <f t="shared" si="8"/>
        <v>-460.10999999999996</v>
      </c>
      <c r="BB39" s="181">
        <f t="shared" si="8"/>
        <v>-73.045000000000002</v>
      </c>
      <c r="BC39" s="181">
        <f t="shared" si="8"/>
        <v>-152.11700000000002</v>
      </c>
      <c r="BD39" s="181">
        <f t="shared" si="8"/>
        <v>826.23900000000003</v>
      </c>
      <c r="BE39" s="181">
        <f t="shared" si="8"/>
        <v>-717.351</v>
      </c>
      <c r="BF39" s="181">
        <f t="shared" si="8"/>
        <v>152.28699999999998</v>
      </c>
      <c r="BG39" s="181">
        <f t="shared" si="8"/>
        <v>-196.42</v>
      </c>
      <c r="BH39" s="181">
        <f t="shared" si="8"/>
        <v>447.44400000000002</v>
      </c>
      <c r="BI39" s="181">
        <f t="shared" si="8"/>
        <v>-612.62300000000005</v>
      </c>
      <c r="BJ39" s="181">
        <f t="shared" si="8"/>
        <v>-269.88600000000002</v>
      </c>
      <c r="BK39" s="181">
        <f t="shared" si="8"/>
        <v>-38.308</v>
      </c>
      <c r="BL39" s="181">
        <f t="shared" ref="BL39:BU39" si="9">SUM(BL40:BL47)</f>
        <v>505.01799999999997</v>
      </c>
      <c r="BM39" s="181">
        <f t="shared" si="9"/>
        <v>-481.30000000000007</v>
      </c>
      <c r="BN39" s="181">
        <f t="shared" si="9"/>
        <v>-355.52100000000002</v>
      </c>
      <c r="BO39" s="181">
        <f t="shared" si="9"/>
        <v>-387.99899999999997</v>
      </c>
      <c r="BP39" s="181">
        <f t="shared" si="9"/>
        <v>933.47500000000002</v>
      </c>
      <c r="BQ39" s="181">
        <f t="shared" si="9"/>
        <v>-1081.403</v>
      </c>
      <c r="BR39" s="181">
        <f t="shared" si="9"/>
        <v>-172.50900000000001</v>
      </c>
      <c r="BS39" s="181">
        <f t="shared" si="9"/>
        <v>-96.399999999999949</v>
      </c>
      <c r="BT39" s="181">
        <f t="shared" si="9"/>
        <v>857.47900000000004</v>
      </c>
      <c r="BU39" s="181">
        <f t="shared" si="9"/>
        <v>-968.57399999999996</v>
      </c>
      <c r="BV39" s="223"/>
      <c r="BW39" s="181">
        <f>SUM(BW40:BW47)</f>
        <v>-21.567999999999998</v>
      </c>
      <c r="BX39" s="181">
        <f>SUM(BX40:BX47)</f>
        <v>90.419000000000011</v>
      </c>
      <c r="BY39" s="181">
        <f>SUM(BY40:BY47)</f>
        <v>-96.82</v>
      </c>
      <c r="BZ39" s="181">
        <f t="shared" ref="BZ39:CF39" si="10">SUM(BZ40:BZ47)</f>
        <v>-104.739</v>
      </c>
      <c r="CA39" s="181">
        <f t="shared" si="10"/>
        <v>145.34</v>
      </c>
      <c r="CB39" s="181">
        <f t="shared" si="10"/>
        <v>-281.38100000000003</v>
      </c>
      <c r="CC39" s="181">
        <f t="shared" si="10"/>
        <v>-179.27199999999999</v>
      </c>
      <c r="CD39" s="181">
        <f t="shared" si="10"/>
        <v>-64.638999999999996</v>
      </c>
      <c r="CE39" s="181">
        <f t="shared" si="10"/>
        <v>-96.3</v>
      </c>
      <c r="CF39" s="181">
        <f t="shared" si="10"/>
        <v>-90.7</v>
      </c>
      <c r="CG39" s="181">
        <f t="shared" ref="CG39:CL39" si="11">SUM(CG40:CG47)</f>
        <v>-410.3</v>
      </c>
      <c r="CH39" s="181">
        <f t="shared" si="11"/>
        <v>-50.609999999999985</v>
      </c>
      <c r="CI39" s="181">
        <f t="shared" si="11"/>
        <v>-75.742999999999995</v>
      </c>
      <c r="CJ39" s="181">
        <f t="shared" si="11"/>
        <v>-16.260000000000012</v>
      </c>
      <c r="CK39" s="181">
        <f t="shared" si="11"/>
        <v>64.754999999999967</v>
      </c>
      <c r="CL39" s="181">
        <f t="shared" si="11"/>
        <v>-473.37299999999999</v>
      </c>
      <c r="CM39" s="181">
        <f>SUM(CM40:CM47)</f>
        <v>-719.80200000000002</v>
      </c>
      <c r="CN39" s="181">
        <f>SUM(CN40:CN47)</f>
        <v>-416.83699999999999</v>
      </c>
      <c r="CO39" s="206"/>
    </row>
    <row r="40" spans="1:94" x14ac:dyDescent="0.35">
      <c r="B40" s="10" t="str">
        <f>IF(Control!$D$5=1,"Accounts Payable","Fornecedores")</f>
        <v>Fornecedores</v>
      </c>
      <c r="C40" s="159">
        <v>0</v>
      </c>
      <c r="D40" s="159">
        <v>215.46299999999999</v>
      </c>
      <c r="E40" s="58">
        <v>-106.21899999999999</v>
      </c>
      <c r="F40" s="58">
        <v>7.1560000000000059</v>
      </c>
      <c r="G40" s="159">
        <v>-22.009</v>
      </c>
      <c r="H40" s="159">
        <v>166.02199999999999</v>
      </c>
      <c r="I40" s="58">
        <v>-118.89399999999999</v>
      </c>
      <c r="J40" s="58">
        <v>-41.027999999999999</v>
      </c>
      <c r="K40" s="159">
        <v>-33.912999999999997</v>
      </c>
      <c r="L40" s="159">
        <v>186.143</v>
      </c>
      <c r="M40" s="58">
        <v>-155.36500000000001</v>
      </c>
      <c r="N40" s="58">
        <v>-16.924999999999997</v>
      </c>
      <c r="O40" s="159">
        <v>-32.261000000000003</v>
      </c>
      <c r="P40" s="159">
        <v>193.24199999999999</v>
      </c>
      <c r="Q40" s="58">
        <v>-161.94999999999999</v>
      </c>
      <c r="R40" s="58">
        <v>0.47599999999999909</v>
      </c>
      <c r="S40" s="58">
        <v>64.533000000000001</v>
      </c>
      <c r="T40" s="159">
        <v>256.11099999999999</v>
      </c>
      <c r="U40" s="58">
        <v>-226.00899999999999</v>
      </c>
      <c r="V40" s="58">
        <v>-267.88099999999997</v>
      </c>
      <c r="W40" s="58">
        <v>25.957999999999998</v>
      </c>
      <c r="X40" s="159">
        <v>237.41800000000001</v>
      </c>
      <c r="Y40" s="58">
        <v>-172.24099999999999</v>
      </c>
      <c r="Z40" s="58">
        <v>-10.284000000000006</v>
      </c>
      <c r="AA40" s="58">
        <v>-47.793999999999997</v>
      </c>
      <c r="AB40" s="159">
        <v>311.89999999999998</v>
      </c>
      <c r="AC40" s="58">
        <v>-258.12599999999998</v>
      </c>
      <c r="AD40" s="58">
        <v>-33.627000000000002</v>
      </c>
      <c r="AE40" s="58">
        <v>11.701000000000001</v>
      </c>
      <c r="AF40" s="58">
        <v>317.34699999999998</v>
      </c>
      <c r="AG40" s="58">
        <v>-268.34699999999998</v>
      </c>
      <c r="AH40" s="58">
        <v>-30.1</v>
      </c>
      <c r="AI40" s="58">
        <v>-44.4</v>
      </c>
      <c r="AJ40" s="58">
        <v>410.60399999999998</v>
      </c>
      <c r="AK40" s="58">
        <v>-340.899</v>
      </c>
      <c r="AL40" s="58">
        <v>-8.3339999999999961</v>
      </c>
      <c r="AM40" s="58">
        <v>-13.371000000000002</v>
      </c>
      <c r="AN40" s="58">
        <v>326.19499999999999</v>
      </c>
      <c r="AO40" s="58">
        <v>-415.42700000000002</v>
      </c>
      <c r="AP40" s="58">
        <v>-44.620000000000005</v>
      </c>
      <c r="AQ40" s="58">
        <v>23.451999999999998</v>
      </c>
      <c r="AR40" s="58">
        <v>388</v>
      </c>
      <c r="AS40" s="58">
        <v>-328.3</v>
      </c>
      <c r="AT40" s="58">
        <v>-41.400000000000006</v>
      </c>
      <c r="AU40" s="58">
        <v>20.100000000000001</v>
      </c>
      <c r="AV40" s="58">
        <v>480.3</v>
      </c>
      <c r="AW40" s="58">
        <v>-413.577</v>
      </c>
      <c r="AX40" s="58">
        <v>5.6239999999999952</v>
      </c>
      <c r="AY40" s="58">
        <v>-1.3069999999999999</v>
      </c>
      <c r="AZ40" s="58">
        <v>622.40099999999995</v>
      </c>
      <c r="BA40" s="58">
        <v>-395.84899999999999</v>
      </c>
      <c r="BB40" s="58">
        <v>-29.818999999999999</v>
      </c>
      <c r="BC40" s="58">
        <v>-83.468999999999994</v>
      </c>
      <c r="BD40" s="58">
        <v>852.29399999999998</v>
      </c>
      <c r="BE40" s="58">
        <v>-669.75400000000002</v>
      </c>
      <c r="BF40" s="58">
        <v>126.33199999999999</v>
      </c>
      <c r="BG40" s="58">
        <v>141.376</v>
      </c>
      <c r="BH40" s="58">
        <v>507.11</v>
      </c>
      <c r="BI40" s="58">
        <v>-547.58500000000004</v>
      </c>
      <c r="BJ40" s="58">
        <v>-93.216999999999999</v>
      </c>
      <c r="BK40" s="58">
        <v>-14.992000000000001</v>
      </c>
      <c r="BL40" s="58">
        <v>699.13900000000001</v>
      </c>
      <c r="BM40" s="58">
        <v>-482.971</v>
      </c>
      <c r="BN40" s="58">
        <v>-125.761</v>
      </c>
      <c r="BO40" s="58">
        <v>-222.285</v>
      </c>
      <c r="BP40" s="58">
        <v>981.67399999999998</v>
      </c>
      <c r="BQ40" s="71">
        <v>-848.87199999999996</v>
      </c>
      <c r="BR40" s="71">
        <v>7.6289999999999996</v>
      </c>
      <c r="BS40" s="71">
        <v>33.188999999999993</v>
      </c>
      <c r="BT40" s="71">
        <v>1014.249</v>
      </c>
      <c r="BU40" s="71">
        <v>-826.32500000000005</v>
      </c>
      <c r="BV40" s="223"/>
      <c r="BW40" s="58">
        <v>0</v>
      </c>
      <c r="BX40" s="58">
        <v>94.391000000000005</v>
      </c>
      <c r="BY40" s="58">
        <v>-27.812999999999999</v>
      </c>
      <c r="BZ40" s="58">
        <v>-18.408000000000001</v>
      </c>
      <c r="CA40" s="58">
        <v>96.301000000000002</v>
      </c>
      <c r="CB40" s="58">
        <v>-211.821</v>
      </c>
      <c r="CC40" s="58">
        <v>7.0990000000000002</v>
      </c>
      <c r="CD40" s="58">
        <v>31.847999999999999</v>
      </c>
      <c r="CE40" s="58">
        <v>-25.5</v>
      </c>
      <c r="CF40" s="58">
        <v>48</v>
      </c>
      <c r="CG40" s="58">
        <v>-110.4</v>
      </c>
      <c r="CH40" s="58">
        <v>23.288</v>
      </c>
      <c r="CI40" s="58">
        <v>71.040000000000006</v>
      </c>
      <c r="CJ40" s="58">
        <v>113.264</v>
      </c>
      <c r="CK40" s="58">
        <v>450.24799999999999</v>
      </c>
      <c r="CL40" s="58">
        <v>-148.684</v>
      </c>
      <c r="CM40" s="58">
        <v>-131.87799999999999</v>
      </c>
      <c r="CN40" s="58">
        <v>173.62</v>
      </c>
      <c r="CO40" s="206"/>
    </row>
    <row r="41" spans="1:94" x14ac:dyDescent="0.35">
      <c r="A41" s="6"/>
      <c r="B41" s="10" t="str">
        <f>IF(Control!$D$5=1,"Other Current Liabilities","Sal., Prov. e Contr. Sociais")</f>
        <v>Sal., Prov. e Contr. Sociais</v>
      </c>
      <c r="C41" s="159">
        <v>0</v>
      </c>
      <c r="D41" s="159">
        <v>-1.181</v>
      </c>
      <c r="E41" s="58">
        <v>-0.71799999999999997</v>
      </c>
      <c r="F41" s="58">
        <v>5.0990000000000002</v>
      </c>
      <c r="G41" s="159">
        <v>-1.3870000000000002</v>
      </c>
      <c r="H41" s="159">
        <v>0.66700000000000004</v>
      </c>
      <c r="I41" s="58">
        <v>-0.97900000000000009</v>
      </c>
      <c r="J41" s="58">
        <v>3.512</v>
      </c>
      <c r="K41" s="159">
        <v>-3.9910000000000001</v>
      </c>
      <c r="L41" s="159">
        <v>2.222</v>
      </c>
      <c r="M41" s="58">
        <v>0.2629999999999999</v>
      </c>
      <c r="N41" s="58">
        <v>2.4579999999999997</v>
      </c>
      <c r="O41" s="159">
        <v>-4.1649999999999991</v>
      </c>
      <c r="P41" s="159">
        <v>5.7389999999999999</v>
      </c>
      <c r="Q41" s="58">
        <v>2.8440000000000003</v>
      </c>
      <c r="R41" s="58">
        <v>7.0239999999999991</v>
      </c>
      <c r="S41" s="58">
        <v>-6.9999999999996732E-3</v>
      </c>
      <c r="T41" s="159">
        <v>6.5640000000000001</v>
      </c>
      <c r="U41" s="58">
        <v>1.9659999999999993</v>
      </c>
      <c r="V41" s="58">
        <v>9.2550000000000008</v>
      </c>
      <c r="W41" s="58">
        <v>-9.2940000000000005</v>
      </c>
      <c r="X41" s="159">
        <v>14.013999999999999</v>
      </c>
      <c r="Y41" s="58">
        <v>-1.0219999999999985</v>
      </c>
      <c r="Z41" s="58">
        <v>5.7330000000000005</v>
      </c>
      <c r="AA41" s="58">
        <v>-14.849000000000002</v>
      </c>
      <c r="AB41" s="159">
        <v>5.4</v>
      </c>
      <c r="AC41" s="58">
        <v>-2.5120000000000005</v>
      </c>
      <c r="AD41" s="58">
        <v>7.3330000000000002</v>
      </c>
      <c r="AE41" s="58">
        <v>-16.739000000000001</v>
      </c>
      <c r="AF41" s="58">
        <v>9.9380000000000006</v>
      </c>
      <c r="AG41" s="58">
        <v>-0.6379999999999999</v>
      </c>
      <c r="AH41" s="58">
        <v>12.5</v>
      </c>
      <c r="AI41" s="58">
        <v>-9.2000000000000011</v>
      </c>
      <c r="AJ41" s="58">
        <v>17.561</v>
      </c>
      <c r="AK41" s="58">
        <v>-3.327</v>
      </c>
      <c r="AL41" s="58">
        <v>11.386999999999999</v>
      </c>
      <c r="AM41" s="58">
        <v>-16.720999999999997</v>
      </c>
      <c r="AN41" s="58">
        <v>12.971</v>
      </c>
      <c r="AO41" s="58">
        <v>-12.629</v>
      </c>
      <c r="AP41" s="58">
        <v>3.5840000000000001</v>
      </c>
      <c r="AQ41" s="58">
        <v>-16.026</v>
      </c>
      <c r="AR41" s="58">
        <v>27.2</v>
      </c>
      <c r="AS41" s="58">
        <v>-12.5</v>
      </c>
      <c r="AT41" s="58">
        <v>1.5</v>
      </c>
      <c r="AU41" s="58">
        <v>-13.6</v>
      </c>
      <c r="AV41" s="58">
        <v>2.2999999999999998</v>
      </c>
      <c r="AW41" s="58">
        <v>9.2070000000000007</v>
      </c>
      <c r="AX41" s="58">
        <v>9.5950000000000006</v>
      </c>
      <c r="AY41" s="58">
        <v>-17.866</v>
      </c>
      <c r="AZ41" s="58">
        <v>12.816000000000001</v>
      </c>
      <c r="BA41" s="58">
        <v>12.462999999999999</v>
      </c>
      <c r="BB41" s="58">
        <v>17.66</v>
      </c>
      <c r="BC41" s="58">
        <v>-17.628</v>
      </c>
      <c r="BD41" s="58">
        <v>-4.9580000000000002</v>
      </c>
      <c r="BE41" s="58">
        <v>2.544</v>
      </c>
      <c r="BF41" s="58">
        <v>28.14</v>
      </c>
      <c r="BG41" s="58">
        <v>-28.135000000000002</v>
      </c>
      <c r="BH41" s="58">
        <v>15.19</v>
      </c>
      <c r="BI41" s="58">
        <v>15.079000000000001</v>
      </c>
      <c r="BJ41" s="58">
        <v>30.238</v>
      </c>
      <c r="BK41" s="58">
        <v>-26.856000000000002</v>
      </c>
      <c r="BL41" s="58">
        <v>14.872</v>
      </c>
      <c r="BM41" s="58">
        <v>2.085</v>
      </c>
      <c r="BN41" s="58">
        <v>18.035</v>
      </c>
      <c r="BO41" s="58">
        <v>-34.217000000000006</v>
      </c>
      <c r="BP41" s="58">
        <v>1.9379999999999999</v>
      </c>
      <c r="BQ41" s="71">
        <v>11.435</v>
      </c>
      <c r="BR41" s="71">
        <v>21.137</v>
      </c>
      <c r="BS41" s="71">
        <v>-40.904000000000003</v>
      </c>
      <c r="BT41" s="71">
        <v>17.510000000000002</v>
      </c>
      <c r="BU41" s="71">
        <v>11.275</v>
      </c>
      <c r="BV41" s="223"/>
      <c r="BW41" s="58">
        <v>-6.4000000000000001E-2</v>
      </c>
      <c r="BX41" s="58">
        <v>1.8129999999999999</v>
      </c>
      <c r="BY41" s="58">
        <v>-0.79100000000000004</v>
      </c>
      <c r="BZ41" s="58">
        <v>0.77800000000000002</v>
      </c>
      <c r="CA41" s="58">
        <v>15.6</v>
      </c>
      <c r="CB41" s="58">
        <v>8.4909999999999997</v>
      </c>
      <c r="CC41" s="58">
        <v>3.8759999999999999</v>
      </c>
      <c r="CD41" s="58">
        <v>-6.5179999999999998</v>
      </c>
      <c r="CE41" s="58">
        <v>12.6</v>
      </c>
      <c r="CF41" s="58">
        <v>8.9</v>
      </c>
      <c r="CG41" s="58">
        <v>-12.1</v>
      </c>
      <c r="CH41" s="58">
        <v>-1.6519999999999999</v>
      </c>
      <c r="CI41" s="58">
        <v>3.2360000000000002</v>
      </c>
      <c r="CJ41" s="58">
        <v>25.311</v>
      </c>
      <c r="CK41" s="58">
        <v>-2.4089999999999998</v>
      </c>
      <c r="CL41" s="58">
        <v>33.650999999999996</v>
      </c>
      <c r="CM41" s="58">
        <v>0.77500000000000002</v>
      </c>
      <c r="CN41" s="58">
        <v>-6.3939999999999984</v>
      </c>
      <c r="CO41" s="206"/>
    </row>
    <row r="42" spans="1:94" x14ac:dyDescent="0.35">
      <c r="B42" s="10" t="str">
        <f>IF(Control!$D$5=1," Taxes Payables","Obrigações Tributárias")</f>
        <v>Obrigações Tributárias</v>
      </c>
      <c r="C42" s="159">
        <v>0</v>
      </c>
      <c r="D42" s="159">
        <v>-1.9739999999999998</v>
      </c>
      <c r="E42" s="58">
        <v>-13.368000000000002</v>
      </c>
      <c r="F42" s="58">
        <v>2.9420000000000037</v>
      </c>
      <c r="G42" s="159">
        <v>-4.7729999999999961</v>
      </c>
      <c r="H42" s="159">
        <v>-10.262</v>
      </c>
      <c r="I42" s="58">
        <v>-18.865999999999996</v>
      </c>
      <c r="J42" s="58">
        <v>-1.3720000000000034</v>
      </c>
      <c r="K42" s="159">
        <v>12.686999999999998</v>
      </c>
      <c r="L42" s="159">
        <v>-10.003</v>
      </c>
      <c r="M42" s="58">
        <v>-7.6720000000000006</v>
      </c>
      <c r="N42" s="58">
        <v>-5.8080000000000034</v>
      </c>
      <c r="O42" s="159">
        <v>-3.2049999999999983</v>
      </c>
      <c r="P42" s="159">
        <v>4.2160000000000002</v>
      </c>
      <c r="Q42" s="58">
        <v>-9.5630000000000006</v>
      </c>
      <c r="R42" s="58">
        <v>0.46500000000000075</v>
      </c>
      <c r="S42" s="58">
        <v>74.436000000000007</v>
      </c>
      <c r="T42" s="159">
        <v>4.601</v>
      </c>
      <c r="U42" s="58">
        <v>-10.405999999999999</v>
      </c>
      <c r="V42" s="58">
        <v>15.842000000000001</v>
      </c>
      <c r="W42" s="58">
        <v>-1.2840000000000007</v>
      </c>
      <c r="X42" s="159">
        <v>-16.475999999999999</v>
      </c>
      <c r="Y42" s="58">
        <v>-2.9440000000000026</v>
      </c>
      <c r="Z42" s="58">
        <v>31.183</v>
      </c>
      <c r="AA42" s="58">
        <v>-86.39</v>
      </c>
      <c r="AB42" s="159">
        <v>2.2999999999999998</v>
      </c>
      <c r="AC42" s="58">
        <v>15.079999999999998</v>
      </c>
      <c r="AD42" s="58">
        <v>0.9220000000000006</v>
      </c>
      <c r="AE42" s="58">
        <v>-11.088999999999999</v>
      </c>
      <c r="AF42" s="58">
        <v>-8.1750000000000007</v>
      </c>
      <c r="AG42" s="58">
        <v>-6.2249999999999996</v>
      </c>
      <c r="AH42" s="58">
        <v>-1.2999999999999954</v>
      </c>
      <c r="AI42" s="58">
        <v>48.599999999999994</v>
      </c>
      <c r="AJ42" s="58">
        <v>-35.1</v>
      </c>
      <c r="AK42" s="58">
        <v>-28.955999999999996</v>
      </c>
      <c r="AL42" s="58">
        <v>-6.4440000000000026</v>
      </c>
      <c r="AM42" s="58">
        <v>66.400000000000006</v>
      </c>
      <c r="AN42" s="58">
        <v>-19.7</v>
      </c>
      <c r="AO42" s="58">
        <v>-26.891999999999999</v>
      </c>
      <c r="AP42" s="58">
        <v>-25.650999999999996</v>
      </c>
      <c r="AQ42" s="58">
        <v>-36.757000000000005</v>
      </c>
      <c r="AR42" s="58">
        <v>-12.5</v>
      </c>
      <c r="AS42" s="58">
        <v>4.1999999999999993</v>
      </c>
      <c r="AT42" s="58">
        <v>40.400000000000006</v>
      </c>
      <c r="AU42" s="58">
        <v>28.9</v>
      </c>
      <c r="AV42" s="58">
        <v>-18.3</v>
      </c>
      <c r="AW42" s="58">
        <v>-4.161999999999999</v>
      </c>
      <c r="AX42" s="58">
        <v>-9.620000000000001</v>
      </c>
      <c r="AY42" s="58">
        <v>2.835</v>
      </c>
      <c r="AZ42" s="58">
        <v>-7.0460000000000003</v>
      </c>
      <c r="BA42" s="58">
        <v>13.067</v>
      </c>
      <c r="BB42" s="58">
        <v>15.784000000000001</v>
      </c>
      <c r="BC42" s="58">
        <v>-48.786999999999999</v>
      </c>
      <c r="BD42" s="58">
        <v>-12.161</v>
      </c>
      <c r="BE42" s="58">
        <v>-5.601</v>
      </c>
      <c r="BF42" s="58">
        <v>5.2969999999999997</v>
      </c>
      <c r="BG42" s="58">
        <v>21.785</v>
      </c>
      <c r="BH42" s="58">
        <v>22.626000000000001</v>
      </c>
      <c r="BI42" s="58">
        <v>-18.626999999999999</v>
      </c>
      <c r="BJ42" s="58">
        <v>15.731</v>
      </c>
      <c r="BK42" s="58">
        <v>-42.953000000000003</v>
      </c>
      <c r="BL42" s="58">
        <v>-2.2599999999999998</v>
      </c>
      <c r="BM42" s="58">
        <v>11.048999999999999</v>
      </c>
      <c r="BN42" s="58">
        <v>-9.2040000000000006</v>
      </c>
      <c r="BO42" s="58">
        <v>-9.8739999999999988</v>
      </c>
      <c r="BP42" s="58">
        <v>5.8289999999999997</v>
      </c>
      <c r="BQ42" s="71">
        <v>-30.835000000000001</v>
      </c>
      <c r="BR42" s="71">
        <v>-15.615</v>
      </c>
      <c r="BS42" s="71">
        <v>52.591999999999999</v>
      </c>
      <c r="BT42" s="71">
        <v>-20.606000000000002</v>
      </c>
      <c r="BU42" s="71">
        <v>-1.7070000000000001</v>
      </c>
      <c r="BV42" s="223"/>
      <c r="BW42" s="58">
        <v>-11.962999999999999</v>
      </c>
      <c r="BX42" s="58">
        <v>-17.172999999999995</v>
      </c>
      <c r="BY42" s="58">
        <v>-17.813000000000002</v>
      </c>
      <c r="BZ42" s="58">
        <v>-26.688000000000002</v>
      </c>
      <c r="CA42" s="58">
        <v>69.554000000000002</v>
      </c>
      <c r="CB42" s="58">
        <v>8.7530000000000001</v>
      </c>
      <c r="CC42" s="58">
        <v>-74.626999999999995</v>
      </c>
      <c r="CD42" s="58">
        <v>7.2130000000000001</v>
      </c>
      <c r="CE42" s="58">
        <v>32.9</v>
      </c>
      <c r="CF42" s="58">
        <v>-4.0999999999999996</v>
      </c>
      <c r="CG42" s="58">
        <v>-76.7</v>
      </c>
      <c r="CH42" s="58">
        <v>55.002000000000002</v>
      </c>
      <c r="CI42" s="58">
        <v>-29.247</v>
      </c>
      <c r="CJ42" s="58">
        <v>-26.981999999999999</v>
      </c>
      <c r="CK42" s="58">
        <v>5.7030000000000003</v>
      </c>
      <c r="CL42" s="58">
        <v>-23.222999999999999</v>
      </c>
      <c r="CM42" s="58">
        <v>-10.289</v>
      </c>
      <c r="CN42" s="58">
        <v>11.970999999999997</v>
      </c>
      <c r="CO42" s="206"/>
    </row>
    <row r="43" spans="1:94" x14ac:dyDescent="0.35">
      <c r="B43" s="10" t="str">
        <f>IF(Control!$D$5=1,"Related Parts","Partes Relacionadas")</f>
        <v>Partes Relacionadas</v>
      </c>
      <c r="C43" s="159">
        <v>0</v>
      </c>
      <c r="D43" s="159">
        <v>0</v>
      </c>
      <c r="E43" s="159">
        <v>0</v>
      </c>
      <c r="F43" s="159">
        <v>0</v>
      </c>
      <c r="G43" s="159">
        <v>0</v>
      </c>
      <c r="H43" s="159">
        <v>0</v>
      </c>
      <c r="I43" s="159">
        <v>0</v>
      </c>
      <c r="J43" s="159">
        <v>0</v>
      </c>
      <c r="K43" s="159">
        <v>0</v>
      </c>
      <c r="L43" s="159">
        <v>0</v>
      </c>
      <c r="M43" s="159">
        <v>0</v>
      </c>
      <c r="N43" s="159">
        <v>0</v>
      </c>
      <c r="O43" s="159">
        <v>0</v>
      </c>
      <c r="P43" s="159">
        <v>0</v>
      </c>
      <c r="Q43" s="159">
        <v>0</v>
      </c>
      <c r="R43" s="159">
        <v>0</v>
      </c>
      <c r="S43" s="159">
        <v>0</v>
      </c>
      <c r="T43" s="159">
        <v>0</v>
      </c>
      <c r="U43" s="159">
        <v>0</v>
      </c>
      <c r="V43" s="159">
        <v>0</v>
      </c>
      <c r="W43" s="159">
        <v>0</v>
      </c>
      <c r="X43" s="159">
        <v>0</v>
      </c>
      <c r="Y43" s="159">
        <v>0</v>
      </c>
      <c r="Z43" s="159">
        <v>0</v>
      </c>
      <c r="AA43" s="159">
        <v>0</v>
      </c>
      <c r="AB43" s="159">
        <v>0</v>
      </c>
      <c r="AC43" s="159">
        <v>0</v>
      </c>
      <c r="AD43" s="159">
        <v>0</v>
      </c>
      <c r="AE43" s="159">
        <v>0</v>
      </c>
      <c r="AF43" s="159">
        <v>0</v>
      </c>
      <c r="AG43" s="159">
        <v>0</v>
      </c>
      <c r="AH43" s="159">
        <v>0</v>
      </c>
      <c r="AI43" s="159">
        <v>0</v>
      </c>
      <c r="AJ43" s="159">
        <v>0</v>
      </c>
      <c r="AK43" s="159">
        <v>0</v>
      </c>
      <c r="AL43" s="159">
        <v>0</v>
      </c>
      <c r="AM43" s="159">
        <v>0</v>
      </c>
      <c r="AN43" s="159">
        <v>0</v>
      </c>
      <c r="AO43" s="159">
        <v>0</v>
      </c>
      <c r="AP43" s="159">
        <v>0</v>
      </c>
      <c r="AQ43" s="159">
        <v>0</v>
      </c>
      <c r="AR43" s="159">
        <v>0</v>
      </c>
      <c r="AS43" s="159">
        <v>0</v>
      </c>
      <c r="AT43" s="159">
        <v>0</v>
      </c>
      <c r="AU43" s="159">
        <v>0</v>
      </c>
      <c r="AV43" s="159">
        <v>0</v>
      </c>
      <c r="AW43" s="159">
        <v>0</v>
      </c>
      <c r="AX43" s="159">
        <v>0</v>
      </c>
      <c r="AY43" s="159">
        <v>0</v>
      </c>
      <c r="AZ43" s="159">
        <v>0</v>
      </c>
      <c r="BA43" s="159">
        <v>0</v>
      </c>
      <c r="BB43" s="159">
        <v>0</v>
      </c>
      <c r="BC43" s="159">
        <v>0</v>
      </c>
      <c r="BD43" s="159">
        <v>0</v>
      </c>
      <c r="BE43" s="159">
        <v>0</v>
      </c>
      <c r="BF43" s="159">
        <v>0</v>
      </c>
      <c r="BG43" s="159">
        <v>0</v>
      </c>
      <c r="BH43" s="159">
        <v>0</v>
      </c>
      <c r="BI43" s="159">
        <v>0</v>
      </c>
      <c r="BJ43" s="159">
        <v>0</v>
      </c>
      <c r="BK43" s="159">
        <v>0</v>
      </c>
      <c r="BL43" s="159">
        <v>0</v>
      </c>
      <c r="BM43" s="159">
        <v>-11.997999999999999</v>
      </c>
      <c r="BN43" s="159">
        <v>-1.6579999999999999</v>
      </c>
      <c r="BO43" s="159">
        <v>2.6599999999999984</v>
      </c>
      <c r="BP43" s="159">
        <v>-2.2490000000000001</v>
      </c>
      <c r="BQ43" s="71">
        <v>3.53</v>
      </c>
      <c r="BR43" s="71">
        <v>-2.1150000000000002</v>
      </c>
      <c r="BS43" s="71">
        <v>-7.9769999999999994</v>
      </c>
      <c r="BT43" s="71">
        <v>5.931</v>
      </c>
      <c r="BU43" s="71">
        <v>4.327</v>
      </c>
      <c r="BW43" s="159">
        <v>0</v>
      </c>
      <c r="BX43" s="159">
        <v>0</v>
      </c>
      <c r="BY43" s="159">
        <v>0</v>
      </c>
      <c r="BZ43" s="159">
        <v>0</v>
      </c>
      <c r="CA43" s="159">
        <v>0</v>
      </c>
      <c r="CB43" s="159">
        <v>0</v>
      </c>
      <c r="CC43" s="159">
        <v>0</v>
      </c>
      <c r="CD43" s="159">
        <v>0</v>
      </c>
      <c r="CE43" s="159">
        <v>0</v>
      </c>
      <c r="CF43" s="159">
        <v>0</v>
      </c>
      <c r="CG43" s="159">
        <v>0</v>
      </c>
      <c r="CH43" s="159">
        <v>0</v>
      </c>
      <c r="CI43" s="159">
        <v>0</v>
      </c>
      <c r="CJ43" s="159">
        <v>0</v>
      </c>
      <c r="CK43" s="159">
        <v>0</v>
      </c>
      <c r="CL43" s="159">
        <v>0</v>
      </c>
      <c r="CM43" s="58">
        <v>-10.996</v>
      </c>
      <c r="CN43" s="58">
        <v>-8.8109999999999999</v>
      </c>
      <c r="CO43" s="206"/>
    </row>
    <row r="44" spans="1:94" x14ac:dyDescent="0.35">
      <c r="B44" s="10" t="str">
        <f>IF(Control!$D$5=1,"Advances to Clients","Adiantamentos a Clientes")</f>
        <v>Adiantamentos a Clientes</v>
      </c>
      <c r="C44" s="159">
        <v>0</v>
      </c>
      <c r="D44" s="159">
        <v>0</v>
      </c>
      <c r="E44" s="159">
        <v>0</v>
      </c>
      <c r="F44" s="159">
        <v>0</v>
      </c>
      <c r="G44" s="159">
        <v>0</v>
      </c>
      <c r="H44" s="159">
        <v>0</v>
      </c>
      <c r="I44" s="159">
        <v>0</v>
      </c>
      <c r="J44" s="159">
        <v>0</v>
      </c>
      <c r="K44" s="159">
        <v>0</v>
      </c>
      <c r="L44" s="159">
        <v>0</v>
      </c>
      <c r="M44" s="159">
        <v>0</v>
      </c>
      <c r="N44" s="159">
        <v>0</v>
      </c>
      <c r="O44" s="159">
        <v>0</v>
      </c>
      <c r="P44" s="159">
        <v>0</v>
      </c>
      <c r="Q44" s="159">
        <v>0</v>
      </c>
      <c r="R44" s="159">
        <v>0</v>
      </c>
      <c r="S44" s="159">
        <v>0</v>
      </c>
      <c r="T44" s="159">
        <v>0</v>
      </c>
      <c r="U44" s="159">
        <v>0</v>
      </c>
      <c r="V44" s="159">
        <v>0</v>
      </c>
      <c r="W44" s="159">
        <v>0</v>
      </c>
      <c r="X44" s="159">
        <v>0</v>
      </c>
      <c r="Y44" s="159">
        <v>0</v>
      </c>
      <c r="Z44" s="159">
        <v>0</v>
      </c>
      <c r="AA44" s="159">
        <v>0</v>
      </c>
      <c r="AB44" s="159">
        <v>0</v>
      </c>
      <c r="AC44" s="159">
        <v>0</v>
      </c>
      <c r="AD44" s="159">
        <v>0</v>
      </c>
      <c r="AE44" s="159">
        <v>0</v>
      </c>
      <c r="AF44" s="159">
        <v>0</v>
      </c>
      <c r="AG44" s="159">
        <v>0</v>
      </c>
      <c r="AH44" s="159">
        <v>0</v>
      </c>
      <c r="AI44" s="159">
        <v>0</v>
      </c>
      <c r="AJ44" s="159">
        <v>0</v>
      </c>
      <c r="AK44" s="159">
        <v>0</v>
      </c>
      <c r="AL44" s="159">
        <v>0</v>
      </c>
      <c r="AM44" s="159">
        <v>0</v>
      </c>
      <c r="AN44" s="159">
        <v>0</v>
      </c>
      <c r="AO44" s="159">
        <v>0</v>
      </c>
      <c r="AP44" s="159">
        <v>0</v>
      </c>
      <c r="AQ44" s="159">
        <v>0</v>
      </c>
      <c r="AR44" s="159">
        <v>0</v>
      </c>
      <c r="AS44" s="159">
        <v>0</v>
      </c>
      <c r="AT44" s="159">
        <v>0</v>
      </c>
      <c r="AU44" s="159">
        <v>0</v>
      </c>
      <c r="AV44" s="159">
        <v>0</v>
      </c>
      <c r="AW44" s="159">
        <v>0</v>
      </c>
      <c r="AX44" s="159">
        <v>0</v>
      </c>
      <c r="AY44" s="159">
        <v>0</v>
      </c>
      <c r="AZ44" s="159">
        <v>0</v>
      </c>
      <c r="BA44" s="159">
        <v>0</v>
      </c>
      <c r="BB44" s="159">
        <v>0</v>
      </c>
      <c r="BC44" s="159">
        <v>0</v>
      </c>
      <c r="BD44" s="159">
        <v>0</v>
      </c>
      <c r="BE44" s="159">
        <v>0</v>
      </c>
      <c r="BF44" s="159">
        <v>0</v>
      </c>
      <c r="BG44" s="159">
        <v>0</v>
      </c>
      <c r="BH44" s="159">
        <v>0</v>
      </c>
      <c r="BI44" s="159">
        <v>0</v>
      </c>
      <c r="BJ44" s="159">
        <v>0</v>
      </c>
      <c r="BK44" s="159">
        <v>0</v>
      </c>
      <c r="BL44" s="159">
        <v>0</v>
      </c>
      <c r="BM44" s="159">
        <v>0</v>
      </c>
      <c r="BN44" s="159">
        <v>0</v>
      </c>
      <c r="BO44" s="159">
        <v>0</v>
      </c>
      <c r="BP44" s="159">
        <v>44.384999999999998</v>
      </c>
      <c r="BQ44" s="71">
        <v>-33.048000000000002</v>
      </c>
      <c r="BR44" s="71">
        <v>8.5939999999999994</v>
      </c>
      <c r="BS44" s="71">
        <v>-19.930999999999997</v>
      </c>
      <c r="BT44" s="71">
        <v>-18.344999999999999</v>
      </c>
      <c r="BU44" s="71">
        <v>22.036000000000001</v>
      </c>
      <c r="BW44" s="159">
        <v>0</v>
      </c>
      <c r="BX44" s="159">
        <v>0</v>
      </c>
      <c r="BY44" s="159">
        <v>0</v>
      </c>
      <c r="BZ44" s="159">
        <v>0</v>
      </c>
      <c r="CA44" s="159">
        <v>0</v>
      </c>
      <c r="CB44" s="159">
        <v>0</v>
      </c>
      <c r="CC44" s="159">
        <v>0</v>
      </c>
      <c r="CD44" s="159">
        <v>0</v>
      </c>
      <c r="CE44" s="159">
        <v>0</v>
      </c>
      <c r="CF44" s="159">
        <v>0</v>
      </c>
      <c r="CG44" s="159">
        <v>0</v>
      </c>
      <c r="CH44" s="159">
        <v>0</v>
      </c>
      <c r="CI44" s="159">
        <v>0</v>
      </c>
      <c r="CJ44" s="159">
        <v>0</v>
      </c>
      <c r="CK44" s="159">
        <v>0</v>
      </c>
      <c r="CL44" s="159">
        <v>0</v>
      </c>
      <c r="CM44" s="159">
        <v>0</v>
      </c>
      <c r="CN44" s="58">
        <v>0</v>
      </c>
      <c r="CO44" s="206"/>
    </row>
    <row r="45" spans="1:94" x14ac:dyDescent="0.35">
      <c r="B45" s="10" t="str">
        <f>IF(Control!$D$5=1,"Other Current Liabilities","Outros Passivos Circulantes e não circulantes")</f>
        <v>Outros Passivos Circulantes e não circulantes</v>
      </c>
      <c r="C45" s="159">
        <v>0</v>
      </c>
      <c r="D45" s="159">
        <v>15.478999999999999</v>
      </c>
      <c r="E45" s="58">
        <v>-6.5489999999999995</v>
      </c>
      <c r="F45" s="58">
        <v>24.369999999999997</v>
      </c>
      <c r="G45" s="159">
        <v>2.0579999999999998</v>
      </c>
      <c r="H45" s="159">
        <v>5.1740000000000004</v>
      </c>
      <c r="I45" s="58">
        <v>-5.3450000000000006</v>
      </c>
      <c r="J45" s="58">
        <v>-20.129000000000001</v>
      </c>
      <c r="K45" s="159">
        <v>6.843</v>
      </c>
      <c r="L45" s="159">
        <v>30.265999999999998</v>
      </c>
      <c r="M45" s="58">
        <v>-15.475999999999999</v>
      </c>
      <c r="N45" s="58">
        <v>-10.671999999999999</v>
      </c>
      <c r="O45" s="159">
        <v>-11.837</v>
      </c>
      <c r="P45" s="159">
        <v>76.262</v>
      </c>
      <c r="Q45" s="58">
        <v>-17.317999999999998</v>
      </c>
      <c r="R45" s="58">
        <v>31.137999999999991</v>
      </c>
      <c r="S45" s="58">
        <v>-32.258999999999993</v>
      </c>
      <c r="T45" s="159">
        <v>22.611000000000001</v>
      </c>
      <c r="U45" s="58">
        <v>-17.352</v>
      </c>
      <c r="V45" s="58">
        <v>28.609000000000002</v>
      </c>
      <c r="W45" s="58">
        <v>-34.437000000000005</v>
      </c>
      <c r="X45" s="159">
        <v>24.98</v>
      </c>
      <c r="Y45" s="58">
        <v>-6.1209999999999987</v>
      </c>
      <c r="Z45" s="58">
        <v>-32.085999999999999</v>
      </c>
      <c r="AA45" s="58">
        <v>-5.1320000000000014</v>
      </c>
      <c r="AB45" s="159">
        <v>35</v>
      </c>
      <c r="AC45" s="58">
        <v>-6.7540000000000013</v>
      </c>
      <c r="AD45" s="58">
        <v>19.849</v>
      </c>
      <c r="AE45" s="58">
        <v>-26.169</v>
      </c>
      <c r="AF45" s="58">
        <v>77.488</v>
      </c>
      <c r="AG45" s="58">
        <v>-2.0879999999999939</v>
      </c>
      <c r="AH45" s="58">
        <v>-29.600000000000009</v>
      </c>
      <c r="AI45" s="58">
        <v>8.5</v>
      </c>
      <c r="AJ45" s="58">
        <v>34.735999999999997</v>
      </c>
      <c r="AK45" s="58">
        <v>-11.164999999999996</v>
      </c>
      <c r="AL45" s="58">
        <v>-17.082000000000001</v>
      </c>
      <c r="AM45" s="58">
        <v>7.6109999999999998</v>
      </c>
      <c r="AN45" s="58">
        <v>20.335000000000001</v>
      </c>
      <c r="AO45" s="58">
        <v>6.2330000000000005</v>
      </c>
      <c r="AP45" s="58">
        <v>-43.589035656656804</v>
      </c>
      <c r="AQ45" s="58">
        <v>7.2210356566567988</v>
      </c>
      <c r="AR45" s="58">
        <v>24</v>
      </c>
      <c r="AS45" s="58">
        <v>-1.1999999999999993</v>
      </c>
      <c r="AT45" s="58">
        <v>-11.5</v>
      </c>
      <c r="AU45" s="58">
        <v>32.6</v>
      </c>
      <c r="AV45" s="58">
        <v>27.6</v>
      </c>
      <c r="AW45" s="58">
        <v>-11.802000000000001</v>
      </c>
      <c r="AX45" s="58">
        <v>8.44</v>
      </c>
      <c r="AY45" s="58">
        <v>-25.573</v>
      </c>
      <c r="AZ45" s="58">
        <v>56.063000000000002</v>
      </c>
      <c r="BA45" s="58">
        <v>-75.935000000000002</v>
      </c>
      <c r="BB45" s="58">
        <v>-26.942</v>
      </c>
      <c r="BC45" s="58">
        <v>12.526999999999999</v>
      </c>
      <c r="BD45" s="58">
        <v>31.44</v>
      </c>
      <c r="BE45" s="58">
        <v>-35.386000000000003</v>
      </c>
      <c r="BF45" s="58">
        <v>58.497999999999998</v>
      </c>
      <c r="BG45" s="58">
        <v>-319.92</v>
      </c>
      <c r="BH45" s="58">
        <v>31.381</v>
      </c>
      <c r="BI45" s="58">
        <v>-54.762</v>
      </c>
      <c r="BJ45" s="58">
        <v>-17.524999999999999</v>
      </c>
      <c r="BK45" s="58">
        <v>52.368000000000002</v>
      </c>
      <c r="BL45" s="58">
        <v>-4.9189999999999996</v>
      </c>
      <c r="BM45" s="58">
        <v>25.716999999999999</v>
      </c>
      <c r="BN45" s="58">
        <v>-50.188000000000002</v>
      </c>
      <c r="BO45" s="58">
        <v>-2.6019999999999968</v>
      </c>
      <c r="BP45" s="58">
        <v>82.010999999999996</v>
      </c>
      <c r="BQ45" s="71">
        <v>-59.857999999999997</v>
      </c>
      <c r="BR45" s="71">
        <v>-14.542</v>
      </c>
      <c r="BS45" s="71">
        <v>23.070999999999998</v>
      </c>
      <c r="BT45" s="71">
        <v>13.141</v>
      </c>
      <c r="BU45" s="71">
        <v>-36.405999999999999</v>
      </c>
      <c r="BV45" s="223"/>
      <c r="BW45" s="58">
        <v>-9.5410000000000004</v>
      </c>
      <c r="BX45" s="58">
        <v>35.357999999999997</v>
      </c>
      <c r="BY45" s="58">
        <v>-13.457000000000001</v>
      </c>
      <c r="BZ45" s="58">
        <v>-7.7190000000000003</v>
      </c>
      <c r="CA45" s="58">
        <v>57.823</v>
      </c>
      <c r="CB45" s="58">
        <v>-0.56899999999999995</v>
      </c>
      <c r="CC45" s="58">
        <v>-18.359000000000002</v>
      </c>
      <c r="CD45" s="58">
        <v>21.925999999999998</v>
      </c>
      <c r="CE45" s="58">
        <v>54.3</v>
      </c>
      <c r="CF45" s="58">
        <v>14.1</v>
      </c>
      <c r="CG45" s="58">
        <v>-9.9</v>
      </c>
      <c r="CH45" s="58">
        <v>-10.648</v>
      </c>
      <c r="CI45" s="58">
        <v>-1.335</v>
      </c>
      <c r="CJ45" s="58">
        <v>-34.286999999999999</v>
      </c>
      <c r="CK45" s="58">
        <v>-265.36799999999999</v>
      </c>
      <c r="CL45" s="58">
        <v>11.462000000000003</v>
      </c>
      <c r="CM45" s="58">
        <v>-31.992000000000001</v>
      </c>
      <c r="CN45" s="58">
        <v>30.681999999999995</v>
      </c>
      <c r="CO45" s="206"/>
    </row>
    <row r="46" spans="1:94" x14ac:dyDescent="0.35">
      <c r="B46" s="184" t="str">
        <f>IF(Control!$D$5=1,"Interest Paid","Juros pagos sobre Empréstimos")</f>
        <v>Juros pagos sobre Empréstimos</v>
      </c>
      <c r="C46" s="123">
        <v>0</v>
      </c>
      <c r="D46" s="123">
        <v>0</v>
      </c>
      <c r="E46" s="44">
        <v>0</v>
      </c>
      <c r="F46" s="44">
        <v>-31.2</v>
      </c>
      <c r="G46" s="51">
        <v>7.23</v>
      </c>
      <c r="H46" s="51">
        <v>-7.8129999999999997</v>
      </c>
      <c r="I46" s="44">
        <v>7.8129999999999997</v>
      </c>
      <c r="J46" s="44">
        <v>-21.9</v>
      </c>
      <c r="K46" s="51">
        <v>-15.045999999999999</v>
      </c>
      <c r="L46" s="51">
        <v>-9.2539999999999996</v>
      </c>
      <c r="M46" s="44">
        <v>-19.383000000000003</v>
      </c>
      <c r="N46" s="44">
        <v>25.737000000000002</v>
      </c>
      <c r="O46" s="51">
        <v>-49.802</v>
      </c>
      <c r="P46" s="51">
        <v>0</v>
      </c>
      <c r="Q46" s="44">
        <v>-36.552999999999997</v>
      </c>
      <c r="R46" s="44">
        <v>-18.373000000000005</v>
      </c>
      <c r="S46" s="44">
        <v>-27.462999999999994</v>
      </c>
      <c r="T46" s="51">
        <v>-7.87</v>
      </c>
      <c r="U46" s="44">
        <v>-20.498999999999999</v>
      </c>
      <c r="V46" s="44">
        <v>0</v>
      </c>
      <c r="W46" s="44">
        <v>-47.855000000000004</v>
      </c>
      <c r="X46" s="51">
        <v>-18.123999999999999</v>
      </c>
      <c r="Y46" s="44">
        <v>-24.516999999999999</v>
      </c>
      <c r="Z46" s="44">
        <v>-19.463000000000001</v>
      </c>
      <c r="AA46" s="44">
        <v>-28.358999999999995</v>
      </c>
      <c r="AB46" s="51">
        <v>-22.9</v>
      </c>
      <c r="AC46" s="44">
        <v>-27.359000000000002</v>
      </c>
      <c r="AD46" s="44">
        <v>-37.045000000000002</v>
      </c>
      <c r="AE46" s="44">
        <v>-19.396999999999991</v>
      </c>
      <c r="AF46" s="44">
        <v>-38.162999999999997</v>
      </c>
      <c r="AG46" s="44">
        <v>-25.737000000000002</v>
      </c>
      <c r="AH46" s="44">
        <v>-61.9</v>
      </c>
      <c r="AI46" s="44">
        <v>-31.799999999999997</v>
      </c>
      <c r="AJ46" s="44">
        <v>-44.814999999999998</v>
      </c>
      <c r="AK46" s="44">
        <v>-44.17</v>
      </c>
      <c r="AL46" s="44">
        <v>-50.540000000000006</v>
      </c>
      <c r="AM46" s="58">
        <v>-18.074999999999989</v>
      </c>
      <c r="AN46" s="44">
        <v>-63.856999999999999</v>
      </c>
      <c r="AO46" s="44">
        <v>-25.543000000000006</v>
      </c>
      <c r="AP46" s="44">
        <v>52.350259047570631</v>
      </c>
      <c r="AQ46" s="58">
        <v>-131.95025904757063</v>
      </c>
      <c r="AR46" s="58">
        <v>-16.600000000000001</v>
      </c>
      <c r="AS46" s="58">
        <v>-22.799999999999997</v>
      </c>
      <c r="AT46" s="58">
        <v>-15.200000000000003</v>
      </c>
      <c r="AU46" s="58">
        <v>-22.6</v>
      </c>
      <c r="AV46" s="58">
        <v>-17.399999999999999</v>
      </c>
      <c r="AW46" s="58">
        <v>-21.444000000000003</v>
      </c>
      <c r="AX46" s="58">
        <v>-35.806999999999995</v>
      </c>
      <c r="AY46" s="58">
        <v>-21.212</v>
      </c>
      <c r="AZ46" s="58">
        <v>-16.806999999999999</v>
      </c>
      <c r="BA46" s="58">
        <v>-9.3420000000000005</v>
      </c>
      <c r="BB46" s="58">
        <v>-22.036000000000001</v>
      </c>
      <c r="BC46" s="58">
        <v>-25.728000000000002</v>
      </c>
      <c r="BD46" s="58">
        <v>-28.637</v>
      </c>
      <c r="BE46" s="58">
        <v>-5.2450000000000001</v>
      </c>
      <c r="BF46" s="58">
        <v>-60.892000000000003</v>
      </c>
      <c r="BG46" s="58">
        <v>-5.9980000000000002</v>
      </c>
      <c r="BH46" s="58">
        <v>-123.648</v>
      </c>
      <c r="BI46" s="58">
        <v>-2.028</v>
      </c>
      <c r="BJ46" s="58">
        <v>-200.928</v>
      </c>
      <c r="BK46" s="58">
        <v>-2.3690000000000002</v>
      </c>
      <c r="BL46" s="58">
        <v>-196.31</v>
      </c>
      <c r="BM46" s="58">
        <v>-20.541</v>
      </c>
      <c r="BN46" s="58">
        <v>-180.06200000000001</v>
      </c>
      <c r="BO46" s="58">
        <v>-126.947</v>
      </c>
      <c r="BP46" s="58">
        <v>-177.535</v>
      </c>
      <c r="BQ46" s="71">
        <v>-120.089</v>
      </c>
      <c r="BR46" s="71">
        <v>-174.19300000000001</v>
      </c>
      <c r="BS46" s="71">
        <v>-134.79099999999994</v>
      </c>
      <c r="BT46" s="71">
        <v>-139.096</v>
      </c>
      <c r="BU46" s="71">
        <v>-144.024</v>
      </c>
      <c r="BV46" s="223"/>
      <c r="BW46" s="58">
        <v>0</v>
      </c>
      <c r="BX46" s="58">
        <v>-23.97</v>
      </c>
      <c r="BY46" s="58">
        <v>-36.945999999999998</v>
      </c>
      <c r="BZ46" s="58">
        <v>-52.701999999999998</v>
      </c>
      <c r="CA46" s="58">
        <v>-82.388999999999996</v>
      </c>
      <c r="CB46" s="58">
        <v>-76.224000000000004</v>
      </c>
      <c r="CC46" s="58">
        <v>-90.462999999999994</v>
      </c>
      <c r="CD46" s="58">
        <v>-106.70099999999999</v>
      </c>
      <c r="CE46" s="58">
        <v>-157.6</v>
      </c>
      <c r="CF46" s="58">
        <v>-157.6</v>
      </c>
      <c r="CG46" s="58">
        <v>-169</v>
      </c>
      <c r="CH46" s="58">
        <v>-77.099999999999994</v>
      </c>
      <c r="CI46" s="58">
        <v>-95.863</v>
      </c>
      <c r="CJ46" s="58">
        <v>-73.912999999999997</v>
      </c>
      <c r="CK46" s="58">
        <v>-100.77200000000001</v>
      </c>
      <c r="CL46" s="58">
        <v>-328.97300000000001</v>
      </c>
      <c r="CM46" s="58">
        <v>-523.86</v>
      </c>
      <c r="CN46" s="58">
        <v>-606.60799999999995</v>
      </c>
      <c r="CO46" s="206"/>
    </row>
    <row r="47" spans="1:94" x14ac:dyDescent="0.35">
      <c r="B47" s="10" t="str">
        <f>IF(Control!$D$5=1,"Net Income Taxes (Income Tax &amp; Social Contribution","Pagamento de IRPJ e CSLL")</f>
        <v>Pagamento de IRPJ e CSLL</v>
      </c>
      <c r="C47" s="159">
        <v>0</v>
      </c>
      <c r="D47" s="159">
        <v>0</v>
      </c>
      <c r="E47" s="58">
        <v>0</v>
      </c>
      <c r="F47" s="58">
        <v>0</v>
      </c>
      <c r="G47" s="159">
        <v>0</v>
      </c>
      <c r="H47" s="159">
        <v>0</v>
      </c>
      <c r="I47" s="58">
        <v>0</v>
      </c>
      <c r="J47" s="58">
        <v>0</v>
      </c>
      <c r="K47" s="159">
        <v>0</v>
      </c>
      <c r="L47" s="159">
        <v>0</v>
      </c>
      <c r="M47" s="58">
        <v>0</v>
      </c>
      <c r="N47" s="58">
        <v>0</v>
      </c>
      <c r="O47" s="159">
        <v>0</v>
      </c>
      <c r="P47" s="159">
        <v>-3.802</v>
      </c>
      <c r="Q47" s="58">
        <v>3.802</v>
      </c>
      <c r="R47" s="58">
        <v>0</v>
      </c>
      <c r="S47" s="58">
        <v>-11.548999999999999</v>
      </c>
      <c r="T47" s="159">
        <v>0</v>
      </c>
      <c r="U47" s="58">
        <v>0</v>
      </c>
      <c r="V47" s="58">
        <v>0</v>
      </c>
      <c r="W47" s="58">
        <v>-10.010999999999999</v>
      </c>
      <c r="X47" s="159">
        <v>0</v>
      </c>
      <c r="Y47" s="58">
        <v>-3.359</v>
      </c>
      <c r="Z47" s="58">
        <v>-2.3239999999999998</v>
      </c>
      <c r="AA47" s="58">
        <v>-1.1150000000000002</v>
      </c>
      <c r="AB47" s="159">
        <v>-1.8</v>
      </c>
      <c r="AC47" s="58">
        <v>-4.242</v>
      </c>
      <c r="AD47" s="58">
        <v>-1.79</v>
      </c>
      <c r="AE47" s="58">
        <v>-4.5750000000000002</v>
      </c>
      <c r="AF47" s="58">
        <v>-3.6840000000000002</v>
      </c>
      <c r="AG47" s="58">
        <v>-3.4159999999999995</v>
      </c>
      <c r="AH47" s="58">
        <v>-3.2000000000000011</v>
      </c>
      <c r="AI47" s="58">
        <v>-2.6999999999999993</v>
      </c>
      <c r="AJ47" s="58">
        <v>-2.5859999999999999</v>
      </c>
      <c r="AK47" s="58">
        <v>2.5859999999999999</v>
      </c>
      <c r="AL47" s="58">
        <v>0</v>
      </c>
      <c r="AM47" s="58">
        <v>0</v>
      </c>
      <c r="AN47" s="58">
        <v>-2.9630000000000001</v>
      </c>
      <c r="AO47" s="58">
        <v>2.9630000000000001</v>
      </c>
      <c r="AP47" s="58">
        <v>0</v>
      </c>
      <c r="AQ47" s="58">
        <v>0</v>
      </c>
      <c r="AR47" s="58">
        <v>0</v>
      </c>
      <c r="AS47" s="58">
        <v>-14.4</v>
      </c>
      <c r="AT47" s="58">
        <v>-13.799999999999999</v>
      </c>
      <c r="AU47" s="58">
        <v>-11.3</v>
      </c>
      <c r="AV47" s="58">
        <v>-7</v>
      </c>
      <c r="AW47" s="58">
        <v>-4.0830000000000002</v>
      </c>
      <c r="AX47" s="58">
        <v>-5.9700000000000006</v>
      </c>
      <c r="AY47" s="58">
        <v>-6.5209999999999999</v>
      </c>
      <c r="AZ47" s="58">
        <v>1.585</v>
      </c>
      <c r="BA47" s="58">
        <v>-4.5140000000000002</v>
      </c>
      <c r="BB47" s="58">
        <v>-27.692</v>
      </c>
      <c r="BC47" s="58">
        <v>10.968</v>
      </c>
      <c r="BD47" s="58">
        <v>-11.739000000000001</v>
      </c>
      <c r="BE47" s="58">
        <v>-3.9089999999999998</v>
      </c>
      <c r="BF47" s="58">
        <v>-5.0880000000000001</v>
      </c>
      <c r="BG47" s="58">
        <v>-5.5279999999999996</v>
      </c>
      <c r="BH47" s="58">
        <v>-5.2149999999999999</v>
      </c>
      <c r="BI47" s="58">
        <v>-4.7</v>
      </c>
      <c r="BJ47" s="58">
        <v>-4.1849999999999996</v>
      </c>
      <c r="BK47" s="58">
        <v>-3.5059999999999998</v>
      </c>
      <c r="BL47" s="58">
        <v>-5.5039999999999996</v>
      </c>
      <c r="BM47" s="58">
        <v>-4.641</v>
      </c>
      <c r="BN47" s="58">
        <v>-6.6829999999999998</v>
      </c>
      <c r="BO47" s="58">
        <v>5.266</v>
      </c>
      <c r="BP47" s="58">
        <v>-2.5779999999999998</v>
      </c>
      <c r="BQ47" s="71">
        <v>-3.6659999999999999</v>
      </c>
      <c r="BR47" s="71">
        <v>-3.4039999999999999</v>
      </c>
      <c r="BS47" s="71">
        <v>-1.6490000000000009</v>
      </c>
      <c r="BT47" s="71">
        <v>-15.305</v>
      </c>
      <c r="BU47" s="71">
        <v>2.25</v>
      </c>
      <c r="BV47" s="223"/>
      <c r="BW47" s="58">
        <v>0</v>
      </c>
      <c r="BX47" s="58">
        <v>0</v>
      </c>
      <c r="BY47" s="58">
        <v>0</v>
      </c>
      <c r="BZ47" s="58">
        <v>0</v>
      </c>
      <c r="CA47" s="58">
        <v>-11.548999999999999</v>
      </c>
      <c r="CB47" s="58">
        <v>-10.010999999999999</v>
      </c>
      <c r="CC47" s="58">
        <v>-6.798</v>
      </c>
      <c r="CD47" s="58">
        <v>-12.407</v>
      </c>
      <c r="CE47" s="58">
        <v>-13</v>
      </c>
      <c r="CF47" s="58">
        <v>0</v>
      </c>
      <c r="CG47" s="58">
        <v>-32.200000000000003</v>
      </c>
      <c r="CH47" s="58">
        <v>-39.5</v>
      </c>
      <c r="CI47" s="58">
        <v>-23.574000000000002</v>
      </c>
      <c r="CJ47" s="58">
        <v>-19.652999999999999</v>
      </c>
      <c r="CK47" s="58">
        <v>-22.646999999999998</v>
      </c>
      <c r="CL47" s="58">
        <v>-17.605999999999998</v>
      </c>
      <c r="CM47" s="58">
        <v>-11.561999999999999</v>
      </c>
      <c r="CN47" s="58">
        <v>-11.297000000000001</v>
      </c>
      <c r="CO47" s="206"/>
    </row>
    <row r="48" spans="1:94" s="6" customFormat="1" x14ac:dyDescent="0.35">
      <c r="A48" s="5"/>
      <c r="B48" s="179" t="str">
        <f>IF(Control!$D$5=1,"Cash Flow from Operations","Fluxo de Caixa de Operações")</f>
        <v>Fluxo de Caixa de Operações</v>
      </c>
      <c r="C48" s="180">
        <f t="shared" ref="C48:AH48" si="12">C39+C31+C28</f>
        <v>0</v>
      </c>
      <c r="D48" s="180">
        <f t="shared" si="12"/>
        <v>-83.356000000000037</v>
      </c>
      <c r="E48" s="180">
        <f t="shared" si="12"/>
        <v>9.0449999999999946</v>
      </c>
      <c r="F48" s="180">
        <f t="shared" si="12"/>
        <v>26.21100000000002</v>
      </c>
      <c r="G48" s="180">
        <f t="shared" si="12"/>
        <v>103.20699999999999</v>
      </c>
      <c r="H48" s="180">
        <f t="shared" si="12"/>
        <v>81.757000000000019</v>
      </c>
      <c r="I48" s="180">
        <f t="shared" si="12"/>
        <v>-33.408000000000001</v>
      </c>
      <c r="J48" s="180">
        <f t="shared" si="12"/>
        <v>70.350999999999999</v>
      </c>
      <c r="K48" s="180">
        <f t="shared" si="12"/>
        <v>12.108999999999998</v>
      </c>
      <c r="L48" s="180">
        <f t="shared" si="12"/>
        <v>8.0000000000000213</v>
      </c>
      <c r="M48" s="180">
        <f t="shared" si="12"/>
        <v>-51.645000000000024</v>
      </c>
      <c r="N48" s="180">
        <f t="shared" si="12"/>
        <v>96.796999999999997</v>
      </c>
      <c r="O48" s="180">
        <f t="shared" si="12"/>
        <v>68.754000000000005</v>
      </c>
      <c r="P48" s="180">
        <f t="shared" si="12"/>
        <v>4.6349999999999767</v>
      </c>
      <c r="Q48" s="180">
        <f t="shared" si="12"/>
        <v>-80.142999999999944</v>
      </c>
      <c r="R48" s="180">
        <f t="shared" si="12"/>
        <v>104.89199999999997</v>
      </c>
      <c r="S48" s="180">
        <f t="shared" si="12"/>
        <v>84.751000000000005</v>
      </c>
      <c r="T48" s="180">
        <f t="shared" si="12"/>
        <v>-35.783000000000015</v>
      </c>
      <c r="U48" s="180">
        <f t="shared" si="12"/>
        <v>-109.67899999999996</v>
      </c>
      <c r="V48" s="180">
        <f t="shared" si="12"/>
        <v>-41.901999999999973</v>
      </c>
      <c r="W48" s="180">
        <f t="shared" si="12"/>
        <v>156.87599999999998</v>
      </c>
      <c r="X48" s="180">
        <f t="shared" si="12"/>
        <v>4.5709999999999837</v>
      </c>
      <c r="Y48" s="180">
        <f t="shared" si="12"/>
        <v>-107.67700000000004</v>
      </c>
      <c r="Z48" s="180">
        <f t="shared" si="12"/>
        <v>104.31100000000002</v>
      </c>
      <c r="AA48" s="180">
        <f t="shared" si="12"/>
        <v>88.418999999999969</v>
      </c>
      <c r="AB48" s="180">
        <f t="shared" si="12"/>
        <v>59.899999999999991</v>
      </c>
      <c r="AC48" s="180">
        <f t="shared" si="12"/>
        <v>14.97300000000007</v>
      </c>
      <c r="AD48" s="180">
        <f t="shared" si="12"/>
        <v>108.31499999999998</v>
      </c>
      <c r="AE48" s="180">
        <f t="shared" si="12"/>
        <v>265.46600000000001</v>
      </c>
      <c r="AF48" s="180">
        <f t="shared" si="12"/>
        <v>15.611999999999867</v>
      </c>
      <c r="AG48" s="180">
        <f t="shared" si="12"/>
        <v>5.2880000000000251</v>
      </c>
      <c r="AH48" s="180">
        <f t="shared" si="12"/>
        <v>-38.900000000000034</v>
      </c>
      <c r="AI48" s="180">
        <f t="shared" ref="AI48:BU48" si="13">AI39+AI31+AI28</f>
        <v>356.29999999999995</v>
      </c>
      <c r="AJ48" s="180">
        <f t="shared" si="13"/>
        <v>22.820999999999884</v>
      </c>
      <c r="AK48" s="180">
        <f t="shared" si="13"/>
        <v>-221.43800000000005</v>
      </c>
      <c r="AL48" s="180">
        <f t="shared" si="13"/>
        <v>239.48800000000006</v>
      </c>
      <c r="AM48" s="180">
        <f t="shared" si="13"/>
        <v>253.42899999999997</v>
      </c>
      <c r="AN48" s="180">
        <f t="shared" si="13"/>
        <v>99.030999999999949</v>
      </c>
      <c r="AO48" s="180">
        <f t="shared" si="13"/>
        <v>-88.250000000000028</v>
      </c>
      <c r="AP48" s="180">
        <f t="shared" si="13"/>
        <v>182.25622868334321</v>
      </c>
      <c r="AQ48" s="180">
        <f t="shared" si="13"/>
        <v>294.96277131665681</v>
      </c>
      <c r="AR48" s="180">
        <f t="shared" si="13"/>
        <v>67.5</v>
      </c>
      <c r="AS48" s="180">
        <f t="shared" si="13"/>
        <v>-137.09999999999997</v>
      </c>
      <c r="AT48" s="180">
        <f t="shared" si="13"/>
        <v>-17.5</v>
      </c>
      <c r="AU48" s="180">
        <f t="shared" si="13"/>
        <v>181</v>
      </c>
      <c r="AV48" s="180">
        <f t="shared" si="13"/>
        <v>100.10000000000005</v>
      </c>
      <c r="AW48" s="180">
        <f t="shared" si="13"/>
        <v>-100.73800000000001</v>
      </c>
      <c r="AX48" s="180">
        <f t="shared" si="13"/>
        <v>-19.848000000000468</v>
      </c>
      <c r="AY48" s="180">
        <f t="shared" si="13"/>
        <v>590.03000000000009</v>
      </c>
      <c r="AZ48" s="180">
        <f t="shared" si="13"/>
        <v>-75.59300000000016</v>
      </c>
      <c r="BA48" s="180">
        <f t="shared" si="13"/>
        <v>-71.933999999999969</v>
      </c>
      <c r="BB48" s="180">
        <f t="shared" si="13"/>
        <v>146.48099999999999</v>
      </c>
      <c r="BC48" s="180">
        <f t="shared" si="13"/>
        <v>474.18099999999993</v>
      </c>
      <c r="BD48" s="180">
        <f t="shared" si="13"/>
        <v>31.649000000000001</v>
      </c>
      <c r="BE48" s="180">
        <f t="shared" si="13"/>
        <v>41.264000000000124</v>
      </c>
      <c r="BF48" s="180">
        <f t="shared" si="13"/>
        <v>186.38660601999999</v>
      </c>
      <c r="BG48" s="180">
        <f t="shared" si="13"/>
        <v>226.38286531999998</v>
      </c>
      <c r="BH48" s="180">
        <f t="shared" si="13"/>
        <v>-287.33373585277297</v>
      </c>
      <c r="BI48" s="180">
        <f t="shared" si="13"/>
        <v>104.94225822610002</v>
      </c>
      <c r="BJ48" s="180">
        <f t="shared" si="13"/>
        <v>-263.29119215613082</v>
      </c>
      <c r="BK48" s="180">
        <f t="shared" si="13"/>
        <v>306.85000000000002</v>
      </c>
      <c r="BL48" s="180">
        <f t="shared" si="13"/>
        <v>-294.70900000000006</v>
      </c>
      <c r="BM48" s="180">
        <f t="shared" si="13"/>
        <v>313.988</v>
      </c>
      <c r="BN48" s="180">
        <f t="shared" si="13"/>
        <v>-478.55200000000008</v>
      </c>
      <c r="BO48" s="180">
        <f t="shared" si="13"/>
        <v>1014.126</v>
      </c>
      <c r="BP48" s="180">
        <f t="shared" si="13"/>
        <v>-343.87499999999977</v>
      </c>
      <c r="BQ48" s="180">
        <f t="shared" si="13"/>
        <v>-178.69099999999997</v>
      </c>
      <c r="BR48" s="180">
        <f t="shared" si="13"/>
        <v>-215.804</v>
      </c>
      <c r="BS48" s="180">
        <f t="shared" si="13"/>
        <v>1569.7340000000002</v>
      </c>
      <c r="BT48" s="180">
        <f t="shared" si="13"/>
        <v>-756.95</v>
      </c>
      <c r="BU48" s="180">
        <f t="shared" si="13"/>
        <v>336.75799999999992</v>
      </c>
      <c r="BV48" s="223"/>
      <c r="BW48" s="180">
        <f t="shared" ref="BW48:CL48" si="14">BW39+BW31+BW28</f>
        <v>76.443999999999988</v>
      </c>
      <c r="BX48" s="180">
        <f t="shared" si="14"/>
        <v>31.137000000000029</v>
      </c>
      <c r="BY48" s="180">
        <f t="shared" si="14"/>
        <v>93.872</v>
      </c>
      <c r="BZ48" s="180">
        <f t="shared" si="14"/>
        <v>69.204000000000008</v>
      </c>
      <c r="CA48" s="180">
        <f t="shared" si="14"/>
        <v>31.745999999999981</v>
      </c>
      <c r="CB48" s="180">
        <f t="shared" si="14"/>
        <v>-106.71200000000005</v>
      </c>
      <c r="CC48" s="180">
        <f t="shared" si="14"/>
        <v>-0.83899999999999864</v>
      </c>
      <c r="CD48" s="180">
        <f t="shared" si="14"/>
        <v>341.95299999999997</v>
      </c>
      <c r="CE48" s="180">
        <f t="shared" si="14"/>
        <v>180.69999999999993</v>
      </c>
      <c r="CF48" s="180">
        <f t="shared" si="14"/>
        <v>136.69999999999999</v>
      </c>
      <c r="CG48" s="180">
        <f t="shared" si="14"/>
        <v>318.99999999999994</v>
      </c>
      <c r="CH48" s="180">
        <f t="shared" si="14"/>
        <v>142.77399999999989</v>
      </c>
      <c r="CI48" s="180">
        <f t="shared" si="14"/>
        <v>499.89499999999992</v>
      </c>
      <c r="CJ48" s="180">
        <f t="shared" si="14"/>
        <v>473.04300000000006</v>
      </c>
      <c r="CK48" s="180">
        <f t="shared" si="14"/>
        <v>485.62499999999989</v>
      </c>
      <c r="CL48" s="180">
        <f t="shared" si="14"/>
        <v>-138.92855463916499</v>
      </c>
      <c r="CM48" s="180">
        <f>CM39+CM31+CM28</f>
        <v>554.85300000000007</v>
      </c>
      <c r="CN48" s="180">
        <f>CN39+CN31+CN28</f>
        <v>831.36400000000003</v>
      </c>
      <c r="CO48" s="206"/>
      <c r="CP48" s="5"/>
    </row>
    <row r="49" spans="1:94" ht="6.75" customHeight="1" x14ac:dyDescent="0.35">
      <c r="B49" s="10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206"/>
    </row>
    <row r="50" spans="1:94" x14ac:dyDescent="0.35">
      <c r="A50" s="6"/>
      <c r="B50" s="10" t="str">
        <f>IF(Control!$D$5=1,"Short-Term Investments","Aplicações Financeiras")</f>
        <v>Aplicações Financeiras</v>
      </c>
      <c r="C50" s="123">
        <v>0</v>
      </c>
      <c r="D50" s="123">
        <v>0</v>
      </c>
      <c r="E50" s="123">
        <v>0</v>
      </c>
      <c r="F50" s="123">
        <v>0</v>
      </c>
      <c r="G50" s="123">
        <v>0</v>
      </c>
      <c r="H50" s="123">
        <v>0</v>
      </c>
      <c r="I50" s="123">
        <v>0</v>
      </c>
      <c r="J50" s="124">
        <v>0</v>
      </c>
      <c r="K50" s="123">
        <v>0</v>
      </c>
      <c r="L50" s="123">
        <v>0</v>
      </c>
      <c r="M50" s="123">
        <v>0</v>
      </c>
      <c r="N50" s="124">
        <v>0</v>
      </c>
      <c r="O50" s="123">
        <v>0</v>
      </c>
      <c r="P50" s="123">
        <v>0</v>
      </c>
      <c r="Q50" s="123">
        <v>-1.645</v>
      </c>
      <c r="R50" s="123">
        <v>-30.231999999999999</v>
      </c>
      <c r="S50" s="123">
        <v>-226.29599999999999</v>
      </c>
      <c r="T50" s="123">
        <v>173.65600000000001</v>
      </c>
      <c r="U50" s="123">
        <v>-207.34800000000001</v>
      </c>
      <c r="V50" s="123">
        <v>44.04</v>
      </c>
      <c r="W50" s="123">
        <v>-20.518000000000001</v>
      </c>
      <c r="X50" s="123">
        <v>74.242999999999995</v>
      </c>
      <c r="Y50" s="123">
        <v>-19.865999999999993</v>
      </c>
      <c r="Z50" s="123">
        <v>156.268</v>
      </c>
      <c r="AA50" s="123">
        <v>53.801000000000016</v>
      </c>
      <c r="AB50" s="123">
        <v>-152</v>
      </c>
      <c r="AC50" s="123">
        <v>-87.364000000000004</v>
      </c>
      <c r="AD50" s="123">
        <v>15.564999999999998</v>
      </c>
      <c r="AE50" s="123">
        <v>159.30900000000003</v>
      </c>
      <c r="AF50" s="123">
        <v>127.65300000000001</v>
      </c>
      <c r="AG50" s="123">
        <v>-123.35300000000001</v>
      </c>
      <c r="AH50" s="123">
        <v>152.1</v>
      </c>
      <c r="AI50" s="123">
        <v>-28.300000000000011</v>
      </c>
      <c r="AJ50" s="123">
        <v>-12.67</v>
      </c>
      <c r="AK50" s="123">
        <v>-38.637</v>
      </c>
      <c r="AL50" s="123">
        <v>-42.429999999999993</v>
      </c>
      <c r="AM50" s="58">
        <v>-373.76300000000003</v>
      </c>
      <c r="AN50" s="123">
        <v>449.012</v>
      </c>
      <c r="AO50" s="123">
        <v>-164.60500000000002</v>
      </c>
      <c r="AP50" s="123">
        <v>-19.248999999999967</v>
      </c>
      <c r="AQ50" s="58">
        <v>-200.05800000000002</v>
      </c>
      <c r="AR50" s="58">
        <v>252.2</v>
      </c>
      <c r="AS50" s="58">
        <v>-111.1</v>
      </c>
      <c r="AT50" s="58">
        <v>58.200000000000017</v>
      </c>
      <c r="AU50" s="58">
        <v>207.4</v>
      </c>
      <c r="AV50" s="58">
        <v>-303.5</v>
      </c>
      <c r="AW50" s="58">
        <v>-4.4259999999999877</v>
      </c>
      <c r="AX50" s="58">
        <v>155.268</v>
      </c>
      <c r="AY50" s="58">
        <v>151.82499999999999</v>
      </c>
      <c r="AZ50" s="58">
        <v>-114.22499999999999</v>
      </c>
      <c r="BA50" s="58">
        <v>113.571</v>
      </c>
      <c r="BB50" s="58">
        <v>0.38900000000000001</v>
      </c>
      <c r="BC50" s="58">
        <v>-0.36599999999999999</v>
      </c>
      <c r="BD50" s="58">
        <v>-0.214</v>
      </c>
      <c r="BE50" s="58">
        <v>-0.437</v>
      </c>
      <c r="BF50" s="58">
        <v>-0.47899999999999998</v>
      </c>
      <c r="BG50" s="58">
        <v>0.34100000000000003</v>
      </c>
      <c r="BH50" s="58">
        <v>-0.92300000000000004</v>
      </c>
      <c r="BI50" s="58">
        <v>-1.3069999999999999</v>
      </c>
      <c r="BJ50" s="58">
        <v>-1.105</v>
      </c>
      <c r="BK50" s="58">
        <v>23.3</v>
      </c>
      <c r="BL50" s="58">
        <v>-0.439</v>
      </c>
      <c r="BM50" s="58">
        <v>-1.889</v>
      </c>
      <c r="BN50" s="58">
        <v>0.79300000000000004</v>
      </c>
      <c r="BO50" s="58">
        <v>0.33399999999999963</v>
      </c>
      <c r="BP50" s="58">
        <v>0.89700000000000002</v>
      </c>
      <c r="BQ50" s="71">
        <v>-0.34599999999999997</v>
      </c>
      <c r="BR50" s="71">
        <v>-0.36299999999999999</v>
      </c>
      <c r="BS50" s="71">
        <v>-2.02</v>
      </c>
      <c r="BT50" s="71">
        <v>15.548999999999999</v>
      </c>
      <c r="BU50" s="71">
        <v>-2.1619999999999999</v>
      </c>
      <c r="BV50" s="223"/>
      <c r="BW50" s="58">
        <v>0</v>
      </c>
      <c r="BX50" s="58">
        <v>0</v>
      </c>
      <c r="BY50" s="58">
        <v>0</v>
      </c>
      <c r="BZ50" s="58">
        <v>0</v>
      </c>
      <c r="CA50" s="58">
        <v>-258.173</v>
      </c>
      <c r="CB50" s="58">
        <v>-10.17</v>
      </c>
      <c r="CC50" s="58">
        <v>264.44600000000003</v>
      </c>
      <c r="CD50" s="58">
        <v>-64.489999999999995</v>
      </c>
      <c r="CE50" s="58">
        <v>128.1</v>
      </c>
      <c r="CF50" s="58">
        <v>-467.5</v>
      </c>
      <c r="CG50" s="58">
        <v>65.099999999999994</v>
      </c>
      <c r="CH50" s="58">
        <v>406.7</v>
      </c>
      <c r="CI50" s="58">
        <v>-0.83299999999999996</v>
      </c>
      <c r="CJ50" s="58">
        <v>-0.63100000000000001</v>
      </c>
      <c r="CK50" s="58">
        <v>-0.78900000000000003</v>
      </c>
      <c r="CL50" s="58">
        <v>19.972000000000001</v>
      </c>
      <c r="CM50" s="58">
        <v>-1.2010000000000001</v>
      </c>
      <c r="CN50" s="58">
        <v>-1.8319999999999999</v>
      </c>
      <c r="CO50" s="206"/>
    </row>
    <row r="51" spans="1:94" outlineLevel="1" x14ac:dyDescent="0.35">
      <c r="B51" s="10" t="str">
        <f>IF(Control!$D$5=1,"Received Dividends","Dividendos Recebidos")</f>
        <v>Dividendos Recebidos</v>
      </c>
      <c r="C51" s="123">
        <v>0</v>
      </c>
      <c r="D51" s="123">
        <v>0</v>
      </c>
      <c r="E51" s="123">
        <v>0</v>
      </c>
      <c r="F51" s="123">
        <v>0</v>
      </c>
      <c r="G51" s="123">
        <v>0</v>
      </c>
      <c r="H51" s="125">
        <v>0</v>
      </c>
      <c r="I51" s="123">
        <v>0</v>
      </c>
      <c r="J51" s="124">
        <v>0</v>
      </c>
      <c r="K51" s="123">
        <v>0</v>
      </c>
      <c r="L51" s="125">
        <v>0</v>
      </c>
      <c r="M51" s="123">
        <v>0</v>
      </c>
      <c r="N51" s="124">
        <v>0</v>
      </c>
      <c r="O51" s="125">
        <v>0</v>
      </c>
      <c r="P51" s="125">
        <v>0</v>
      </c>
      <c r="Q51" s="124">
        <v>0</v>
      </c>
      <c r="R51" s="124">
        <v>0</v>
      </c>
      <c r="S51" s="124">
        <v>0</v>
      </c>
      <c r="T51" s="125">
        <v>0</v>
      </c>
      <c r="U51" s="124">
        <v>0</v>
      </c>
      <c r="V51" s="124">
        <v>0</v>
      </c>
      <c r="W51" s="124">
        <v>0</v>
      </c>
      <c r="X51" s="125">
        <v>0</v>
      </c>
      <c r="Y51" s="124">
        <v>0</v>
      </c>
      <c r="Z51" s="124">
        <v>0</v>
      </c>
      <c r="AA51" s="124">
        <v>0</v>
      </c>
      <c r="AB51" s="125">
        <v>0</v>
      </c>
      <c r="AC51" s="124">
        <v>0</v>
      </c>
      <c r="AD51" s="124">
        <v>0</v>
      </c>
      <c r="AE51" s="124">
        <v>0</v>
      </c>
      <c r="AF51" s="124">
        <v>0</v>
      </c>
      <c r="AG51" s="124">
        <v>0</v>
      </c>
      <c r="AH51" s="124">
        <v>0</v>
      </c>
      <c r="AI51" s="124">
        <v>0</v>
      </c>
      <c r="AJ51" s="124">
        <v>0</v>
      </c>
      <c r="AK51" s="124">
        <v>0</v>
      </c>
      <c r="AL51" s="124">
        <v>0</v>
      </c>
      <c r="AM51" s="58">
        <v>0</v>
      </c>
      <c r="AN51" s="124">
        <v>0</v>
      </c>
      <c r="AO51" s="124">
        <v>0</v>
      </c>
      <c r="AP51" s="124">
        <v>0</v>
      </c>
      <c r="AQ51" s="58">
        <v>0</v>
      </c>
      <c r="AR51" s="58">
        <v>0</v>
      </c>
      <c r="AS51" s="58">
        <v>0</v>
      </c>
      <c r="AT51" s="58">
        <v>0</v>
      </c>
      <c r="AU51" s="58"/>
      <c r="AV51" s="58">
        <v>0</v>
      </c>
      <c r="AW51" s="58">
        <v>0</v>
      </c>
      <c r="AX51" s="58">
        <v>0</v>
      </c>
      <c r="AY51" s="58">
        <v>0</v>
      </c>
      <c r="AZ51" s="58">
        <v>0</v>
      </c>
      <c r="BA51" s="58">
        <v>0</v>
      </c>
      <c r="BB51" s="58">
        <v>0</v>
      </c>
      <c r="BC51" s="58">
        <v>0</v>
      </c>
      <c r="BD51" s="58">
        <v>0</v>
      </c>
      <c r="BE51" s="58">
        <v>0</v>
      </c>
      <c r="BF51" s="58">
        <v>0</v>
      </c>
      <c r="BG51" s="58">
        <v>0</v>
      </c>
      <c r="BH51" s="58">
        <v>0</v>
      </c>
      <c r="BI51" s="58">
        <v>0</v>
      </c>
      <c r="BJ51" s="58">
        <v>0</v>
      </c>
      <c r="BK51" s="58">
        <v>0</v>
      </c>
      <c r="BL51" s="58">
        <v>0</v>
      </c>
      <c r="BM51" s="58">
        <v>0</v>
      </c>
      <c r="BN51" s="58"/>
      <c r="BO51" s="58">
        <v>0</v>
      </c>
      <c r="BP51" s="58">
        <v>0</v>
      </c>
      <c r="BQ51" s="71">
        <v>0</v>
      </c>
      <c r="BR51" s="71">
        <v>0</v>
      </c>
      <c r="BS51" s="71">
        <v>2.343</v>
      </c>
      <c r="BT51" s="71">
        <v>0</v>
      </c>
      <c r="BU51" s="71">
        <v>0.46600000000000003</v>
      </c>
      <c r="BW51" s="58">
        <v>0</v>
      </c>
      <c r="BX51" s="58">
        <v>0</v>
      </c>
      <c r="BY51" s="58">
        <v>0</v>
      </c>
      <c r="BZ51" s="58">
        <v>0</v>
      </c>
      <c r="CA51" s="58">
        <v>0</v>
      </c>
      <c r="CB51" s="58">
        <v>0</v>
      </c>
      <c r="CC51" s="58">
        <v>0</v>
      </c>
      <c r="CD51" s="58">
        <v>0</v>
      </c>
      <c r="CE51" s="58">
        <v>0</v>
      </c>
      <c r="CF51" s="58">
        <v>0</v>
      </c>
      <c r="CG51" s="58">
        <v>0</v>
      </c>
      <c r="CH51" s="58">
        <v>0</v>
      </c>
      <c r="CI51" s="58">
        <v>0</v>
      </c>
      <c r="CJ51" s="58">
        <v>0</v>
      </c>
      <c r="CK51" s="58"/>
      <c r="CL51" s="58">
        <v>0</v>
      </c>
      <c r="CM51" s="58">
        <v>0</v>
      </c>
      <c r="CN51" s="58">
        <v>2.343</v>
      </c>
      <c r="CO51" s="206"/>
    </row>
    <row r="52" spans="1:94" x14ac:dyDescent="0.35">
      <c r="A52" s="6"/>
      <c r="B52" s="10" t="str">
        <f>IF(Control!$D$5=1,"Disposal of Property, Plant and Equipment","Venda Imobilizado")</f>
        <v>Venda Imobilizado</v>
      </c>
      <c r="C52" s="123">
        <v>0</v>
      </c>
      <c r="D52" s="123">
        <v>0</v>
      </c>
      <c r="E52" s="123">
        <v>0</v>
      </c>
      <c r="F52" s="123">
        <v>0</v>
      </c>
      <c r="G52" s="123">
        <v>0</v>
      </c>
      <c r="H52" s="125">
        <v>0</v>
      </c>
      <c r="I52" s="123">
        <v>0</v>
      </c>
      <c r="J52" s="124">
        <v>0</v>
      </c>
      <c r="K52" s="123">
        <v>0</v>
      </c>
      <c r="L52" s="125">
        <v>0</v>
      </c>
      <c r="M52" s="123">
        <v>0</v>
      </c>
      <c r="N52" s="124">
        <v>0</v>
      </c>
      <c r="O52" s="125">
        <v>0</v>
      </c>
      <c r="P52" s="125">
        <v>0</v>
      </c>
      <c r="Q52" s="124">
        <v>0</v>
      </c>
      <c r="R52" s="124">
        <v>0</v>
      </c>
      <c r="S52" s="124">
        <v>0</v>
      </c>
      <c r="T52" s="125">
        <v>0</v>
      </c>
      <c r="U52" s="124">
        <v>0</v>
      </c>
      <c r="V52" s="124">
        <v>0</v>
      </c>
      <c r="W52" s="124">
        <v>0</v>
      </c>
      <c r="X52" s="125">
        <v>0</v>
      </c>
      <c r="Y52" s="124">
        <v>15</v>
      </c>
      <c r="Z52" s="124">
        <v>2.0689999999999991</v>
      </c>
      <c r="AA52" s="124">
        <v>0.16600000000000037</v>
      </c>
      <c r="AB52" s="125">
        <v>0.2</v>
      </c>
      <c r="AC52" s="124">
        <v>5.3890000000000002</v>
      </c>
      <c r="AD52" s="124">
        <v>-5.5890000000000004</v>
      </c>
      <c r="AE52" s="124">
        <v>6.2679999999999998</v>
      </c>
      <c r="AF52" s="124">
        <v>0</v>
      </c>
      <c r="AG52" s="124">
        <v>0</v>
      </c>
      <c r="AH52" s="124">
        <v>0</v>
      </c>
      <c r="AI52" s="124">
        <v>8.5</v>
      </c>
      <c r="AJ52" s="124">
        <v>4.8490000000000002</v>
      </c>
      <c r="AK52" s="124">
        <v>0</v>
      </c>
      <c r="AL52" s="124">
        <v>2.9079999999999995</v>
      </c>
      <c r="AM52" s="58">
        <v>1.843</v>
      </c>
      <c r="AN52" s="124">
        <v>1.9470000000000001</v>
      </c>
      <c r="AO52" s="124">
        <v>1.9529999999999998</v>
      </c>
      <c r="AP52" s="124">
        <v>2.0779999999999998</v>
      </c>
      <c r="AQ52" s="58">
        <v>2.1219999999999999</v>
      </c>
      <c r="AR52" s="58">
        <v>2.1</v>
      </c>
      <c r="AS52" s="58">
        <v>3.8000000000000003</v>
      </c>
      <c r="AT52" s="58">
        <v>3.8000000000000003</v>
      </c>
      <c r="AU52" s="58">
        <v>0.2</v>
      </c>
      <c r="AV52" s="58">
        <v>0</v>
      </c>
      <c r="AW52" s="58">
        <v>0.33100000000000002</v>
      </c>
      <c r="AX52" s="58">
        <v>0.14699999999999996</v>
      </c>
      <c r="AY52" s="58">
        <v>1.6E-2</v>
      </c>
      <c r="AZ52" s="58">
        <v>0.52600000000000002</v>
      </c>
      <c r="BA52" s="58">
        <v>0.27300000000000002</v>
      </c>
      <c r="BB52" s="58">
        <v>0.2</v>
      </c>
      <c r="BC52" s="58">
        <v>0.44900000000000001</v>
      </c>
      <c r="BD52" s="58">
        <v>0.54800000000000004</v>
      </c>
      <c r="BE52" s="58">
        <v>0.34399999999999997</v>
      </c>
      <c r="BF52" s="58">
        <v>27.113</v>
      </c>
      <c r="BG52" s="58">
        <v>0.59299999999999997</v>
      </c>
      <c r="BH52" s="58">
        <v>0.26</v>
      </c>
      <c r="BI52" s="58">
        <v>0.19700000000000001</v>
      </c>
      <c r="BJ52" s="58">
        <v>0.42099999999999999</v>
      </c>
      <c r="BK52" s="58">
        <v>0.19900000000000001</v>
      </c>
      <c r="BL52" s="58">
        <v>7.6999999999999999E-2</v>
      </c>
      <c r="BM52" s="58">
        <v>0.17599999999999999</v>
      </c>
      <c r="BN52" s="58">
        <v>0.27900000000000003</v>
      </c>
      <c r="BO52" s="58">
        <v>8.0999999999999961E-2</v>
      </c>
      <c r="BP52" s="58">
        <v>0</v>
      </c>
      <c r="BQ52" s="71">
        <v>0.49199999999999999</v>
      </c>
      <c r="BR52" s="71">
        <v>1.2E-2</v>
      </c>
      <c r="BS52" s="71">
        <v>-4.0000000000000036E-3</v>
      </c>
      <c r="BT52" s="71">
        <v>0.28499999999999998</v>
      </c>
      <c r="BU52" s="71">
        <v>0.60799999999999998</v>
      </c>
      <c r="BV52" s="223"/>
      <c r="BW52" s="58">
        <v>0</v>
      </c>
      <c r="BX52" s="58">
        <v>0</v>
      </c>
      <c r="BY52" s="58">
        <v>0</v>
      </c>
      <c r="BZ52" s="58">
        <v>0</v>
      </c>
      <c r="CA52" s="58">
        <v>0</v>
      </c>
      <c r="CB52" s="58">
        <v>0</v>
      </c>
      <c r="CC52" s="58">
        <v>17.234999999999999</v>
      </c>
      <c r="CD52" s="58">
        <v>6.2679999999999998</v>
      </c>
      <c r="CE52" s="58">
        <v>8.5</v>
      </c>
      <c r="CF52" s="58">
        <v>9.6</v>
      </c>
      <c r="CG52" s="58">
        <v>8.1</v>
      </c>
      <c r="CH52" s="58">
        <v>6.1</v>
      </c>
      <c r="CI52" s="58">
        <v>0.49399999999999999</v>
      </c>
      <c r="CJ52" s="58">
        <v>1.46</v>
      </c>
      <c r="CK52" s="58">
        <v>28.597999999999999</v>
      </c>
      <c r="CL52" s="58">
        <v>1.077</v>
      </c>
      <c r="CM52" s="58">
        <v>0.61299999999999999</v>
      </c>
      <c r="CN52" s="58">
        <v>0.5</v>
      </c>
      <c r="CO52" s="206"/>
    </row>
    <row r="53" spans="1:94" x14ac:dyDescent="0.35">
      <c r="A53" s="6"/>
      <c r="B53" s="10" t="str">
        <f>IF(Control!$D$5=1,"Disposal of Investments","Venda de Investimentos")</f>
        <v>Venda de Investimentos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>
        <v>0</v>
      </c>
      <c r="AA53" s="58">
        <v>0</v>
      </c>
      <c r="AB53" s="58">
        <v>0</v>
      </c>
      <c r="AC53" s="58">
        <v>0</v>
      </c>
      <c r="AD53" s="58">
        <v>0</v>
      </c>
      <c r="AE53" s="58">
        <v>0</v>
      </c>
      <c r="AF53" s="58">
        <v>0</v>
      </c>
      <c r="AG53" s="58">
        <v>0</v>
      </c>
      <c r="AH53" s="58">
        <v>0</v>
      </c>
      <c r="AI53" s="58">
        <v>0</v>
      </c>
      <c r="AJ53" s="58">
        <v>0</v>
      </c>
      <c r="AK53" s="58">
        <v>0</v>
      </c>
      <c r="AL53" s="58">
        <v>0</v>
      </c>
      <c r="AM53" s="58">
        <v>0</v>
      </c>
      <c r="AN53" s="58">
        <v>0</v>
      </c>
      <c r="AO53" s="58">
        <v>0</v>
      </c>
      <c r="AP53" s="58">
        <v>0</v>
      </c>
      <c r="AQ53" s="58">
        <v>0</v>
      </c>
      <c r="AR53" s="58">
        <v>0</v>
      </c>
      <c r="AS53" s="58">
        <v>0</v>
      </c>
      <c r="AT53" s="58">
        <v>0</v>
      </c>
      <c r="AU53" s="58">
        <v>0</v>
      </c>
      <c r="AV53" s="58">
        <v>0</v>
      </c>
      <c r="AW53" s="58">
        <v>0</v>
      </c>
      <c r="AX53" s="58">
        <v>0</v>
      </c>
      <c r="AY53" s="58">
        <v>0</v>
      </c>
      <c r="AZ53" s="58">
        <v>0</v>
      </c>
      <c r="BA53" s="58">
        <v>0</v>
      </c>
      <c r="BB53" s="58">
        <v>0</v>
      </c>
      <c r="BC53" s="58">
        <v>0</v>
      </c>
      <c r="BD53" s="58">
        <v>0</v>
      </c>
      <c r="BE53" s="58">
        <v>0</v>
      </c>
      <c r="BF53" s="58">
        <v>0</v>
      </c>
      <c r="BG53" s="58">
        <v>0</v>
      </c>
      <c r="BH53" s="58">
        <v>-148.902947869325</v>
      </c>
      <c r="BI53" s="58">
        <v>-3.6669999999999998</v>
      </c>
      <c r="BJ53" s="58">
        <v>3.6669999999999998</v>
      </c>
      <c r="BK53" s="58">
        <v>0</v>
      </c>
      <c r="BL53" s="58">
        <v>0</v>
      </c>
      <c r="BM53" s="58">
        <v>0</v>
      </c>
      <c r="BN53" s="58">
        <v>0</v>
      </c>
      <c r="BO53" s="58">
        <v>0</v>
      </c>
      <c r="BP53" s="58">
        <v>0</v>
      </c>
      <c r="BQ53" s="71">
        <v>0</v>
      </c>
      <c r="BR53" s="71">
        <v>0</v>
      </c>
      <c r="BS53" s="71">
        <v>0</v>
      </c>
      <c r="BT53" s="71">
        <v>0</v>
      </c>
      <c r="BU53" s="71">
        <v>0</v>
      </c>
      <c r="BV53" s="223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>
        <v>3.6669999999999998</v>
      </c>
      <c r="CM53" s="58">
        <v>0</v>
      </c>
      <c r="CN53" s="58">
        <v>0</v>
      </c>
      <c r="CO53" s="206"/>
    </row>
    <row r="54" spans="1:94" x14ac:dyDescent="0.35">
      <c r="A54" s="6"/>
      <c r="B54" s="10" t="str">
        <f>IF(Control!$D$5=1,"Additions to Intagible Assets","Investimentos em Intangível")</f>
        <v>Investimentos em Intangível</v>
      </c>
      <c r="C54" s="123">
        <v>0</v>
      </c>
      <c r="D54" s="123">
        <v>-0.03</v>
      </c>
      <c r="E54" s="123">
        <v>-0.16300000000000001</v>
      </c>
      <c r="F54" s="124">
        <v>9.2999999999999999E-2</v>
      </c>
      <c r="G54" s="123">
        <v>-0.23400000000000001</v>
      </c>
      <c r="H54" s="125">
        <v>1.6E-2</v>
      </c>
      <c r="I54" s="123">
        <v>-4.1999999999999996E-2</v>
      </c>
      <c r="J54" s="124">
        <v>-7.400000000000001E-2</v>
      </c>
      <c r="K54" s="123">
        <v>-2.6909999999999998</v>
      </c>
      <c r="L54" s="125">
        <v>-2.5000000000000001E-2</v>
      </c>
      <c r="M54" s="123">
        <v>-0.17</v>
      </c>
      <c r="N54" s="124">
        <v>-0.16099999999999998</v>
      </c>
      <c r="O54" s="125">
        <v>-10.455</v>
      </c>
      <c r="P54" s="125">
        <v>-0.505</v>
      </c>
      <c r="Q54" s="124">
        <v>-0.96000000000000008</v>
      </c>
      <c r="R54" s="124">
        <v>-137.261</v>
      </c>
      <c r="S54" s="124">
        <v>137.63900000000001</v>
      </c>
      <c r="T54" s="125">
        <v>-5.8999999999999997E-2</v>
      </c>
      <c r="U54" s="124">
        <v>0</v>
      </c>
      <c r="V54" s="124">
        <v>5.8999999999999997E-2</v>
      </c>
      <c r="W54" s="124">
        <v>-0.32800000000000001</v>
      </c>
      <c r="X54" s="125">
        <v>-0.77400000000000002</v>
      </c>
      <c r="Y54" s="124">
        <v>-6.7999999999999949E-2</v>
      </c>
      <c r="Z54" s="124">
        <v>-0.10299999999999998</v>
      </c>
      <c r="AA54" s="124">
        <v>-0.17700000000000016</v>
      </c>
      <c r="AB54" s="125">
        <v>0</v>
      </c>
      <c r="AC54" s="124">
        <v>-0.55200000000000005</v>
      </c>
      <c r="AD54" s="124">
        <v>0</v>
      </c>
      <c r="AE54" s="124">
        <v>-0.59299999999999997</v>
      </c>
      <c r="AF54" s="124">
        <v>-0.372</v>
      </c>
      <c r="AG54" s="124">
        <v>-0.42800000000000005</v>
      </c>
      <c r="AH54" s="124">
        <v>-0.5</v>
      </c>
      <c r="AI54" s="124">
        <v>-1.8</v>
      </c>
      <c r="AJ54" s="124">
        <v>-0.23300000000000001</v>
      </c>
      <c r="AK54" s="124">
        <v>-1.8969999999999998</v>
      </c>
      <c r="AL54" s="124">
        <v>-1.6270000000000002</v>
      </c>
      <c r="AM54" s="58">
        <v>1.2570000000000001</v>
      </c>
      <c r="AN54" s="124">
        <v>-5.0999999999999997E-2</v>
      </c>
      <c r="AO54" s="124">
        <v>-1.149</v>
      </c>
      <c r="AP54" s="124">
        <v>-6.0000000000000053E-2</v>
      </c>
      <c r="AQ54" s="58">
        <v>-3.54</v>
      </c>
      <c r="AR54" s="58">
        <v>0</v>
      </c>
      <c r="AS54" s="58">
        <v>0</v>
      </c>
      <c r="AT54" s="58">
        <v>-5.8</v>
      </c>
      <c r="AU54" s="58">
        <v>26.4</v>
      </c>
      <c r="AV54" s="58">
        <v>-9.4</v>
      </c>
      <c r="AW54" s="58">
        <v>-5.0579999999999998</v>
      </c>
      <c r="AX54" s="58">
        <v>-3.2200000000000006</v>
      </c>
      <c r="AY54" s="58">
        <v>-1.403</v>
      </c>
      <c r="AZ54" s="58">
        <v>-2.395</v>
      </c>
      <c r="BA54" s="58">
        <v>-5.1639999999999997</v>
      </c>
      <c r="BB54" s="58">
        <v>-5.7</v>
      </c>
      <c r="BC54" s="58">
        <v>-7.2949999999999999</v>
      </c>
      <c r="BD54" s="58">
        <v>-7.34</v>
      </c>
      <c r="BE54" s="58">
        <v>-8.1609999999999996</v>
      </c>
      <c r="BF54" s="58">
        <v>-201.19300000000001</v>
      </c>
      <c r="BG54" s="58">
        <v>141.792</v>
      </c>
      <c r="BH54" s="58">
        <v>-2.5550000000000002</v>
      </c>
      <c r="BI54" s="58">
        <v>-4.1159999999999997</v>
      </c>
      <c r="BJ54" s="58">
        <v>-2.6982152138689997</v>
      </c>
      <c r="BK54" s="58">
        <v>-14.909000000000001</v>
      </c>
      <c r="BL54" s="58">
        <v>-4.1189999999999998</v>
      </c>
      <c r="BM54" s="58">
        <v>0</v>
      </c>
      <c r="BN54" s="58">
        <v>0</v>
      </c>
      <c r="BO54" s="58">
        <v>0</v>
      </c>
      <c r="BP54" s="58">
        <v>0</v>
      </c>
      <c r="BQ54" s="71">
        <v>0</v>
      </c>
      <c r="BR54" s="71">
        <v>0</v>
      </c>
      <c r="BS54" s="71">
        <v>0</v>
      </c>
      <c r="BT54" s="71">
        <v>0</v>
      </c>
      <c r="BU54" s="71">
        <v>0</v>
      </c>
      <c r="BV54" s="223"/>
      <c r="BW54" s="58">
        <v>-0.75</v>
      </c>
      <c r="BX54" s="58">
        <v>-0.33400000000000002</v>
      </c>
      <c r="BY54" s="58">
        <v>-2.7909999999999999</v>
      </c>
      <c r="BZ54" s="58">
        <v>-10.811</v>
      </c>
      <c r="CA54" s="58">
        <v>-1.087</v>
      </c>
      <c r="CB54" s="58">
        <v>-0.32800000000000001</v>
      </c>
      <c r="CC54" s="58">
        <v>-1.1220000000000001</v>
      </c>
      <c r="CD54" s="58">
        <v>-1.145</v>
      </c>
      <c r="CE54" s="58">
        <v>-3.1</v>
      </c>
      <c r="CF54" s="58">
        <v>-2.5</v>
      </c>
      <c r="CG54" s="58">
        <v>-4.8</v>
      </c>
      <c r="CH54" s="58">
        <v>-10.066000000000001</v>
      </c>
      <c r="CI54" s="58">
        <v>-19.081</v>
      </c>
      <c r="CJ54" s="58">
        <v>-20.533000000000001</v>
      </c>
      <c r="CK54" s="58">
        <v>-74.902000000000001</v>
      </c>
      <c r="CL54" s="58">
        <v>-24.278215213869</v>
      </c>
      <c r="CM54" s="58">
        <v>0</v>
      </c>
      <c r="CN54" s="58">
        <v>0</v>
      </c>
      <c r="CO54" s="206"/>
    </row>
    <row r="55" spans="1:94" x14ac:dyDescent="0.35">
      <c r="A55" s="6"/>
      <c r="B55" s="10" t="s">
        <v>25</v>
      </c>
      <c r="C55" s="123">
        <v>0</v>
      </c>
      <c r="D55" s="123">
        <v>0</v>
      </c>
      <c r="E55" s="123">
        <v>0</v>
      </c>
      <c r="F55" s="123">
        <v>0</v>
      </c>
      <c r="G55" s="123">
        <v>0</v>
      </c>
      <c r="H55" s="123">
        <v>0</v>
      </c>
      <c r="I55" s="123">
        <v>0</v>
      </c>
      <c r="J55" s="123">
        <v>0</v>
      </c>
      <c r="K55" s="123">
        <v>0</v>
      </c>
      <c r="L55" s="123">
        <v>0</v>
      </c>
      <c r="M55" s="123">
        <v>0</v>
      </c>
      <c r="N55" s="123">
        <v>0</v>
      </c>
      <c r="O55" s="123">
        <v>0</v>
      </c>
      <c r="P55" s="123">
        <v>0</v>
      </c>
      <c r="Q55" s="123">
        <v>0</v>
      </c>
      <c r="R55" s="123">
        <v>0</v>
      </c>
      <c r="S55" s="123">
        <v>0</v>
      </c>
      <c r="T55" s="123">
        <v>0</v>
      </c>
      <c r="U55" s="123">
        <v>0</v>
      </c>
      <c r="V55" s="123">
        <v>0</v>
      </c>
      <c r="W55" s="123">
        <v>0</v>
      </c>
      <c r="X55" s="123">
        <v>0</v>
      </c>
      <c r="Y55" s="123">
        <v>0</v>
      </c>
      <c r="Z55" s="123">
        <v>0</v>
      </c>
      <c r="AA55" s="123">
        <v>0</v>
      </c>
      <c r="AB55" s="123">
        <v>0</v>
      </c>
      <c r="AC55" s="123">
        <v>0</v>
      </c>
      <c r="AD55" s="123">
        <v>0</v>
      </c>
      <c r="AE55" s="123">
        <v>0</v>
      </c>
      <c r="AF55" s="123">
        <v>0</v>
      </c>
      <c r="AG55" s="123">
        <v>0</v>
      </c>
      <c r="AH55" s="123">
        <v>0</v>
      </c>
      <c r="AI55" s="123">
        <v>0</v>
      </c>
      <c r="AJ55" s="123">
        <v>0</v>
      </c>
      <c r="AK55" s="123">
        <v>0</v>
      </c>
      <c r="AL55" s="123">
        <v>0</v>
      </c>
      <c r="AM55" s="123">
        <v>0</v>
      </c>
      <c r="AN55" s="123">
        <v>0</v>
      </c>
      <c r="AO55" s="123">
        <v>0</v>
      </c>
      <c r="AP55" s="123">
        <v>0</v>
      </c>
      <c r="AQ55" s="123">
        <v>0</v>
      </c>
      <c r="AR55" s="123">
        <v>0</v>
      </c>
      <c r="AS55" s="123">
        <v>0</v>
      </c>
      <c r="AT55" s="123">
        <v>0</v>
      </c>
      <c r="AU55" s="123">
        <v>0</v>
      </c>
      <c r="AV55" s="123">
        <v>0</v>
      </c>
      <c r="AW55" s="123">
        <v>0</v>
      </c>
      <c r="AX55" s="123">
        <v>0</v>
      </c>
      <c r="AY55" s="123">
        <v>0</v>
      </c>
      <c r="AZ55" s="123">
        <v>0</v>
      </c>
      <c r="BA55" s="123">
        <v>0</v>
      </c>
      <c r="BB55" s="123">
        <v>0</v>
      </c>
      <c r="BC55" s="123">
        <v>0</v>
      </c>
      <c r="BD55" s="123">
        <v>0</v>
      </c>
      <c r="BE55" s="123">
        <v>0</v>
      </c>
      <c r="BF55" s="123">
        <v>0</v>
      </c>
      <c r="BG55" s="123">
        <v>0</v>
      </c>
      <c r="BH55" s="123">
        <v>0</v>
      </c>
      <c r="BI55" s="123">
        <v>0</v>
      </c>
      <c r="BJ55" s="123">
        <v>0</v>
      </c>
      <c r="BK55" s="123">
        <v>0</v>
      </c>
      <c r="BL55" s="123">
        <v>0</v>
      </c>
      <c r="BM55" s="123">
        <v>0</v>
      </c>
      <c r="BN55" s="123">
        <v>0</v>
      </c>
      <c r="BO55" s="123">
        <v>0</v>
      </c>
      <c r="BP55" s="123">
        <v>0</v>
      </c>
      <c r="BQ55" s="123">
        <v>0</v>
      </c>
      <c r="BR55" s="71">
        <v>-14.076000000000001</v>
      </c>
      <c r="BS55" s="71">
        <v>0</v>
      </c>
      <c r="BT55" s="71">
        <v>0</v>
      </c>
      <c r="BU55" s="71">
        <v>0</v>
      </c>
      <c r="BV55" s="223"/>
      <c r="BW55" s="58">
        <v>0</v>
      </c>
      <c r="BX55" s="58">
        <v>0</v>
      </c>
      <c r="BY55" s="58">
        <v>0</v>
      </c>
      <c r="BZ55" s="58">
        <v>0</v>
      </c>
      <c r="CA55" s="58">
        <v>0</v>
      </c>
      <c r="CB55" s="58">
        <v>0</v>
      </c>
      <c r="CC55" s="58">
        <v>0</v>
      </c>
      <c r="CD55" s="58">
        <v>0</v>
      </c>
      <c r="CE55" s="58">
        <v>0</v>
      </c>
      <c r="CF55" s="58">
        <v>0</v>
      </c>
      <c r="CG55" s="58">
        <v>0</v>
      </c>
      <c r="CH55" s="58">
        <v>0</v>
      </c>
      <c r="CI55" s="58">
        <v>0</v>
      </c>
      <c r="CJ55" s="58">
        <v>0</v>
      </c>
      <c r="CK55" s="58">
        <v>0</v>
      </c>
      <c r="CL55" s="58">
        <v>0</v>
      </c>
      <c r="CM55" s="58">
        <v>0</v>
      </c>
      <c r="CN55" s="58">
        <v>-14.076000000000001</v>
      </c>
      <c r="CO55" s="206"/>
    </row>
    <row r="56" spans="1:94" x14ac:dyDescent="0.35">
      <c r="A56" s="6"/>
      <c r="B56" s="10" t="s">
        <v>26</v>
      </c>
      <c r="C56" s="123">
        <v>0</v>
      </c>
      <c r="D56" s="123">
        <v>0</v>
      </c>
      <c r="E56" s="123">
        <v>0</v>
      </c>
      <c r="F56" s="123">
        <v>0</v>
      </c>
      <c r="G56" s="123">
        <v>0</v>
      </c>
      <c r="H56" s="123">
        <v>0</v>
      </c>
      <c r="I56" s="123">
        <v>0</v>
      </c>
      <c r="J56" s="123">
        <v>0</v>
      </c>
      <c r="K56" s="123">
        <v>0</v>
      </c>
      <c r="L56" s="123">
        <v>0</v>
      </c>
      <c r="M56" s="123">
        <v>0</v>
      </c>
      <c r="N56" s="123">
        <v>0</v>
      </c>
      <c r="O56" s="123">
        <v>0</v>
      </c>
      <c r="P56" s="123">
        <v>0</v>
      </c>
      <c r="Q56" s="123">
        <v>0</v>
      </c>
      <c r="R56" s="123">
        <v>0</v>
      </c>
      <c r="S56" s="123">
        <v>0</v>
      </c>
      <c r="T56" s="123">
        <v>0</v>
      </c>
      <c r="U56" s="123">
        <v>0</v>
      </c>
      <c r="V56" s="123">
        <v>0</v>
      </c>
      <c r="W56" s="123">
        <v>0</v>
      </c>
      <c r="X56" s="123">
        <v>0</v>
      </c>
      <c r="Y56" s="123">
        <v>0</v>
      </c>
      <c r="Z56" s="123">
        <v>0</v>
      </c>
      <c r="AA56" s="123">
        <v>0</v>
      </c>
      <c r="AB56" s="123">
        <v>0</v>
      </c>
      <c r="AC56" s="123">
        <v>0</v>
      </c>
      <c r="AD56" s="123">
        <v>0</v>
      </c>
      <c r="AE56" s="123">
        <v>0</v>
      </c>
      <c r="AF56" s="123">
        <v>0</v>
      </c>
      <c r="AG56" s="123">
        <v>0</v>
      </c>
      <c r="AH56" s="123">
        <v>0</v>
      </c>
      <c r="AI56" s="123">
        <v>0</v>
      </c>
      <c r="AJ56" s="123">
        <v>0</v>
      </c>
      <c r="AK56" s="123">
        <v>0</v>
      </c>
      <c r="AL56" s="123">
        <v>0</v>
      </c>
      <c r="AM56" s="123">
        <v>0</v>
      </c>
      <c r="AN56" s="123">
        <v>0</v>
      </c>
      <c r="AO56" s="123">
        <v>0</v>
      </c>
      <c r="AP56" s="123">
        <v>0</v>
      </c>
      <c r="AQ56" s="123">
        <v>0</v>
      </c>
      <c r="AR56" s="123">
        <v>0</v>
      </c>
      <c r="AS56" s="123">
        <v>0</v>
      </c>
      <c r="AT56" s="123">
        <v>0</v>
      </c>
      <c r="AU56" s="123">
        <v>0</v>
      </c>
      <c r="AV56" s="123">
        <v>0</v>
      </c>
      <c r="AW56" s="123">
        <v>0</v>
      </c>
      <c r="AX56" s="123">
        <v>0</v>
      </c>
      <c r="AY56" s="123">
        <v>0</v>
      </c>
      <c r="AZ56" s="123">
        <v>0</v>
      </c>
      <c r="BA56" s="123">
        <v>0</v>
      </c>
      <c r="BB56" s="123">
        <v>0</v>
      </c>
      <c r="BC56" s="123">
        <v>0</v>
      </c>
      <c r="BD56" s="123">
        <v>0</v>
      </c>
      <c r="BE56" s="123">
        <v>0</v>
      </c>
      <c r="BF56" s="123">
        <v>0</v>
      </c>
      <c r="BG56" s="123">
        <v>0</v>
      </c>
      <c r="BH56" s="123">
        <v>0</v>
      </c>
      <c r="BI56" s="123">
        <v>0</v>
      </c>
      <c r="BJ56" s="123">
        <v>0</v>
      </c>
      <c r="BK56" s="123">
        <v>0</v>
      </c>
      <c r="BL56" s="123">
        <v>0</v>
      </c>
      <c r="BM56" s="123">
        <v>0</v>
      </c>
      <c r="BN56" s="123">
        <v>0</v>
      </c>
      <c r="BO56" s="123">
        <v>0</v>
      </c>
      <c r="BP56" s="123">
        <v>0</v>
      </c>
      <c r="BQ56" s="123">
        <v>0</v>
      </c>
      <c r="BR56" s="71">
        <v>-199.76599999999999</v>
      </c>
      <c r="BS56" s="71">
        <v>0</v>
      </c>
      <c r="BT56" s="71">
        <v>0</v>
      </c>
      <c r="BU56" s="71">
        <v>0</v>
      </c>
      <c r="BV56" s="223"/>
      <c r="BW56" s="58">
        <v>0</v>
      </c>
      <c r="BX56" s="58">
        <v>0</v>
      </c>
      <c r="BY56" s="58">
        <v>0</v>
      </c>
      <c r="BZ56" s="58">
        <v>0</v>
      </c>
      <c r="CA56" s="58">
        <v>0</v>
      </c>
      <c r="CB56" s="58">
        <v>0</v>
      </c>
      <c r="CC56" s="58">
        <v>0</v>
      </c>
      <c r="CD56" s="58">
        <v>0</v>
      </c>
      <c r="CE56" s="58">
        <v>0</v>
      </c>
      <c r="CF56" s="58">
        <v>0</v>
      </c>
      <c r="CG56" s="58">
        <v>0</v>
      </c>
      <c r="CH56" s="58">
        <v>0</v>
      </c>
      <c r="CI56" s="58">
        <v>0</v>
      </c>
      <c r="CJ56" s="58">
        <v>0</v>
      </c>
      <c r="CK56" s="58">
        <v>0</v>
      </c>
      <c r="CL56" s="58">
        <v>0</v>
      </c>
      <c r="CM56" s="58">
        <v>0</v>
      </c>
      <c r="CN56" s="58">
        <v>-199.76599999999999</v>
      </c>
      <c r="CO56" s="206"/>
    </row>
    <row r="57" spans="1:94" x14ac:dyDescent="0.35">
      <c r="A57" s="6"/>
      <c r="B57" s="10" t="str">
        <f>IF(Control!$D$5=1,"Capital Increase in Subsidiary","Aumento de Capital em Controlada")</f>
        <v>Aumento de Capital em Controlada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  <c r="S57" s="58">
        <v>0</v>
      </c>
      <c r="T57" s="58">
        <v>0</v>
      </c>
      <c r="U57" s="58">
        <v>0</v>
      </c>
      <c r="V57" s="58">
        <v>0</v>
      </c>
      <c r="W57" s="58">
        <v>0</v>
      </c>
      <c r="X57" s="58">
        <v>0</v>
      </c>
      <c r="Y57" s="58">
        <v>0</v>
      </c>
      <c r="Z57" s="58">
        <v>0</v>
      </c>
      <c r="AA57" s="58">
        <v>0</v>
      </c>
      <c r="AB57" s="58">
        <v>0</v>
      </c>
      <c r="AC57" s="58">
        <v>0</v>
      </c>
      <c r="AD57" s="58">
        <v>0</v>
      </c>
      <c r="AE57" s="58">
        <v>0</v>
      </c>
      <c r="AF57" s="58">
        <v>0</v>
      </c>
      <c r="AG57" s="58">
        <v>0</v>
      </c>
      <c r="AH57" s="58">
        <v>0</v>
      </c>
      <c r="AI57" s="58">
        <v>0</v>
      </c>
      <c r="AJ57" s="58">
        <v>0</v>
      </c>
      <c r="AK57" s="58">
        <v>0</v>
      </c>
      <c r="AL57" s="58">
        <v>0</v>
      </c>
      <c r="AM57" s="58">
        <v>0</v>
      </c>
      <c r="AN57" s="58">
        <v>0</v>
      </c>
      <c r="AO57" s="58">
        <v>0</v>
      </c>
      <c r="AP57" s="58">
        <v>0</v>
      </c>
      <c r="AQ57" s="58">
        <v>0</v>
      </c>
      <c r="AR57" s="58">
        <v>0</v>
      </c>
      <c r="AS57" s="58">
        <v>0</v>
      </c>
      <c r="AT57" s="58">
        <v>0</v>
      </c>
      <c r="AU57" s="58">
        <v>0</v>
      </c>
      <c r="AV57" s="58">
        <v>0</v>
      </c>
      <c r="AW57" s="58">
        <v>0</v>
      </c>
      <c r="AX57" s="58">
        <v>0</v>
      </c>
      <c r="AY57" s="58">
        <v>0</v>
      </c>
      <c r="AZ57" s="58">
        <v>0</v>
      </c>
      <c r="BA57" s="58">
        <v>0</v>
      </c>
      <c r="BB57" s="58">
        <v>0</v>
      </c>
      <c r="BC57" s="58">
        <v>0</v>
      </c>
      <c r="BD57" s="58">
        <v>0</v>
      </c>
      <c r="BE57" s="58">
        <v>0</v>
      </c>
      <c r="BF57" s="58">
        <v>0</v>
      </c>
      <c r="BG57" s="58">
        <v>0</v>
      </c>
      <c r="BH57" s="58">
        <v>0</v>
      </c>
      <c r="BI57" s="58">
        <v>0</v>
      </c>
      <c r="BJ57" s="58">
        <v>0</v>
      </c>
      <c r="BK57" s="58">
        <v>0</v>
      </c>
      <c r="BL57" s="58">
        <v>0</v>
      </c>
      <c r="BM57" s="58">
        <v>-15.904999999999999</v>
      </c>
      <c r="BN57" s="58">
        <v>-14.999000000000001</v>
      </c>
      <c r="BO57" s="58">
        <v>0</v>
      </c>
      <c r="BP57" s="58">
        <v>0</v>
      </c>
      <c r="BQ57" s="71">
        <v>0</v>
      </c>
      <c r="BR57" s="71">
        <v>0</v>
      </c>
      <c r="BS57" s="71">
        <v>0</v>
      </c>
      <c r="BT57" s="71">
        <v>0</v>
      </c>
      <c r="BU57" s="71">
        <v>0</v>
      </c>
      <c r="BV57" s="223"/>
      <c r="BW57" s="58">
        <v>0</v>
      </c>
      <c r="BX57" s="58">
        <v>0</v>
      </c>
      <c r="BY57" s="58">
        <v>0</v>
      </c>
      <c r="BZ57" s="58">
        <v>0</v>
      </c>
      <c r="CA57" s="58">
        <v>0</v>
      </c>
      <c r="CB57" s="58">
        <v>0</v>
      </c>
      <c r="CC57" s="58">
        <v>0</v>
      </c>
      <c r="CD57" s="58">
        <v>0</v>
      </c>
      <c r="CE57" s="58">
        <v>0</v>
      </c>
      <c r="CF57" s="58">
        <v>0</v>
      </c>
      <c r="CG57" s="58">
        <v>0</v>
      </c>
      <c r="CH57" s="58">
        <v>0</v>
      </c>
      <c r="CI57" s="58">
        <v>0</v>
      </c>
      <c r="CJ57" s="58">
        <v>0</v>
      </c>
      <c r="CK57" s="58">
        <v>0</v>
      </c>
      <c r="CL57" s="58">
        <v>0</v>
      </c>
      <c r="CM57" s="58">
        <v>-30.904</v>
      </c>
      <c r="CN57" s="58">
        <v>0</v>
      </c>
      <c r="CO57" s="206"/>
    </row>
    <row r="58" spans="1:94" x14ac:dyDescent="0.35">
      <c r="A58" s="6"/>
      <c r="B58" s="10" t="str">
        <f>IF(Control!$D$5=1,"Additions to Investments","Adições a Investimentos")</f>
        <v>Adições a Investimentos</v>
      </c>
      <c r="C58" s="123">
        <v>0</v>
      </c>
      <c r="D58" s="123">
        <v>0</v>
      </c>
      <c r="E58" s="123">
        <v>0</v>
      </c>
      <c r="F58" s="124">
        <v>-6.6</v>
      </c>
      <c r="G58" s="123">
        <v>2.5729999999999995</v>
      </c>
      <c r="H58" s="125">
        <v>0</v>
      </c>
      <c r="I58" s="123">
        <v>0</v>
      </c>
      <c r="J58" s="124">
        <v>0</v>
      </c>
      <c r="K58" s="123">
        <v>-32.450000000000003</v>
      </c>
      <c r="L58" s="125">
        <v>0</v>
      </c>
      <c r="M58" s="123">
        <v>-5.5750000000000002</v>
      </c>
      <c r="N58" s="124">
        <v>-0.71300000000000008</v>
      </c>
      <c r="O58" s="125">
        <v>6.2880000000000003</v>
      </c>
      <c r="P58" s="125">
        <v>-157.67400000000001</v>
      </c>
      <c r="Q58" s="124">
        <v>74.179000000000002</v>
      </c>
      <c r="R58" s="124">
        <v>-37.799999999999997</v>
      </c>
      <c r="S58" s="124">
        <v>-79.702000000000012</v>
      </c>
      <c r="T58" s="125">
        <v>0</v>
      </c>
      <c r="U58" s="124">
        <v>-11.961</v>
      </c>
      <c r="V58" s="124">
        <v>-101.18300000000001</v>
      </c>
      <c r="W58" s="124">
        <v>0</v>
      </c>
      <c r="X58" s="125">
        <v>-47.386000000000003</v>
      </c>
      <c r="Y58" s="124">
        <v>0</v>
      </c>
      <c r="Z58" s="124">
        <v>-74.453000000000003</v>
      </c>
      <c r="AA58" s="124">
        <v>0</v>
      </c>
      <c r="AB58" s="125">
        <v>-2.6</v>
      </c>
      <c r="AC58" s="124">
        <v>-3.8059999999999996</v>
      </c>
      <c r="AD58" s="124">
        <v>-133.256</v>
      </c>
      <c r="AE58" s="124">
        <v>-2.875</v>
      </c>
      <c r="AF58" s="124">
        <v>0</v>
      </c>
      <c r="AG58" s="124">
        <v>-40.4</v>
      </c>
      <c r="AH58" s="124">
        <v>-84.728000000000009</v>
      </c>
      <c r="AI58" s="124">
        <v>2.8000000000005798E-2</v>
      </c>
      <c r="AJ58" s="124">
        <v>0</v>
      </c>
      <c r="AK58" s="124">
        <v>0</v>
      </c>
      <c r="AL58" s="124">
        <v>-15.422000000000001</v>
      </c>
      <c r="AM58" s="58">
        <v>2.2000000000000242E-2</v>
      </c>
      <c r="AN58" s="124">
        <v>0</v>
      </c>
      <c r="AO58" s="124">
        <v>0</v>
      </c>
      <c r="AP58" s="124">
        <v>0</v>
      </c>
      <c r="AQ58" s="58">
        <v>0</v>
      </c>
      <c r="AR58" s="58">
        <v>-30.4</v>
      </c>
      <c r="AS58" s="58">
        <v>-50.4</v>
      </c>
      <c r="AT58" s="58">
        <v>0</v>
      </c>
      <c r="AU58" s="58">
        <v>-168.2</v>
      </c>
      <c r="AV58" s="58">
        <v>0</v>
      </c>
      <c r="AW58" s="58">
        <v>0</v>
      </c>
      <c r="AX58" s="58">
        <v>0</v>
      </c>
      <c r="AY58" s="58">
        <v>0</v>
      </c>
      <c r="AZ58" s="58">
        <v>0</v>
      </c>
      <c r="BA58" s="58">
        <v>0</v>
      </c>
      <c r="BB58" s="58">
        <v>0</v>
      </c>
      <c r="BC58" s="58">
        <v>0</v>
      </c>
      <c r="BD58" s="58">
        <v>0</v>
      </c>
      <c r="BE58" s="58">
        <v>0</v>
      </c>
      <c r="BF58" s="58">
        <v>0</v>
      </c>
      <c r="BG58" s="58">
        <v>-416.37700000000001</v>
      </c>
      <c r="BH58" s="58">
        <v>3.6669999999999998</v>
      </c>
      <c r="BI58" s="58">
        <v>-2.5692582261000063</v>
      </c>
      <c r="BJ58" s="58">
        <v>-176.76948751000012</v>
      </c>
      <c r="BK58" s="58">
        <v>0</v>
      </c>
      <c r="BL58" s="58">
        <v>0</v>
      </c>
      <c r="BM58" s="58">
        <v>0</v>
      </c>
      <c r="BN58" s="58">
        <v>0</v>
      </c>
      <c r="BO58" s="58">
        <v>0</v>
      </c>
      <c r="BP58" s="58">
        <v>0</v>
      </c>
      <c r="BQ58" s="71">
        <v>-34.094999999999999</v>
      </c>
      <c r="BR58" s="71">
        <v>1E-3</v>
      </c>
      <c r="BS58" s="71">
        <v>-5.1240000000000023</v>
      </c>
      <c r="BT58" s="71">
        <v>0</v>
      </c>
      <c r="BU58" s="71">
        <v>7.8E-2</v>
      </c>
      <c r="BV58" s="223"/>
      <c r="BW58" s="58">
        <v>-96.747</v>
      </c>
      <c r="BX58" s="58">
        <v>-4.0270000000000001</v>
      </c>
      <c r="BY58" s="58">
        <v>-32.450000000000003</v>
      </c>
      <c r="BZ58" s="58">
        <v>0</v>
      </c>
      <c r="CA58" s="58">
        <v>-200.99700000000001</v>
      </c>
      <c r="CB58" s="58">
        <v>-113.14400000000001</v>
      </c>
      <c r="CC58" s="58">
        <v>-121.839</v>
      </c>
      <c r="CD58" s="58">
        <v>-142.53700000000001</v>
      </c>
      <c r="CE58" s="58">
        <v>-125.1</v>
      </c>
      <c r="CF58" s="58">
        <v>-15.4</v>
      </c>
      <c r="CG58" s="58">
        <v>0</v>
      </c>
      <c r="CH58" s="58">
        <v>-140</v>
      </c>
      <c r="CI58" s="58">
        <v>0</v>
      </c>
      <c r="CJ58" s="58">
        <v>0</v>
      </c>
      <c r="CK58" s="58">
        <v>-416.37700000000001</v>
      </c>
      <c r="CL58" s="58">
        <v>-328.24099999999999</v>
      </c>
      <c r="CM58" s="58">
        <v>0</v>
      </c>
      <c r="CN58" s="58">
        <v>-39.218000000000004</v>
      </c>
      <c r="CO58" s="206"/>
    </row>
    <row r="59" spans="1:94" x14ac:dyDescent="0.35">
      <c r="A59" s="6"/>
      <c r="B59" s="183" t="str">
        <f>IF(Control!$D$5=1,"Capital Expenditures","Adições Imobilizado")</f>
        <v>Adições Imobilizado</v>
      </c>
      <c r="C59" s="123">
        <v>0</v>
      </c>
      <c r="D59" s="123">
        <v>-1.9039999999999999</v>
      </c>
      <c r="E59" s="123">
        <v>-14.452999999999999</v>
      </c>
      <c r="F59" s="124">
        <v>-54.343000000000004</v>
      </c>
      <c r="G59" s="123">
        <v>29.745000000000005</v>
      </c>
      <c r="H59" s="125">
        <v>-3.0169999999999999</v>
      </c>
      <c r="I59" s="123">
        <v>-9.1470000000000002</v>
      </c>
      <c r="J59" s="124">
        <v>-17.335999999999999</v>
      </c>
      <c r="K59" s="123">
        <v>-52.614999999999995</v>
      </c>
      <c r="L59" s="125">
        <v>-17.635000000000002</v>
      </c>
      <c r="M59" s="123">
        <v>-20.492000000000001</v>
      </c>
      <c r="N59" s="124">
        <v>-22.152000000000001</v>
      </c>
      <c r="O59" s="125">
        <v>-25.208999999999996</v>
      </c>
      <c r="P59" s="125">
        <v>-12.584</v>
      </c>
      <c r="Q59" s="124">
        <v>-11.785</v>
      </c>
      <c r="R59" s="124">
        <v>-11.567999999999998</v>
      </c>
      <c r="S59" s="124">
        <v>-33.912999999999997</v>
      </c>
      <c r="T59" s="125">
        <v>-20.866</v>
      </c>
      <c r="U59" s="124">
        <v>-6.2240000000000002</v>
      </c>
      <c r="V59" s="124">
        <v>-20.061000000000003</v>
      </c>
      <c r="W59" s="124">
        <v>-21.17499999999999</v>
      </c>
      <c r="X59" s="125">
        <v>-24.26</v>
      </c>
      <c r="Y59" s="124">
        <v>-30.764999999999997</v>
      </c>
      <c r="Z59" s="124">
        <v>-19.029000000000003</v>
      </c>
      <c r="AA59" s="124">
        <v>-34.575000000000003</v>
      </c>
      <c r="AB59" s="125">
        <v>-19.7</v>
      </c>
      <c r="AC59" s="124">
        <v>-13.199000000000002</v>
      </c>
      <c r="AD59" s="124">
        <v>-6.8070000000000022</v>
      </c>
      <c r="AE59" s="124">
        <v>-30.37299999999999</v>
      </c>
      <c r="AF59" s="124">
        <v>-28.082999999999998</v>
      </c>
      <c r="AG59" s="124">
        <v>-17.117000000000004</v>
      </c>
      <c r="AH59" s="124">
        <v>-13</v>
      </c>
      <c r="AI59" s="124">
        <v>-23.399999999999991</v>
      </c>
      <c r="AJ59" s="124">
        <v>-12.914</v>
      </c>
      <c r="AK59" s="124">
        <v>-13.631000000000002</v>
      </c>
      <c r="AL59" s="124">
        <v>-17.415999999999997</v>
      </c>
      <c r="AM59" s="58">
        <v>-27.039000000000001</v>
      </c>
      <c r="AN59" s="124">
        <v>-15.016</v>
      </c>
      <c r="AO59" s="124">
        <v>-31.084000000000003</v>
      </c>
      <c r="AP59" s="124">
        <v>-25.600999999999992</v>
      </c>
      <c r="AQ59" s="58">
        <v>-27.999000000000009</v>
      </c>
      <c r="AR59" s="58">
        <v>-0.4</v>
      </c>
      <c r="AS59" s="58">
        <v>-0.29999999999999993</v>
      </c>
      <c r="AT59" s="58">
        <v>-50.000000000000014</v>
      </c>
      <c r="AU59" s="58">
        <v>-71.900000000000006</v>
      </c>
      <c r="AV59" s="58">
        <v>-24</v>
      </c>
      <c r="AW59" s="58">
        <v>-39.634</v>
      </c>
      <c r="AX59" s="58">
        <v>-26.725999999999999</v>
      </c>
      <c r="AY59" s="58">
        <v>-25.79</v>
      </c>
      <c r="AZ59" s="58">
        <v>-18.440000000000001</v>
      </c>
      <c r="BA59" s="58">
        <v>-17.927</v>
      </c>
      <c r="BB59" s="58">
        <v>-85.2</v>
      </c>
      <c r="BC59" s="58">
        <v>-72.707999999999998</v>
      </c>
      <c r="BD59" s="58">
        <v>-37.491999999999997</v>
      </c>
      <c r="BE59" s="58">
        <v>-31.212</v>
      </c>
      <c r="BF59" s="58">
        <v>-465.24700000000001</v>
      </c>
      <c r="BG59" s="58">
        <v>372.96800000000002</v>
      </c>
      <c r="BH59" s="58">
        <v>-44.664427999891998</v>
      </c>
      <c r="BI59" s="58">
        <v>-96.069000000000017</v>
      </c>
      <c r="BJ59" s="58">
        <v>-76.144832669999943</v>
      </c>
      <c r="BK59" s="58">
        <v>-88.087000000000003</v>
      </c>
      <c r="BL59" s="58">
        <v>-91.337999999999994</v>
      </c>
      <c r="BM59" s="58">
        <v>-28.895</v>
      </c>
      <c r="BN59" s="58">
        <v>-79.787999999999997</v>
      </c>
      <c r="BO59" s="58">
        <v>-86.324999999999989</v>
      </c>
      <c r="BP59" s="58">
        <v>-62.912999999999997</v>
      </c>
      <c r="BQ59" s="71">
        <v>-66.466999999999999</v>
      </c>
      <c r="BR59" s="71">
        <v>-83.659000000000006</v>
      </c>
      <c r="BS59" s="71">
        <v>-121.90000000000003</v>
      </c>
      <c r="BT59" s="71">
        <v>-119.855</v>
      </c>
      <c r="BU59" s="71">
        <v>-155.31299999999999</v>
      </c>
      <c r="BV59" s="223"/>
      <c r="BW59" s="58">
        <v>-27.082000000000001</v>
      </c>
      <c r="BX59" s="58">
        <v>-40.954999999999998</v>
      </c>
      <c r="BY59" s="58">
        <v>-82.114999999999995</v>
      </c>
      <c r="BZ59" s="58">
        <v>-85.488</v>
      </c>
      <c r="CA59" s="58">
        <v>-69.849999999999994</v>
      </c>
      <c r="CB59" s="58">
        <v>-68.325999999999993</v>
      </c>
      <c r="CC59" s="58">
        <v>-108.629</v>
      </c>
      <c r="CD59" s="58">
        <v>-70.078999999999994</v>
      </c>
      <c r="CE59" s="58">
        <v>-81.599999999999994</v>
      </c>
      <c r="CF59" s="58">
        <v>-71</v>
      </c>
      <c r="CG59" s="58">
        <v>-99.7</v>
      </c>
      <c r="CH59" s="58">
        <v>-185.54</v>
      </c>
      <c r="CI59" s="58">
        <v>-116.15</v>
      </c>
      <c r="CJ59" s="58">
        <v>-194.256</v>
      </c>
      <c r="CK59" s="58">
        <v>-160.983</v>
      </c>
      <c r="CL59" s="58">
        <v>-304.96526066989196</v>
      </c>
      <c r="CM59" s="58">
        <v>-290.46499999999997</v>
      </c>
      <c r="CN59" s="58">
        <v>-334.93900000000002</v>
      </c>
      <c r="CO59" s="206"/>
    </row>
    <row r="60" spans="1:94" x14ac:dyDescent="0.35">
      <c r="B60" s="183" t="str">
        <f>IF(Control!$D$5=1,"Cash from Acquisitions/Subsidiaries","Caixa advindo de aquisições/subsidiárias")</f>
        <v>Caixa advindo de aquisições/subsidiárias</v>
      </c>
      <c r="C60" s="123">
        <v>0</v>
      </c>
      <c r="D60" s="123">
        <v>0</v>
      </c>
      <c r="E60" s="123">
        <v>0</v>
      </c>
      <c r="F60" s="124">
        <v>0</v>
      </c>
      <c r="G60" s="123">
        <v>0</v>
      </c>
      <c r="H60" s="125">
        <v>0</v>
      </c>
      <c r="I60" s="123">
        <v>0</v>
      </c>
      <c r="J60" s="124">
        <v>0</v>
      </c>
      <c r="K60" s="123">
        <v>0</v>
      </c>
      <c r="L60" s="125">
        <v>0</v>
      </c>
      <c r="M60" s="123">
        <v>0</v>
      </c>
      <c r="N60" s="124">
        <v>0</v>
      </c>
      <c r="O60" s="125">
        <v>0</v>
      </c>
      <c r="P60" s="125">
        <v>0</v>
      </c>
      <c r="Q60" s="124">
        <v>0</v>
      </c>
      <c r="R60" s="124">
        <v>0</v>
      </c>
      <c r="S60" s="124">
        <v>0</v>
      </c>
      <c r="T60" s="125">
        <v>0</v>
      </c>
      <c r="U60" s="124">
        <v>0</v>
      </c>
      <c r="V60" s="124">
        <v>0</v>
      </c>
      <c r="W60" s="124">
        <v>0</v>
      </c>
      <c r="X60" s="125">
        <v>0</v>
      </c>
      <c r="Y60" s="124">
        <v>0</v>
      </c>
      <c r="Z60" s="124">
        <v>0</v>
      </c>
      <c r="AA60" s="124">
        <v>0.30599999999999999</v>
      </c>
      <c r="AB60" s="125">
        <v>0</v>
      </c>
      <c r="AC60" s="124">
        <v>0</v>
      </c>
      <c r="AD60" s="124">
        <v>0</v>
      </c>
      <c r="AE60" s="124">
        <v>3.6120000000000001</v>
      </c>
      <c r="AF60" s="124">
        <v>0</v>
      </c>
      <c r="AG60" s="124">
        <v>0</v>
      </c>
      <c r="AH60" s="124">
        <v>0</v>
      </c>
      <c r="AI60" s="124">
        <v>0</v>
      </c>
      <c r="AJ60" s="124">
        <v>0</v>
      </c>
      <c r="AK60" s="124">
        <v>0</v>
      </c>
      <c r="AL60" s="124">
        <v>0</v>
      </c>
      <c r="AM60" s="58">
        <v>0</v>
      </c>
      <c r="AN60" s="124">
        <v>0</v>
      </c>
      <c r="AO60" s="124">
        <v>0</v>
      </c>
      <c r="AP60" s="124">
        <v>0</v>
      </c>
      <c r="AQ60" s="58">
        <v>0</v>
      </c>
      <c r="AR60" s="58">
        <v>0</v>
      </c>
      <c r="AS60" s="58">
        <v>0</v>
      </c>
      <c r="AT60" s="58">
        <v>0</v>
      </c>
      <c r="AU60" s="58">
        <v>0</v>
      </c>
      <c r="AV60" s="58">
        <v>0</v>
      </c>
      <c r="AW60" s="58">
        <v>0</v>
      </c>
      <c r="AX60" s="58">
        <v>0</v>
      </c>
      <c r="AY60" s="58">
        <v>0</v>
      </c>
      <c r="AZ60" s="58">
        <v>0</v>
      </c>
      <c r="BA60" s="58">
        <v>0</v>
      </c>
      <c r="BB60" s="58">
        <v>0</v>
      </c>
      <c r="BC60" s="58">
        <v>0</v>
      </c>
      <c r="BD60" s="58">
        <v>0</v>
      </c>
      <c r="BE60" s="58">
        <v>0</v>
      </c>
      <c r="BF60" s="58">
        <v>0</v>
      </c>
      <c r="BG60" s="58">
        <v>29.242000000000001</v>
      </c>
      <c r="BH60" s="58">
        <v>7.9697819356429997</v>
      </c>
      <c r="BI60" s="200">
        <v>0</v>
      </c>
      <c r="BJ60" s="58">
        <v>16.824999999999999</v>
      </c>
      <c r="BK60" s="58">
        <v>-11.074</v>
      </c>
      <c r="BL60" s="58">
        <v>0.79300000000000004</v>
      </c>
      <c r="BM60" s="58">
        <v>0</v>
      </c>
      <c r="BN60" s="58">
        <v>0</v>
      </c>
      <c r="BO60" s="58">
        <v>0</v>
      </c>
      <c r="BP60" s="58">
        <v>0</v>
      </c>
      <c r="BQ60" s="71">
        <v>0</v>
      </c>
      <c r="BR60" s="71">
        <v>0</v>
      </c>
      <c r="BS60" s="71">
        <v>0</v>
      </c>
      <c r="BT60" s="71">
        <v>0</v>
      </c>
      <c r="BU60" s="71">
        <v>0</v>
      </c>
      <c r="BV60" s="223"/>
      <c r="BW60" s="58">
        <v>0</v>
      </c>
      <c r="BX60" s="58">
        <v>0</v>
      </c>
      <c r="BY60" s="58">
        <v>0</v>
      </c>
      <c r="BZ60" s="58">
        <v>0</v>
      </c>
      <c r="CA60" s="58">
        <v>0</v>
      </c>
      <c r="CB60" s="58">
        <v>0</v>
      </c>
      <c r="CC60" s="58">
        <v>0.30599999999999999</v>
      </c>
      <c r="CD60" s="58">
        <v>3.6120000000000001</v>
      </c>
      <c r="CE60" s="58">
        <v>0</v>
      </c>
      <c r="CF60" s="58">
        <v>0</v>
      </c>
      <c r="CG60" s="58">
        <v>0</v>
      </c>
      <c r="CH60" s="58">
        <v>26.4</v>
      </c>
      <c r="CI60" s="58">
        <v>0</v>
      </c>
      <c r="CJ60" s="58">
        <v>0</v>
      </c>
      <c r="CK60" s="58">
        <v>29.242000000000001</v>
      </c>
      <c r="CL60" s="58">
        <v>13.720781935642998</v>
      </c>
      <c r="CM60" s="58">
        <v>0.79300000000000004</v>
      </c>
      <c r="CN60" s="58">
        <v>0</v>
      </c>
      <c r="CO60" s="206"/>
    </row>
    <row r="61" spans="1:94" x14ac:dyDescent="0.35">
      <c r="B61" s="183" t="str">
        <f>IF(Control!$D$5=1,"Receipt of price adjustment for acquisitions","Recebimento de ajuste de preço das acquisições")</f>
        <v>Recebimento de ajuste de preço das acquisições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58">
        <v>0</v>
      </c>
      <c r="S61" s="58">
        <v>0</v>
      </c>
      <c r="T61" s="58">
        <v>0</v>
      </c>
      <c r="U61" s="58">
        <v>0</v>
      </c>
      <c r="V61" s="58">
        <v>0</v>
      </c>
      <c r="W61" s="58">
        <v>0</v>
      </c>
      <c r="X61" s="58">
        <v>0</v>
      </c>
      <c r="Y61" s="58">
        <v>0</v>
      </c>
      <c r="Z61" s="58">
        <v>0</v>
      </c>
      <c r="AA61" s="58">
        <v>0</v>
      </c>
      <c r="AB61" s="58">
        <v>0</v>
      </c>
      <c r="AC61" s="58">
        <v>0</v>
      </c>
      <c r="AD61" s="58">
        <v>0</v>
      </c>
      <c r="AE61" s="58">
        <v>0</v>
      </c>
      <c r="AF61" s="58">
        <v>0</v>
      </c>
      <c r="AG61" s="58">
        <v>0</v>
      </c>
      <c r="AH61" s="58">
        <v>0</v>
      </c>
      <c r="AI61" s="58">
        <v>0</v>
      </c>
      <c r="AJ61" s="58">
        <v>0</v>
      </c>
      <c r="AK61" s="58">
        <v>0</v>
      </c>
      <c r="AL61" s="58">
        <v>0</v>
      </c>
      <c r="AM61" s="58">
        <v>0</v>
      </c>
      <c r="AN61" s="58">
        <v>0</v>
      </c>
      <c r="AO61" s="58">
        <v>0</v>
      </c>
      <c r="AP61" s="58">
        <v>0</v>
      </c>
      <c r="AQ61" s="58">
        <v>0</v>
      </c>
      <c r="AR61" s="58">
        <v>0</v>
      </c>
      <c r="AS61" s="58">
        <v>0</v>
      </c>
      <c r="AT61" s="58">
        <v>0</v>
      </c>
      <c r="AU61" s="58">
        <v>0</v>
      </c>
      <c r="AV61" s="58">
        <v>0</v>
      </c>
      <c r="AW61" s="58">
        <v>0</v>
      </c>
      <c r="AX61" s="58">
        <v>0</v>
      </c>
      <c r="AY61" s="58">
        <v>0</v>
      </c>
      <c r="AZ61" s="58">
        <v>0</v>
      </c>
      <c r="BA61" s="58">
        <v>0</v>
      </c>
      <c r="BB61" s="58">
        <v>0</v>
      </c>
      <c r="BC61" s="58">
        <v>0</v>
      </c>
      <c r="BD61" s="58">
        <v>0</v>
      </c>
      <c r="BE61" s="58">
        <v>0</v>
      </c>
      <c r="BF61" s="58">
        <v>0</v>
      </c>
      <c r="BG61" s="58">
        <v>0</v>
      </c>
      <c r="BH61" s="58">
        <v>0</v>
      </c>
      <c r="BI61" s="58">
        <v>0</v>
      </c>
      <c r="BJ61" s="58">
        <v>0</v>
      </c>
      <c r="BK61" s="58">
        <v>0</v>
      </c>
      <c r="BL61" s="58">
        <v>0</v>
      </c>
      <c r="BM61" s="58">
        <v>0</v>
      </c>
      <c r="BN61" s="58">
        <v>0</v>
      </c>
      <c r="BO61" s="58">
        <v>9.1720000000000006</v>
      </c>
      <c r="BP61" s="58">
        <v>0</v>
      </c>
      <c r="BQ61" s="71">
        <v>0</v>
      </c>
      <c r="BR61" s="71">
        <v>0</v>
      </c>
      <c r="BS61" s="71">
        <v>0</v>
      </c>
      <c r="BT61" s="71">
        <v>0</v>
      </c>
      <c r="BU61" s="71">
        <v>0</v>
      </c>
      <c r="BV61" s="223"/>
      <c r="BW61" s="58">
        <v>0</v>
      </c>
      <c r="BX61" s="58">
        <v>0</v>
      </c>
      <c r="BY61" s="58">
        <v>0</v>
      </c>
      <c r="BZ61" s="58">
        <v>0</v>
      </c>
      <c r="CA61" s="58">
        <v>0</v>
      </c>
      <c r="CB61" s="58">
        <v>0</v>
      </c>
      <c r="CC61" s="58">
        <v>0</v>
      </c>
      <c r="CD61" s="58">
        <v>0</v>
      </c>
      <c r="CE61" s="58">
        <v>0</v>
      </c>
      <c r="CF61" s="58">
        <v>0</v>
      </c>
      <c r="CG61" s="58">
        <v>0</v>
      </c>
      <c r="CH61" s="58">
        <v>0</v>
      </c>
      <c r="CI61" s="58">
        <v>0</v>
      </c>
      <c r="CJ61" s="58">
        <v>0</v>
      </c>
      <c r="CK61" s="58">
        <v>0</v>
      </c>
      <c r="CL61" s="58">
        <v>0</v>
      </c>
      <c r="CM61" s="58">
        <v>9.1720000000000006</v>
      </c>
      <c r="CN61" s="58">
        <v>0</v>
      </c>
      <c r="CO61" s="206"/>
    </row>
    <row r="62" spans="1:94" s="6" customFormat="1" x14ac:dyDescent="0.35">
      <c r="B62" s="179" t="str">
        <f>IF(Control!$D$5=1,"Investment Activities Cash Flow","Fluxo de Caixa de Investimentos")</f>
        <v>Fluxo de Caixa de Investimentos</v>
      </c>
      <c r="C62" s="180">
        <f t="shared" ref="C62:AH62" si="15">SUM(C50:C60)</f>
        <v>0</v>
      </c>
      <c r="D62" s="180">
        <f t="shared" si="15"/>
        <v>-1.9339999999999999</v>
      </c>
      <c r="E62" s="180">
        <f t="shared" si="15"/>
        <v>-14.616</v>
      </c>
      <c r="F62" s="180">
        <f t="shared" si="15"/>
        <v>-60.85</v>
      </c>
      <c r="G62" s="180">
        <f t="shared" si="15"/>
        <v>32.084000000000003</v>
      </c>
      <c r="H62" s="180">
        <f t="shared" si="15"/>
        <v>-3.0009999999999999</v>
      </c>
      <c r="I62" s="180">
        <f t="shared" si="15"/>
        <v>-9.1890000000000001</v>
      </c>
      <c r="J62" s="180">
        <f t="shared" si="15"/>
        <v>-17.41</v>
      </c>
      <c r="K62" s="180">
        <f t="shared" si="15"/>
        <v>-87.756</v>
      </c>
      <c r="L62" s="180">
        <f t="shared" si="15"/>
        <v>-17.66</v>
      </c>
      <c r="M62" s="180">
        <f t="shared" si="15"/>
        <v>-26.237000000000002</v>
      </c>
      <c r="N62" s="180">
        <f t="shared" si="15"/>
        <v>-23.026</v>
      </c>
      <c r="O62" s="180">
        <f t="shared" si="15"/>
        <v>-29.375999999999998</v>
      </c>
      <c r="P62" s="180">
        <f t="shared" si="15"/>
        <v>-170.76300000000001</v>
      </c>
      <c r="Q62" s="180">
        <f t="shared" si="15"/>
        <v>59.789000000000001</v>
      </c>
      <c r="R62" s="180">
        <f t="shared" si="15"/>
        <v>-216.86099999999999</v>
      </c>
      <c r="S62" s="180">
        <f t="shared" si="15"/>
        <v>-202.27199999999999</v>
      </c>
      <c r="T62" s="180">
        <f t="shared" si="15"/>
        <v>152.73099999999999</v>
      </c>
      <c r="U62" s="180">
        <f t="shared" si="15"/>
        <v>-225.53300000000002</v>
      </c>
      <c r="V62" s="180">
        <f t="shared" si="15"/>
        <v>-77.14500000000001</v>
      </c>
      <c r="W62" s="180">
        <f t="shared" si="15"/>
        <v>-42.020999999999987</v>
      </c>
      <c r="X62" s="180">
        <f t="shared" si="15"/>
        <v>1.8229999999999897</v>
      </c>
      <c r="Y62" s="180">
        <f t="shared" si="15"/>
        <v>-35.698999999999991</v>
      </c>
      <c r="Z62" s="180">
        <f t="shared" si="15"/>
        <v>64.751999999999981</v>
      </c>
      <c r="AA62" s="180">
        <f t="shared" si="15"/>
        <v>19.521000000000011</v>
      </c>
      <c r="AB62" s="180">
        <f t="shared" si="15"/>
        <v>-174.1</v>
      </c>
      <c r="AC62" s="180">
        <f t="shared" si="15"/>
        <v>-99.532000000000011</v>
      </c>
      <c r="AD62" s="180">
        <f t="shared" si="15"/>
        <v>-130.08699999999999</v>
      </c>
      <c r="AE62" s="180">
        <f t="shared" si="15"/>
        <v>135.34800000000004</v>
      </c>
      <c r="AF62" s="180">
        <f t="shared" si="15"/>
        <v>99.198000000000008</v>
      </c>
      <c r="AG62" s="180">
        <f t="shared" si="15"/>
        <v>-181.298</v>
      </c>
      <c r="AH62" s="180">
        <f t="shared" si="15"/>
        <v>53.871999999999986</v>
      </c>
      <c r="AI62" s="180">
        <f t="shared" ref="AI62:BK62" si="16">SUM(AI50:AI60)</f>
        <v>-44.971999999999994</v>
      </c>
      <c r="AJ62" s="180">
        <f t="shared" si="16"/>
        <v>-20.968</v>
      </c>
      <c r="AK62" s="180">
        <f t="shared" si="16"/>
        <v>-54.164999999999999</v>
      </c>
      <c r="AL62" s="180">
        <f t="shared" si="16"/>
        <v>-73.986999999999995</v>
      </c>
      <c r="AM62" s="180">
        <f t="shared" si="16"/>
        <v>-397.68</v>
      </c>
      <c r="AN62" s="180">
        <f t="shared" si="16"/>
        <v>435.892</v>
      </c>
      <c r="AO62" s="180">
        <f t="shared" si="16"/>
        <v>-194.88500000000002</v>
      </c>
      <c r="AP62" s="180">
        <f t="shared" si="16"/>
        <v>-42.831999999999958</v>
      </c>
      <c r="AQ62" s="180">
        <f t="shared" si="16"/>
        <v>-229.47500000000002</v>
      </c>
      <c r="AR62" s="180">
        <f t="shared" si="16"/>
        <v>223.49999999999997</v>
      </c>
      <c r="AS62" s="180">
        <f t="shared" si="16"/>
        <v>-158</v>
      </c>
      <c r="AT62" s="180">
        <f t="shared" si="16"/>
        <v>6.2000000000000028</v>
      </c>
      <c r="AU62" s="180">
        <f t="shared" si="16"/>
        <v>-6.0999999999999943</v>
      </c>
      <c r="AV62" s="180">
        <f t="shared" si="16"/>
        <v>-336.9</v>
      </c>
      <c r="AW62" s="180">
        <f t="shared" si="16"/>
        <v>-48.786999999999992</v>
      </c>
      <c r="AX62" s="180">
        <f t="shared" si="16"/>
        <v>125.46899999999999</v>
      </c>
      <c r="AY62" s="180">
        <f t="shared" si="16"/>
        <v>124.648</v>
      </c>
      <c r="AZ62" s="180">
        <f t="shared" si="16"/>
        <v>-134.53399999999999</v>
      </c>
      <c r="BA62" s="180">
        <f t="shared" si="16"/>
        <v>90.752999999999986</v>
      </c>
      <c r="BB62" s="180">
        <f t="shared" si="16"/>
        <v>-90.311000000000007</v>
      </c>
      <c r="BC62" s="180">
        <f t="shared" si="16"/>
        <v>-79.92</v>
      </c>
      <c r="BD62" s="180">
        <f t="shared" si="16"/>
        <v>-44.497999999999998</v>
      </c>
      <c r="BE62" s="180">
        <f t="shared" si="16"/>
        <v>-39.466000000000001</v>
      </c>
      <c r="BF62" s="180">
        <f t="shared" si="16"/>
        <v>-639.80600000000004</v>
      </c>
      <c r="BG62" s="180">
        <f t="shared" si="16"/>
        <v>128.559</v>
      </c>
      <c r="BH62" s="180">
        <f t="shared" si="16"/>
        <v>-185.14859393357401</v>
      </c>
      <c r="BI62" s="180">
        <f t="shared" si="16"/>
        <v>-107.53125822610002</v>
      </c>
      <c r="BJ62" s="180">
        <f t="shared" si="16"/>
        <v>-235.80453539386906</v>
      </c>
      <c r="BK62" s="180">
        <f t="shared" si="16"/>
        <v>-90.570999999999998</v>
      </c>
      <c r="BL62" s="180">
        <f>SUM(BL50:BL60)</f>
        <v>-95.025999999999982</v>
      </c>
      <c r="BM62" s="180">
        <f>SUM(BM50:BM60)</f>
        <v>-46.512999999999998</v>
      </c>
      <c r="BN62" s="180">
        <f t="shared" ref="BN62:BU62" si="17">SUM(BN50:BN61)</f>
        <v>-93.715000000000003</v>
      </c>
      <c r="BO62" s="180">
        <f t="shared" si="17"/>
        <v>-76.737999999999985</v>
      </c>
      <c r="BP62" s="180">
        <f t="shared" si="17"/>
        <v>-62.015999999999998</v>
      </c>
      <c r="BQ62" s="180">
        <f t="shared" si="17"/>
        <v>-100.416</v>
      </c>
      <c r="BR62" s="180">
        <f t="shared" si="17"/>
        <v>-297.851</v>
      </c>
      <c r="BS62" s="180">
        <f t="shared" si="17"/>
        <v>-126.70500000000004</v>
      </c>
      <c r="BT62" s="180">
        <f t="shared" si="17"/>
        <v>-104.021</v>
      </c>
      <c r="BU62" s="180">
        <f t="shared" si="17"/>
        <v>-156.32299999999998</v>
      </c>
      <c r="BV62" s="223"/>
      <c r="BW62" s="180">
        <f t="shared" ref="BW62:CL62" si="18">SUM(BW50:BW61)</f>
        <v>-124.57900000000001</v>
      </c>
      <c r="BX62" s="180">
        <f t="shared" si="18"/>
        <v>-45.315999999999995</v>
      </c>
      <c r="BY62" s="180">
        <f t="shared" si="18"/>
        <v>-117.35599999999999</v>
      </c>
      <c r="BZ62" s="180">
        <f t="shared" si="18"/>
        <v>-96.299000000000007</v>
      </c>
      <c r="CA62" s="180">
        <f t="shared" si="18"/>
        <v>-530.10699999999997</v>
      </c>
      <c r="CB62" s="180">
        <f t="shared" si="18"/>
        <v>-191.96800000000002</v>
      </c>
      <c r="CC62" s="180">
        <f t="shared" si="18"/>
        <v>50.39700000000002</v>
      </c>
      <c r="CD62" s="180">
        <f t="shared" si="18"/>
        <v>-268.37099999999998</v>
      </c>
      <c r="CE62" s="180">
        <f t="shared" si="18"/>
        <v>-73.199999999999989</v>
      </c>
      <c r="CF62" s="180">
        <f t="shared" si="18"/>
        <v>-546.79999999999995</v>
      </c>
      <c r="CG62" s="180">
        <f t="shared" si="18"/>
        <v>-31.300000000000011</v>
      </c>
      <c r="CH62" s="180">
        <f t="shared" si="18"/>
        <v>103.59400000000005</v>
      </c>
      <c r="CI62" s="180">
        <f t="shared" si="18"/>
        <v>-135.57</v>
      </c>
      <c r="CJ62" s="180">
        <f t="shared" si="18"/>
        <v>-213.96</v>
      </c>
      <c r="CK62" s="180">
        <f t="shared" si="18"/>
        <v>-595.21100000000001</v>
      </c>
      <c r="CL62" s="180">
        <f t="shared" si="18"/>
        <v>-619.04769394811797</v>
      </c>
      <c r="CM62" s="180">
        <f>SUM(CM50:CM61)</f>
        <v>-311.99199999999996</v>
      </c>
      <c r="CN62" s="180">
        <f>SUM(CN50:CN61)</f>
        <v>-586.98800000000006</v>
      </c>
      <c r="CO62" s="206"/>
      <c r="CP62" s="5"/>
    </row>
    <row r="63" spans="1:94" ht="6.75" customHeight="1" x14ac:dyDescent="0.35">
      <c r="A63" s="20"/>
      <c r="B63" s="10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223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206"/>
    </row>
    <row r="64" spans="1:94" x14ac:dyDescent="0.35">
      <c r="B64" s="10" t="str">
        <f>IF(Control!$D$5=1,"Debt Issuance / (Repayment)","Captação (liquidação) de Empréstimos")</f>
        <v>Captação (liquidação) de Empréstimos</v>
      </c>
      <c r="C64" s="123">
        <v>0</v>
      </c>
      <c r="D64" s="123">
        <v>83.876000000000005</v>
      </c>
      <c r="E64" s="44">
        <v>18.284999999999997</v>
      </c>
      <c r="F64" s="44">
        <v>71.63900000000001</v>
      </c>
      <c r="G64" s="51">
        <v>-87.049000000000007</v>
      </c>
      <c r="H64" s="51">
        <v>-45.256999999999998</v>
      </c>
      <c r="I64" s="44">
        <v>11.562999999999995</v>
      </c>
      <c r="J64" s="44">
        <v>0.19400000000000261</v>
      </c>
      <c r="K64" s="51">
        <v>216.98</v>
      </c>
      <c r="L64" s="51">
        <v>-5.2279999999999998</v>
      </c>
      <c r="M64" s="44">
        <v>123.86</v>
      </c>
      <c r="N64" s="44">
        <v>-101.654</v>
      </c>
      <c r="O64" s="51">
        <v>-14.694000000000003</v>
      </c>
      <c r="P64" s="51">
        <v>110.831</v>
      </c>
      <c r="Q64" s="44">
        <v>131.62</v>
      </c>
      <c r="R64" s="44">
        <v>-37.546999999999997</v>
      </c>
      <c r="S64" s="44">
        <v>17.923000000000002</v>
      </c>
      <c r="T64" s="51">
        <v>69.977000000000004</v>
      </c>
      <c r="U64" s="44">
        <v>74.62</v>
      </c>
      <c r="V64" s="44">
        <v>97.925999999999988</v>
      </c>
      <c r="W64" s="44">
        <v>-24.100999999999999</v>
      </c>
      <c r="X64" s="51">
        <v>48.131</v>
      </c>
      <c r="Y64" s="44">
        <v>158.43600000000001</v>
      </c>
      <c r="Z64" s="44">
        <v>-72.968000000000018</v>
      </c>
      <c r="AA64" s="44">
        <v>10.550000000000011</v>
      </c>
      <c r="AB64" s="51">
        <v>40.200000000000003</v>
      </c>
      <c r="AC64" s="44">
        <v>158.923</v>
      </c>
      <c r="AD64" s="44">
        <v>13.010999999999996</v>
      </c>
      <c r="AE64" s="44">
        <v>-272.952</v>
      </c>
      <c r="AF64" s="44">
        <v>15.05</v>
      </c>
      <c r="AG64" s="44">
        <v>185.35</v>
      </c>
      <c r="AH64" s="44">
        <v>-18.599999999999994</v>
      </c>
      <c r="AI64" s="44">
        <v>-66.800000000000011</v>
      </c>
      <c r="AJ64" s="44">
        <v>-115.143</v>
      </c>
      <c r="AK64" s="44">
        <v>308.93100000000004</v>
      </c>
      <c r="AL64" s="44">
        <v>-200.69400000000002</v>
      </c>
      <c r="AM64" s="58">
        <v>202.90600000000001</v>
      </c>
      <c r="AN64" s="44">
        <v>-242.364</v>
      </c>
      <c r="AO64" s="44">
        <v>243.76399999999998</v>
      </c>
      <c r="AP64" s="44">
        <v>-562.09799999999996</v>
      </c>
      <c r="AQ64" s="58">
        <v>234.29800000000012</v>
      </c>
      <c r="AR64" s="58">
        <v>41.5</v>
      </c>
      <c r="AS64" s="58">
        <v>99.5</v>
      </c>
      <c r="AT64" s="58">
        <v>-87.700000000000045</v>
      </c>
      <c r="AU64" s="58">
        <f>383.9-330.9</f>
        <v>53</v>
      </c>
      <c r="AV64" s="58">
        <v>573.29999999999995</v>
      </c>
      <c r="AW64" s="58">
        <v>96.019999999999982</v>
      </c>
      <c r="AX64" s="58">
        <v>-84.988000000000056</v>
      </c>
      <c r="AY64" s="58">
        <v>-462.22699999999998</v>
      </c>
      <c r="AZ64" s="58">
        <v>1391.5439999999999</v>
      </c>
      <c r="BA64" s="52">
        <v>-468.4</v>
      </c>
      <c r="BB64" s="52">
        <v>-74.8</v>
      </c>
      <c r="BC64" s="52">
        <v>-302</v>
      </c>
      <c r="BD64" s="52">
        <f>722.3-279.8</f>
        <v>442.49999999999994</v>
      </c>
      <c r="BE64" s="52">
        <v>-51.062000000000012</v>
      </c>
      <c r="BF64" s="52">
        <v>1028.3899999999999</v>
      </c>
      <c r="BG64" s="52">
        <v>-380.83499999999998</v>
      </c>
      <c r="BH64" s="52">
        <v>265</v>
      </c>
      <c r="BI64" s="52">
        <v>241.6</v>
      </c>
      <c r="BJ64" s="52">
        <v>-104.7</v>
      </c>
      <c r="BK64" s="52">
        <v>264.8</v>
      </c>
      <c r="BL64" s="52">
        <v>122.54100000000005</v>
      </c>
      <c r="BM64" s="52">
        <f>1087.31-136.663</f>
        <v>950.64699999999993</v>
      </c>
      <c r="BN64" s="52">
        <f>418.371-390.127</f>
        <v>28.243999999999971</v>
      </c>
      <c r="BO64" s="52">
        <v>417.22299999999996</v>
      </c>
      <c r="BP64" s="52">
        <v>-302.26200000000006</v>
      </c>
      <c r="BQ64" s="71">
        <v>967.70799999999997</v>
      </c>
      <c r="BR64" s="71">
        <v>-371.22199999999998</v>
      </c>
      <c r="BS64" s="71">
        <v>-691.94700000000012</v>
      </c>
      <c r="BT64" s="71">
        <v>3.1079999999999472</v>
      </c>
      <c r="BU64" s="71">
        <f>494.3-335.6</f>
        <v>158.69999999999999</v>
      </c>
      <c r="BV64" s="223"/>
      <c r="BW64" s="58">
        <v>43.792000000000002</v>
      </c>
      <c r="BX64" s="58">
        <v>86.751000000000005</v>
      </c>
      <c r="BY64" s="58">
        <v>183.48</v>
      </c>
      <c r="BZ64" s="58">
        <v>2.2839999999999998</v>
      </c>
      <c r="CA64" s="58">
        <v>222.827</v>
      </c>
      <c r="CB64" s="58">
        <v>218.422</v>
      </c>
      <c r="CC64" s="58">
        <v>144.149</v>
      </c>
      <c r="CD64" s="58">
        <v>-60.817999999999998</v>
      </c>
      <c r="CE64" s="58">
        <v>115</v>
      </c>
      <c r="CF64" s="58">
        <v>196</v>
      </c>
      <c r="CG64" s="58">
        <f>707.736-1034.054</f>
        <v>-326.3180000000001</v>
      </c>
      <c r="CH64" s="58">
        <f>626.693-697.348</f>
        <v>-70.654999999999973</v>
      </c>
      <c r="CI64" s="58">
        <v>122.404</v>
      </c>
      <c r="CJ64" s="58">
        <v>546.29999999999995</v>
      </c>
      <c r="CK64" s="58">
        <v>1038.9579999999999</v>
      </c>
      <c r="CL64" s="58">
        <v>666.7</v>
      </c>
      <c r="CM64" s="58">
        <v>1518.6550000000002</v>
      </c>
      <c r="CN64" s="58">
        <v>-397.72300000000018</v>
      </c>
      <c r="CO64" s="206"/>
    </row>
    <row r="65" spans="1:94" x14ac:dyDescent="0.35">
      <c r="B65" s="10" t="str">
        <f>IF(Control!$D$5=1,"Debt Repayment in acquired controlled company","Pagamento de Dívida em controlada adquirida")</f>
        <v>Pagamento de Dívida em controlada adquirida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>
        <v>0</v>
      </c>
      <c r="W65" s="58">
        <v>0</v>
      </c>
      <c r="X65" s="58">
        <v>0</v>
      </c>
      <c r="Y65" s="58">
        <v>0</v>
      </c>
      <c r="Z65" s="58">
        <v>0</v>
      </c>
      <c r="AA65" s="58">
        <v>0</v>
      </c>
      <c r="AB65" s="58">
        <v>0</v>
      </c>
      <c r="AC65" s="58">
        <v>0</v>
      </c>
      <c r="AD65" s="58">
        <v>0</v>
      </c>
      <c r="AE65" s="58">
        <v>0</v>
      </c>
      <c r="AF65" s="58">
        <v>0</v>
      </c>
      <c r="AG65" s="58">
        <v>0</v>
      </c>
      <c r="AH65" s="58">
        <v>0</v>
      </c>
      <c r="AI65" s="58">
        <v>0</v>
      </c>
      <c r="AJ65" s="58">
        <v>0</v>
      </c>
      <c r="AK65" s="58">
        <v>0</v>
      </c>
      <c r="AL65" s="58">
        <v>0</v>
      </c>
      <c r="AM65" s="58">
        <v>0</v>
      </c>
      <c r="AN65" s="58">
        <v>0</v>
      </c>
      <c r="AO65" s="58">
        <v>0</v>
      </c>
      <c r="AP65" s="58">
        <v>0</v>
      </c>
      <c r="AQ65" s="58">
        <v>0</v>
      </c>
      <c r="AR65" s="58">
        <v>0</v>
      </c>
      <c r="AS65" s="58">
        <v>0</v>
      </c>
      <c r="AT65" s="58">
        <v>0</v>
      </c>
      <c r="AU65" s="58">
        <v>0</v>
      </c>
      <c r="AV65" s="58">
        <v>0</v>
      </c>
      <c r="AW65" s="58">
        <v>0</v>
      </c>
      <c r="AX65" s="58">
        <v>0</v>
      </c>
      <c r="AY65" s="58">
        <v>0</v>
      </c>
      <c r="AZ65" s="58">
        <v>0</v>
      </c>
      <c r="BA65" s="58">
        <v>0</v>
      </c>
      <c r="BB65" s="58">
        <v>0</v>
      </c>
      <c r="BC65" s="58">
        <v>0</v>
      </c>
      <c r="BD65" s="58">
        <v>0</v>
      </c>
      <c r="BE65" s="58">
        <v>0</v>
      </c>
      <c r="BF65" s="58">
        <v>0</v>
      </c>
      <c r="BG65" s="58">
        <v>-176.77799999999999</v>
      </c>
      <c r="BH65" s="58">
        <v>0</v>
      </c>
      <c r="BI65" s="58">
        <v>0</v>
      </c>
      <c r="BJ65" s="58">
        <v>0</v>
      </c>
      <c r="BK65" s="58">
        <v>0</v>
      </c>
      <c r="BL65" s="52">
        <v>0</v>
      </c>
      <c r="BM65" s="52">
        <v>0</v>
      </c>
      <c r="BN65" s="52">
        <v>0</v>
      </c>
      <c r="BO65" s="52">
        <v>0</v>
      </c>
      <c r="BP65" s="52">
        <v>0</v>
      </c>
      <c r="BQ65" s="71">
        <v>0</v>
      </c>
      <c r="BR65" s="71">
        <v>0</v>
      </c>
      <c r="BS65" s="71">
        <v>0</v>
      </c>
      <c r="BT65" s="71">
        <v>0</v>
      </c>
      <c r="BU65" s="71">
        <v>0</v>
      </c>
      <c r="BV65" s="223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>
        <v>-176.77799999999999</v>
      </c>
      <c r="CL65" s="58">
        <v>0</v>
      </c>
      <c r="CM65" s="58">
        <v>0</v>
      </c>
      <c r="CN65" s="58">
        <v>0</v>
      </c>
      <c r="CO65" s="206"/>
    </row>
    <row r="66" spans="1:94" x14ac:dyDescent="0.35">
      <c r="B66" s="184" t="str">
        <f>IF(Control!$D$5=1,"Capital Increase","Venda de Participação Acionária")</f>
        <v>Venda de Participação Acionária</v>
      </c>
      <c r="C66" s="123">
        <v>0</v>
      </c>
      <c r="D66" s="123">
        <v>0</v>
      </c>
      <c r="E66" s="44">
        <v>0</v>
      </c>
      <c r="F66" s="44">
        <v>0</v>
      </c>
      <c r="G66" s="51">
        <v>0</v>
      </c>
      <c r="H66" s="51">
        <v>0</v>
      </c>
      <c r="I66" s="44">
        <v>0</v>
      </c>
      <c r="J66" s="44">
        <v>0</v>
      </c>
      <c r="K66" s="51">
        <v>0</v>
      </c>
      <c r="L66" s="51">
        <v>0</v>
      </c>
      <c r="M66" s="44">
        <v>0</v>
      </c>
      <c r="N66" s="44">
        <v>0</v>
      </c>
      <c r="O66" s="51">
        <v>0</v>
      </c>
      <c r="P66" s="51">
        <v>-13.88</v>
      </c>
      <c r="Q66" s="44">
        <v>13.88</v>
      </c>
      <c r="R66" s="44">
        <v>0</v>
      </c>
      <c r="S66" s="44">
        <v>371.40800000000002</v>
      </c>
      <c r="T66" s="51">
        <v>0</v>
      </c>
      <c r="U66" s="44">
        <v>0</v>
      </c>
      <c r="V66" s="44">
        <v>0</v>
      </c>
      <c r="W66" s="44">
        <v>0</v>
      </c>
      <c r="X66" s="51">
        <v>0</v>
      </c>
      <c r="Y66" s="44">
        <v>0</v>
      </c>
      <c r="Z66" s="44">
        <v>0</v>
      </c>
      <c r="AA66" s="44">
        <v>0</v>
      </c>
      <c r="AB66" s="51">
        <v>0</v>
      </c>
      <c r="AC66" s="44">
        <v>0</v>
      </c>
      <c r="AD66" s="44">
        <v>0</v>
      </c>
      <c r="AE66" s="44">
        <v>0</v>
      </c>
      <c r="AF66" s="44">
        <v>0</v>
      </c>
      <c r="AG66" s="44">
        <v>-30</v>
      </c>
      <c r="AH66" s="44">
        <v>30</v>
      </c>
      <c r="AI66" s="44">
        <v>0</v>
      </c>
      <c r="AJ66" s="44">
        <v>0</v>
      </c>
      <c r="AK66" s="44">
        <v>0</v>
      </c>
      <c r="AL66" s="44">
        <v>0</v>
      </c>
      <c r="AM66" s="58">
        <v>0</v>
      </c>
      <c r="AN66" s="44">
        <v>0</v>
      </c>
      <c r="AO66" s="44">
        <v>0</v>
      </c>
      <c r="AP66" s="44">
        <v>0</v>
      </c>
      <c r="AQ66" s="58">
        <v>0</v>
      </c>
      <c r="AR66" s="58">
        <v>0</v>
      </c>
      <c r="AS66" s="58">
        <v>0</v>
      </c>
      <c r="AT66" s="58">
        <v>0</v>
      </c>
      <c r="AU66" s="58">
        <v>0</v>
      </c>
      <c r="AV66" s="58">
        <v>0</v>
      </c>
      <c r="AW66" s="58">
        <v>0</v>
      </c>
      <c r="AX66" s="58">
        <v>0</v>
      </c>
      <c r="AY66" s="58">
        <v>0</v>
      </c>
      <c r="AZ66" s="58">
        <v>0</v>
      </c>
      <c r="BA66" s="58">
        <v>0</v>
      </c>
      <c r="BB66" s="58">
        <v>0</v>
      </c>
      <c r="BC66" s="58">
        <v>0</v>
      </c>
      <c r="BD66" s="58">
        <v>0</v>
      </c>
      <c r="BE66" s="58">
        <v>0</v>
      </c>
      <c r="BF66" s="58">
        <v>0</v>
      </c>
      <c r="BG66" s="58">
        <v>0</v>
      </c>
      <c r="BH66" s="58">
        <v>0</v>
      </c>
      <c r="BI66" s="58">
        <v>0</v>
      </c>
      <c r="BJ66" s="58">
        <v>0</v>
      </c>
      <c r="BK66" s="58">
        <v>0</v>
      </c>
      <c r="BL66" s="52">
        <v>0</v>
      </c>
      <c r="BM66" s="52">
        <v>0</v>
      </c>
      <c r="BN66" s="52">
        <v>0</v>
      </c>
      <c r="BO66" s="52">
        <v>0</v>
      </c>
      <c r="BP66" s="52">
        <v>0</v>
      </c>
      <c r="BQ66" s="71">
        <v>0</v>
      </c>
      <c r="BR66" s="71">
        <v>0</v>
      </c>
      <c r="BS66" s="71">
        <v>0</v>
      </c>
      <c r="BT66" s="71">
        <v>0</v>
      </c>
      <c r="BU66" s="71">
        <v>0</v>
      </c>
      <c r="BV66" s="223"/>
      <c r="BW66" s="58">
        <v>0</v>
      </c>
      <c r="BX66" s="58">
        <v>0</v>
      </c>
      <c r="BY66" s="58">
        <v>0</v>
      </c>
      <c r="BZ66" s="58">
        <v>0</v>
      </c>
      <c r="CA66" s="58">
        <v>371.40800000000002</v>
      </c>
      <c r="CB66" s="58">
        <v>0</v>
      </c>
      <c r="CC66" s="58">
        <v>0</v>
      </c>
      <c r="CD66" s="58">
        <v>0</v>
      </c>
      <c r="CE66" s="58">
        <v>0</v>
      </c>
      <c r="CF66" s="58">
        <v>0</v>
      </c>
      <c r="CG66" s="58">
        <v>0</v>
      </c>
      <c r="CH66" s="58">
        <v>0</v>
      </c>
      <c r="CI66" s="58">
        <v>0</v>
      </c>
      <c r="CJ66" s="58">
        <v>0</v>
      </c>
      <c r="CK66" s="58">
        <v>0</v>
      </c>
      <c r="CL66" s="58">
        <v>0</v>
      </c>
      <c r="CM66" s="58">
        <v>0</v>
      </c>
      <c r="CN66" s="58">
        <v>0</v>
      </c>
      <c r="CO66" s="206"/>
    </row>
    <row r="67" spans="1:94" x14ac:dyDescent="0.35">
      <c r="B67" s="184" t="str">
        <f>IF(Control!$D$5=1,"Payment of lease liabilities","Pagamento de Passivo de arrendamento")</f>
        <v>Pagamento de Passivo de arrendamento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>
        <v>0</v>
      </c>
      <c r="V67" s="58">
        <v>0</v>
      </c>
      <c r="W67" s="58">
        <v>0</v>
      </c>
      <c r="X67" s="58">
        <v>0</v>
      </c>
      <c r="Y67" s="58">
        <v>0</v>
      </c>
      <c r="Z67" s="58">
        <v>0</v>
      </c>
      <c r="AA67" s="58">
        <v>0</v>
      </c>
      <c r="AB67" s="58">
        <v>0</v>
      </c>
      <c r="AC67" s="58">
        <v>0</v>
      </c>
      <c r="AD67" s="58">
        <v>0</v>
      </c>
      <c r="AE67" s="58">
        <v>0</v>
      </c>
      <c r="AF67" s="58">
        <v>0</v>
      </c>
      <c r="AG67" s="58">
        <v>0</v>
      </c>
      <c r="AH67" s="58">
        <v>0</v>
      </c>
      <c r="AI67" s="58">
        <v>0</v>
      </c>
      <c r="AJ67" s="58">
        <v>0</v>
      </c>
      <c r="AK67" s="58">
        <v>0</v>
      </c>
      <c r="AL67" s="58">
        <v>0</v>
      </c>
      <c r="AM67" s="58">
        <v>0</v>
      </c>
      <c r="AN67" s="58">
        <v>0</v>
      </c>
      <c r="AO67" s="58">
        <v>0</v>
      </c>
      <c r="AP67" s="58">
        <v>0</v>
      </c>
      <c r="AQ67" s="58">
        <v>0</v>
      </c>
      <c r="AR67" s="58">
        <v>0</v>
      </c>
      <c r="AS67" s="58">
        <v>0</v>
      </c>
      <c r="AT67" s="58">
        <v>0</v>
      </c>
      <c r="AU67" s="58">
        <v>0</v>
      </c>
      <c r="AV67" s="58">
        <v>0</v>
      </c>
      <c r="AW67" s="58">
        <v>-9.302999999999999</v>
      </c>
      <c r="AX67" s="58">
        <v>-9.3979999999999997</v>
      </c>
      <c r="AY67" s="58">
        <v>-9.4510000000000005</v>
      </c>
      <c r="AZ67" s="58">
        <v>-9.9149999999999991</v>
      </c>
      <c r="BA67" s="58">
        <v>-11.381</v>
      </c>
      <c r="BB67" s="58">
        <v>-9.4</v>
      </c>
      <c r="BC67" s="58">
        <v>-10.321</v>
      </c>
      <c r="BD67" s="58">
        <v>-8.4570000000000007</v>
      </c>
      <c r="BE67" s="58">
        <v>-8.1859999999999999</v>
      </c>
      <c r="BF67" s="58">
        <v>-7.8769999999999998</v>
      </c>
      <c r="BG67" s="58">
        <v>-8.1159999999999997</v>
      </c>
      <c r="BH67" s="58">
        <v>-8.86</v>
      </c>
      <c r="BI67" s="58">
        <v>-10.095000000000001</v>
      </c>
      <c r="BJ67" s="58">
        <v>-11.465999999999999</v>
      </c>
      <c r="BK67" s="58">
        <v>-11.182</v>
      </c>
      <c r="BL67" s="52">
        <v>-11.053000000000001</v>
      </c>
      <c r="BM67" s="52">
        <v>-11.561999999999999</v>
      </c>
      <c r="BN67" s="52">
        <v>-12.693</v>
      </c>
      <c r="BO67" s="52">
        <v>-14.365000000000002</v>
      </c>
      <c r="BP67" s="52">
        <v>-15.782999999999999</v>
      </c>
      <c r="BQ67" s="71">
        <v>-16.637</v>
      </c>
      <c r="BR67" s="71">
        <v>-17.29</v>
      </c>
      <c r="BS67" s="71">
        <v>-17.285000000000004</v>
      </c>
      <c r="BT67" s="71">
        <v>-17.847999999999999</v>
      </c>
      <c r="BU67" s="71">
        <v>-17.126000000000001</v>
      </c>
      <c r="BV67" s="223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>
        <v>-36.752000000000002</v>
      </c>
      <c r="CJ67" s="58">
        <v>-41.05</v>
      </c>
      <c r="CK67" s="58">
        <v>-32.636000000000003</v>
      </c>
      <c r="CL67" s="58">
        <v>-41.603000000000002</v>
      </c>
      <c r="CM67" s="58">
        <v>-49.673000000000002</v>
      </c>
      <c r="CN67" s="58">
        <v>-66.995000000000005</v>
      </c>
      <c r="CO67" s="206"/>
    </row>
    <row r="68" spans="1:94" x14ac:dyDescent="0.35">
      <c r="B68" s="184" t="str">
        <f>IF(Control!$D$5=1,"Dividends and Interest on Equity Paid","Dividendos e JSCP")</f>
        <v>Dividendos e JSCP</v>
      </c>
      <c r="C68" s="123">
        <v>0</v>
      </c>
      <c r="D68" s="123">
        <v>-0.375</v>
      </c>
      <c r="E68" s="44">
        <v>-5.891</v>
      </c>
      <c r="F68" s="44">
        <v>-4.0340000000000007</v>
      </c>
      <c r="G68" s="51">
        <v>-3.8940000000000001</v>
      </c>
      <c r="H68" s="51">
        <v>-3.7589999999999999</v>
      </c>
      <c r="I68" s="44">
        <v>-2.7500000000000004</v>
      </c>
      <c r="J68" s="44">
        <v>-3.391</v>
      </c>
      <c r="K68" s="51">
        <v>-3.3889999999999993</v>
      </c>
      <c r="L68" s="51">
        <v>-3.3159999999999998</v>
      </c>
      <c r="M68" s="44">
        <v>-2.9000000000000004</v>
      </c>
      <c r="N68" s="44">
        <v>-3.1840000000000002</v>
      </c>
      <c r="O68" s="51">
        <v>-3.0749999999999993</v>
      </c>
      <c r="P68" s="51">
        <v>-3.206</v>
      </c>
      <c r="Q68" s="44">
        <v>-2.8000000000000003</v>
      </c>
      <c r="R68" s="44">
        <v>377.41399999999999</v>
      </c>
      <c r="S68" s="44">
        <v>-491.66399999999999</v>
      </c>
      <c r="T68" s="51">
        <v>0</v>
      </c>
      <c r="U68" s="44">
        <v>0</v>
      </c>
      <c r="V68" s="44">
        <v>0</v>
      </c>
      <c r="W68" s="44">
        <v>0</v>
      </c>
      <c r="X68" s="51">
        <v>-33</v>
      </c>
      <c r="Y68" s="44">
        <v>-0.53300000000000125</v>
      </c>
      <c r="Z68" s="44">
        <v>0</v>
      </c>
      <c r="AA68" s="44">
        <v>0</v>
      </c>
      <c r="AB68" s="51">
        <v>-34</v>
      </c>
      <c r="AC68" s="44">
        <v>0</v>
      </c>
      <c r="AD68" s="44">
        <v>0</v>
      </c>
      <c r="AE68" s="44">
        <v>0</v>
      </c>
      <c r="AF68" s="44">
        <v>0</v>
      </c>
      <c r="AG68" s="44">
        <v>0</v>
      </c>
      <c r="AH68" s="44">
        <v>-30</v>
      </c>
      <c r="AI68" s="44">
        <v>0</v>
      </c>
      <c r="AJ68" s="44">
        <v>0</v>
      </c>
      <c r="AK68" s="44">
        <v>-73.724000000000004</v>
      </c>
      <c r="AL68" s="44">
        <v>-25</v>
      </c>
      <c r="AM68" s="58">
        <v>-57.975999999999985</v>
      </c>
      <c r="AN68" s="44">
        <v>-100</v>
      </c>
      <c r="AO68" s="44">
        <v>0</v>
      </c>
      <c r="AP68" s="44">
        <v>0</v>
      </c>
      <c r="AQ68" s="58">
        <v>-65</v>
      </c>
      <c r="AR68" s="58">
        <v>0</v>
      </c>
      <c r="AS68" s="58">
        <v>0</v>
      </c>
      <c r="AT68" s="58">
        <v>-20</v>
      </c>
      <c r="AU68" s="58">
        <v>-45</v>
      </c>
      <c r="AV68" s="58">
        <v>-20</v>
      </c>
      <c r="AW68" s="58">
        <v>-21</v>
      </c>
      <c r="AX68" s="58">
        <v>-15</v>
      </c>
      <c r="AY68" s="58">
        <v>-15</v>
      </c>
      <c r="AZ68" s="58">
        <v>-15</v>
      </c>
      <c r="BA68" s="58">
        <v>-15</v>
      </c>
      <c r="BB68" s="58">
        <v>0</v>
      </c>
      <c r="BC68" s="58">
        <v>-185</v>
      </c>
      <c r="BD68" s="58">
        <v>-20</v>
      </c>
      <c r="BE68" s="58">
        <v>-20</v>
      </c>
      <c r="BF68" s="58">
        <v>-25</v>
      </c>
      <c r="BG68" s="58">
        <v>-25</v>
      </c>
      <c r="BH68" s="58">
        <v>-25</v>
      </c>
      <c r="BI68" s="58">
        <v>-55</v>
      </c>
      <c r="BJ68" s="58">
        <v>-20</v>
      </c>
      <c r="BK68" s="58">
        <v>-30</v>
      </c>
      <c r="BL68" s="52">
        <v>-25</v>
      </c>
      <c r="BM68" s="52">
        <v>-25</v>
      </c>
      <c r="BN68" s="52">
        <v>-25</v>
      </c>
      <c r="BO68" s="52">
        <v>-25</v>
      </c>
      <c r="BP68" s="52">
        <v>-25</v>
      </c>
      <c r="BQ68" s="71">
        <v>-25</v>
      </c>
      <c r="BR68" s="71">
        <v>-24.998999999999999</v>
      </c>
      <c r="BS68" s="71">
        <v>-25</v>
      </c>
      <c r="BT68" s="71">
        <v>-25</v>
      </c>
      <c r="BU68" s="71">
        <v>-25</v>
      </c>
      <c r="BV68" s="223"/>
      <c r="BW68" s="58">
        <v>-1.75</v>
      </c>
      <c r="BX68" s="58">
        <v>-14.194000000000001</v>
      </c>
      <c r="BY68" s="58">
        <v>-13.289</v>
      </c>
      <c r="BZ68" s="58">
        <v>-12.475</v>
      </c>
      <c r="CA68" s="58">
        <v>-120.256</v>
      </c>
      <c r="CB68" s="58">
        <v>0</v>
      </c>
      <c r="CC68" s="58">
        <v>-33.533000000000001</v>
      </c>
      <c r="CD68" s="58">
        <v>-34</v>
      </c>
      <c r="CE68" s="58">
        <v>-30</v>
      </c>
      <c r="CF68" s="58">
        <v>-156.69999999999999</v>
      </c>
      <c r="CG68" s="58">
        <v>-165</v>
      </c>
      <c r="CH68" s="58">
        <v>-65</v>
      </c>
      <c r="CI68" s="58">
        <f>-52.6-18.4</f>
        <v>-71</v>
      </c>
      <c r="CJ68" s="58">
        <v>-215</v>
      </c>
      <c r="CK68" s="58">
        <v>-90</v>
      </c>
      <c r="CL68" s="58">
        <v>-130</v>
      </c>
      <c r="CM68" s="58">
        <v>-100</v>
      </c>
      <c r="CN68" s="58">
        <v>-99.998999999999995</v>
      </c>
      <c r="CO68" s="206"/>
    </row>
    <row r="69" spans="1:94" x14ac:dyDescent="0.35">
      <c r="B69" s="10" t="str">
        <f>IF(Control!$D$5=1,"Capital Increase","Aumento de Capital")</f>
        <v>Aumento de Capital</v>
      </c>
      <c r="C69" s="123">
        <v>0</v>
      </c>
      <c r="D69" s="123">
        <v>0</v>
      </c>
      <c r="E69" s="123">
        <v>0</v>
      </c>
      <c r="F69" s="123">
        <v>0</v>
      </c>
      <c r="G69" s="123">
        <v>0</v>
      </c>
      <c r="H69" s="125">
        <v>0</v>
      </c>
      <c r="I69" s="123">
        <v>0</v>
      </c>
      <c r="J69" s="124">
        <v>0</v>
      </c>
      <c r="K69" s="123">
        <v>0</v>
      </c>
      <c r="L69" s="125">
        <v>0</v>
      </c>
      <c r="M69" s="123">
        <v>0</v>
      </c>
      <c r="N69" s="124">
        <v>0</v>
      </c>
      <c r="O69" s="125">
        <v>0</v>
      </c>
      <c r="P69" s="125">
        <v>0</v>
      </c>
      <c r="Q69" s="124">
        <v>0</v>
      </c>
      <c r="R69" s="124">
        <v>0</v>
      </c>
      <c r="S69" s="124">
        <v>0</v>
      </c>
      <c r="T69" s="125">
        <v>0</v>
      </c>
      <c r="U69" s="124">
        <v>0</v>
      </c>
      <c r="V69" s="124">
        <v>-0.32800000000000001</v>
      </c>
      <c r="W69" s="124">
        <v>0.32800000000000001</v>
      </c>
      <c r="X69" s="125">
        <v>0</v>
      </c>
      <c r="Y69" s="124">
        <v>0</v>
      </c>
      <c r="Z69" s="124">
        <v>0</v>
      </c>
      <c r="AA69" s="124">
        <v>0</v>
      </c>
      <c r="AB69" s="125">
        <v>0</v>
      </c>
      <c r="AC69" s="124">
        <v>0</v>
      </c>
      <c r="AD69" s="124">
        <v>6.2679999999999998</v>
      </c>
      <c r="AE69" s="124">
        <v>-6.2679999999999998</v>
      </c>
      <c r="AF69" s="124">
        <v>0</v>
      </c>
      <c r="AG69" s="124">
        <v>0</v>
      </c>
      <c r="AH69" s="124">
        <v>0</v>
      </c>
      <c r="AI69" s="124">
        <v>0</v>
      </c>
      <c r="AJ69" s="124">
        <v>0</v>
      </c>
      <c r="AK69" s="124">
        <v>73.724000000000004</v>
      </c>
      <c r="AL69" s="124">
        <v>0</v>
      </c>
      <c r="AM69" s="58">
        <v>-2.4000000000000909E-2</v>
      </c>
      <c r="AN69" s="124">
        <v>0</v>
      </c>
      <c r="AO69" s="124">
        <v>0</v>
      </c>
      <c r="AP69" s="124">
        <v>369</v>
      </c>
      <c r="AQ69" s="58">
        <v>0</v>
      </c>
      <c r="AR69" s="58">
        <v>0</v>
      </c>
      <c r="AS69" s="58">
        <v>0</v>
      </c>
      <c r="AT69" s="58">
        <v>-2.7</v>
      </c>
      <c r="AU69" s="58">
        <v>-0.4</v>
      </c>
      <c r="AV69" s="58">
        <v>0</v>
      </c>
      <c r="AW69" s="58">
        <v>0</v>
      </c>
      <c r="AX69" s="58">
        <v>0</v>
      </c>
      <c r="AY69" s="58">
        <v>0</v>
      </c>
      <c r="AZ69" s="58">
        <v>0</v>
      </c>
      <c r="BA69" s="58">
        <v>0</v>
      </c>
      <c r="BB69" s="58">
        <v>0</v>
      </c>
      <c r="BC69" s="58">
        <v>0</v>
      </c>
      <c r="BD69" s="58">
        <v>0</v>
      </c>
      <c r="BE69" s="58">
        <v>0</v>
      </c>
      <c r="BF69" s="58">
        <v>0</v>
      </c>
      <c r="BG69" s="58">
        <v>0</v>
      </c>
      <c r="BH69" s="58">
        <v>0</v>
      </c>
      <c r="BI69" s="58">
        <v>0</v>
      </c>
      <c r="BJ69" s="58">
        <v>0</v>
      </c>
      <c r="BK69" s="58">
        <v>0</v>
      </c>
      <c r="BL69" s="52">
        <v>0</v>
      </c>
      <c r="BM69" s="52">
        <v>0</v>
      </c>
      <c r="BN69" s="52">
        <v>0</v>
      </c>
      <c r="BO69" s="52">
        <v>0</v>
      </c>
      <c r="BP69" s="52">
        <v>0</v>
      </c>
      <c r="BQ69" s="225">
        <v>0</v>
      </c>
      <c r="BR69" s="71">
        <v>0</v>
      </c>
      <c r="BS69" s="71">
        <v>0</v>
      </c>
      <c r="BT69" s="71">
        <v>0</v>
      </c>
      <c r="BU69" s="71">
        <v>0</v>
      </c>
      <c r="BV69" s="223"/>
      <c r="BW69" s="58">
        <v>0</v>
      </c>
      <c r="BX69" s="58">
        <v>0</v>
      </c>
      <c r="BY69" s="58">
        <v>0</v>
      </c>
      <c r="BZ69" s="58">
        <v>0</v>
      </c>
      <c r="CA69" s="58">
        <v>0</v>
      </c>
      <c r="CB69" s="58">
        <v>0</v>
      </c>
      <c r="CC69" s="58">
        <v>0</v>
      </c>
      <c r="CD69" s="58">
        <v>0</v>
      </c>
      <c r="CE69" s="58">
        <v>0</v>
      </c>
      <c r="CF69" s="58">
        <v>73.7</v>
      </c>
      <c r="CG69" s="58">
        <v>369</v>
      </c>
      <c r="CH69" s="58">
        <v>0</v>
      </c>
      <c r="CI69" s="58">
        <v>0</v>
      </c>
      <c r="CJ69" s="58">
        <v>0</v>
      </c>
      <c r="CK69" s="58">
        <v>0</v>
      </c>
      <c r="CL69" s="58">
        <v>0</v>
      </c>
      <c r="CM69" s="58">
        <v>0</v>
      </c>
      <c r="CN69" s="58">
        <v>0</v>
      </c>
      <c r="CO69" s="206"/>
    </row>
    <row r="70" spans="1:94" x14ac:dyDescent="0.35">
      <c r="B70" s="10" t="str">
        <f>IF(Control!$D$5=1,"Costs of shares issuance","Custo na emissão de ações")</f>
        <v>Custo na emissão de ações</v>
      </c>
      <c r="C70" s="123">
        <v>0</v>
      </c>
      <c r="D70" s="123">
        <v>0</v>
      </c>
      <c r="E70" s="123">
        <v>0</v>
      </c>
      <c r="F70" s="123">
        <v>0</v>
      </c>
      <c r="G70" s="123">
        <v>0</v>
      </c>
      <c r="H70" s="123">
        <v>0</v>
      </c>
      <c r="I70" s="123">
        <v>0</v>
      </c>
      <c r="J70" s="123">
        <v>0</v>
      </c>
      <c r="K70" s="123">
        <v>0</v>
      </c>
      <c r="L70" s="123">
        <v>0</v>
      </c>
      <c r="M70" s="123">
        <v>0</v>
      </c>
      <c r="N70" s="123">
        <v>0</v>
      </c>
      <c r="O70" s="123">
        <v>0</v>
      </c>
      <c r="P70" s="123">
        <v>0</v>
      </c>
      <c r="Q70" s="123">
        <v>0</v>
      </c>
      <c r="R70" s="123">
        <v>0</v>
      </c>
      <c r="S70" s="123">
        <v>0</v>
      </c>
      <c r="T70" s="123">
        <v>0</v>
      </c>
      <c r="U70" s="123">
        <v>0</v>
      </c>
      <c r="V70" s="123">
        <v>0</v>
      </c>
      <c r="W70" s="123">
        <v>0</v>
      </c>
      <c r="X70" s="123">
        <v>0</v>
      </c>
      <c r="Y70" s="123">
        <v>0</v>
      </c>
      <c r="Z70" s="123">
        <v>0</v>
      </c>
      <c r="AA70" s="123">
        <v>0</v>
      </c>
      <c r="AB70" s="123">
        <v>0</v>
      </c>
      <c r="AC70" s="123">
        <v>0</v>
      </c>
      <c r="AD70" s="123">
        <v>0</v>
      </c>
      <c r="AE70" s="123">
        <v>0</v>
      </c>
      <c r="AF70" s="123">
        <v>0</v>
      </c>
      <c r="AG70" s="123">
        <v>0</v>
      </c>
      <c r="AH70" s="123">
        <v>0</v>
      </c>
      <c r="AI70" s="123">
        <v>0</v>
      </c>
      <c r="AJ70" s="123">
        <v>0</v>
      </c>
      <c r="AK70" s="123">
        <v>0</v>
      </c>
      <c r="AL70" s="123">
        <v>0</v>
      </c>
      <c r="AM70" s="58">
        <v>0</v>
      </c>
      <c r="AN70" s="123">
        <v>0</v>
      </c>
      <c r="AO70" s="124">
        <v>-2.1</v>
      </c>
      <c r="AP70" s="124">
        <v>-13.982999999999999</v>
      </c>
      <c r="AQ70" s="58">
        <v>3.9829999999999988</v>
      </c>
      <c r="AR70" s="58">
        <v>-0.1</v>
      </c>
      <c r="AS70" s="58">
        <v>-0.19999999999999998</v>
      </c>
      <c r="AT70" s="58">
        <v>0</v>
      </c>
      <c r="AU70" s="58">
        <v>0</v>
      </c>
      <c r="AV70" s="58">
        <v>0</v>
      </c>
      <c r="AW70" s="58">
        <v>0</v>
      </c>
      <c r="AX70" s="58">
        <v>0</v>
      </c>
      <c r="AY70" s="58">
        <v>0</v>
      </c>
      <c r="AZ70" s="58">
        <v>0</v>
      </c>
      <c r="BA70" s="58">
        <v>0</v>
      </c>
      <c r="BB70" s="58">
        <v>0</v>
      </c>
      <c r="BC70" s="58">
        <v>0</v>
      </c>
      <c r="BD70" s="58">
        <v>0</v>
      </c>
      <c r="BE70" s="58">
        <v>0</v>
      </c>
      <c r="BF70" s="58">
        <v>0</v>
      </c>
      <c r="BG70" s="58">
        <v>0</v>
      </c>
      <c r="BH70" s="58">
        <v>0</v>
      </c>
      <c r="BI70" s="58">
        <v>0</v>
      </c>
      <c r="BJ70" s="58">
        <v>0</v>
      </c>
      <c r="BK70" s="58">
        <v>0</v>
      </c>
      <c r="BL70" s="52">
        <v>0</v>
      </c>
      <c r="BM70" s="52">
        <v>0</v>
      </c>
      <c r="BN70" s="52">
        <v>0</v>
      </c>
      <c r="BO70" s="52">
        <v>0</v>
      </c>
      <c r="BP70" s="52">
        <v>0</v>
      </c>
      <c r="BQ70" s="225">
        <v>0</v>
      </c>
      <c r="BR70" s="71">
        <v>0</v>
      </c>
      <c r="BS70" s="71">
        <v>0</v>
      </c>
      <c r="BT70" s="71">
        <v>0</v>
      </c>
      <c r="BU70" s="71">
        <v>0</v>
      </c>
      <c r="BV70" s="223"/>
      <c r="BW70" s="58">
        <v>0</v>
      </c>
      <c r="BX70" s="58">
        <v>0</v>
      </c>
      <c r="BY70" s="58">
        <v>0</v>
      </c>
      <c r="BZ70" s="58">
        <v>0</v>
      </c>
      <c r="CA70" s="58">
        <v>0</v>
      </c>
      <c r="CB70" s="58">
        <v>0</v>
      </c>
      <c r="CC70" s="58">
        <v>0</v>
      </c>
      <c r="CD70" s="58">
        <v>0</v>
      </c>
      <c r="CE70" s="58">
        <v>0</v>
      </c>
      <c r="CF70" s="58">
        <v>0</v>
      </c>
      <c r="CG70" s="58">
        <v>-12.1</v>
      </c>
      <c r="CH70" s="58">
        <v>-0.3</v>
      </c>
      <c r="CI70" s="58">
        <v>0</v>
      </c>
      <c r="CJ70" s="58">
        <v>0</v>
      </c>
      <c r="CK70" s="58">
        <v>0</v>
      </c>
      <c r="CL70" s="58">
        <v>0</v>
      </c>
      <c r="CM70" s="58">
        <v>0</v>
      </c>
      <c r="CN70" s="58">
        <v>0</v>
      </c>
      <c r="CO70" s="206"/>
    </row>
    <row r="71" spans="1:94" x14ac:dyDescent="0.35">
      <c r="A71" s="135"/>
      <c r="B71" s="10" t="str">
        <f>IF(Control!$D$5=1,"Treasury shares","Ações em tesouraria adquiridas")</f>
        <v>Ações em tesouraria adquiridas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0</v>
      </c>
      <c r="R71" s="58">
        <v>0</v>
      </c>
      <c r="S71" s="58">
        <v>0</v>
      </c>
      <c r="T71" s="58">
        <v>0</v>
      </c>
      <c r="U71" s="58">
        <v>0</v>
      </c>
      <c r="V71" s="58">
        <v>0</v>
      </c>
      <c r="W71" s="58">
        <v>0</v>
      </c>
      <c r="X71" s="58">
        <v>0</v>
      </c>
      <c r="Y71" s="58">
        <v>0</v>
      </c>
      <c r="Z71" s="58">
        <v>0</v>
      </c>
      <c r="AA71" s="58">
        <v>0</v>
      </c>
      <c r="AB71" s="58">
        <v>0</v>
      </c>
      <c r="AC71" s="58">
        <v>0</v>
      </c>
      <c r="AD71" s="58">
        <v>0</v>
      </c>
      <c r="AE71" s="58">
        <v>0</v>
      </c>
      <c r="AF71" s="58">
        <v>0</v>
      </c>
      <c r="AG71" s="58">
        <v>0</v>
      </c>
      <c r="AH71" s="58">
        <v>0</v>
      </c>
      <c r="AI71" s="58">
        <v>0</v>
      </c>
      <c r="AJ71" s="58">
        <v>0</v>
      </c>
      <c r="AK71" s="58">
        <v>0</v>
      </c>
      <c r="AL71" s="58">
        <v>0</v>
      </c>
      <c r="AM71" s="58">
        <v>0</v>
      </c>
      <c r="AN71" s="58">
        <v>0</v>
      </c>
      <c r="AO71" s="58">
        <v>0</v>
      </c>
      <c r="AP71" s="58">
        <v>0</v>
      </c>
      <c r="AQ71" s="58">
        <v>-20.3</v>
      </c>
      <c r="AR71" s="58">
        <v>-24.2</v>
      </c>
      <c r="AS71" s="58">
        <v>-0.69999999999999929</v>
      </c>
      <c r="AT71" s="58">
        <v>0</v>
      </c>
      <c r="AU71" s="58">
        <v>0</v>
      </c>
      <c r="AV71" s="58">
        <v>-6.3</v>
      </c>
      <c r="AW71" s="58">
        <v>-18.756</v>
      </c>
      <c r="AX71" s="58">
        <v>-191.65599999999998</v>
      </c>
      <c r="AY71" s="58">
        <v>0</v>
      </c>
      <c r="AZ71" s="58">
        <v>0</v>
      </c>
      <c r="BA71" s="58">
        <v>0</v>
      </c>
      <c r="BB71" s="58">
        <v>-23.6</v>
      </c>
      <c r="BC71" s="58">
        <v>-20.846</v>
      </c>
      <c r="BD71" s="58">
        <v>-11.936999999999999</v>
      </c>
      <c r="BE71" s="58">
        <v>-13.641</v>
      </c>
      <c r="BF71" s="58">
        <v>-16.826000000000001</v>
      </c>
      <c r="BG71" s="58">
        <v>-18.934000000000001</v>
      </c>
      <c r="BH71" s="58">
        <v>-13.09</v>
      </c>
      <c r="BI71" s="58">
        <v>-47.621000000000002</v>
      </c>
      <c r="BJ71" s="58">
        <v>-37.369</v>
      </c>
      <c r="BK71" s="58">
        <v>-3.4</v>
      </c>
      <c r="BL71" s="52">
        <v>-8.2870000000000008</v>
      </c>
      <c r="BM71" s="52">
        <v>-18.471</v>
      </c>
      <c r="BN71" s="52">
        <v>-25.765999999999998</v>
      </c>
      <c r="BO71" s="52">
        <v>-12.578000000000003</v>
      </c>
      <c r="BP71" s="52">
        <v>0</v>
      </c>
      <c r="BQ71" s="225">
        <v>0</v>
      </c>
      <c r="BR71" s="71">
        <v>0</v>
      </c>
      <c r="BS71" s="71">
        <v>0</v>
      </c>
      <c r="BT71" s="71">
        <v>0</v>
      </c>
      <c r="BU71" s="71">
        <v>0</v>
      </c>
      <c r="BV71" s="223"/>
      <c r="BW71" s="58">
        <v>0</v>
      </c>
      <c r="BX71" s="58">
        <v>0</v>
      </c>
      <c r="BY71" s="58">
        <v>0</v>
      </c>
      <c r="BZ71" s="58">
        <v>0</v>
      </c>
      <c r="CA71" s="58">
        <v>0</v>
      </c>
      <c r="CB71" s="58">
        <v>0</v>
      </c>
      <c r="CC71" s="58">
        <v>0</v>
      </c>
      <c r="CD71" s="58">
        <v>0</v>
      </c>
      <c r="CE71" s="58">
        <v>0</v>
      </c>
      <c r="CF71" s="58">
        <v>0</v>
      </c>
      <c r="CG71" s="58">
        <v>-20.3</v>
      </c>
      <c r="CH71" s="58">
        <v>-24.9</v>
      </c>
      <c r="CI71" s="58">
        <v>-216.71199999999999</v>
      </c>
      <c r="CJ71" s="58">
        <v>-44.414000000000001</v>
      </c>
      <c r="CK71" s="58">
        <v>-61.338000000000001</v>
      </c>
      <c r="CL71" s="58">
        <v>-101.48</v>
      </c>
      <c r="CM71" s="58">
        <v>-65.102000000000004</v>
      </c>
      <c r="CN71" s="58">
        <v>0</v>
      </c>
      <c r="CO71" s="206"/>
    </row>
    <row r="72" spans="1:94" x14ac:dyDescent="0.35">
      <c r="B72" s="10" t="str">
        <f>IF(Control!$D$5=1,"Shares issued","Ações outorgadas")</f>
        <v>Ações outorgadas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58">
        <v>0</v>
      </c>
      <c r="N72" s="58">
        <v>0</v>
      </c>
      <c r="O72" s="58">
        <v>0</v>
      </c>
      <c r="P72" s="58">
        <v>0</v>
      </c>
      <c r="Q72" s="58">
        <v>0</v>
      </c>
      <c r="R72" s="58">
        <v>0</v>
      </c>
      <c r="S72" s="58">
        <v>0</v>
      </c>
      <c r="T72" s="58">
        <v>0</v>
      </c>
      <c r="U72" s="58">
        <v>0</v>
      </c>
      <c r="V72" s="58">
        <v>0</v>
      </c>
      <c r="W72" s="58">
        <v>0</v>
      </c>
      <c r="X72" s="58">
        <v>0</v>
      </c>
      <c r="Y72" s="58">
        <v>0</v>
      </c>
      <c r="Z72" s="58">
        <v>0</v>
      </c>
      <c r="AA72" s="58">
        <v>0</v>
      </c>
      <c r="AB72" s="58">
        <v>0</v>
      </c>
      <c r="AC72" s="58">
        <v>0</v>
      </c>
      <c r="AD72" s="58">
        <v>0</v>
      </c>
      <c r="AE72" s="58">
        <v>0</v>
      </c>
      <c r="AF72" s="58">
        <v>0</v>
      </c>
      <c r="AG72" s="58">
        <v>0</v>
      </c>
      <c r="AH72" s="58">
        <v>0</v>
      </c>
      <c r="AI72" s="58">
        <v>0</v>
      </c>
      <c r="AJ72" s="58">
        <v>0</v>
      </c>
      <c r="AK72" s="58">
        <v>0</v>
      </c>
      <c r="AL72" s="58">
        <v>0</v>
      </c>
      <c r="AM72" s="58">
        <v>0</v>
      </c>
      <c r="AN72" s="58">
        <v>0</v>
      </c>
      <c r="AO72" s="58">
        <v>0</v>
      </c>
      <c r="AP72" s="58">
        <v>0</v>
      </c>
      <c r="AQ72" s="58">
        <v>0</v>
      </c>
      <c r="AR72" s="58">
        <v>0</v>
      </c>
      <c r="AS72" s="58">
        <v>0</v>
      </c>
      <c r="AT72" s="58">
        <v>0</v>
      </c>
      <c r="AU72" s="58">
        <v>0</v>
      </c>
      <c r="AV72" s="58">
        <v>0</v>
      </c>
      <c r="AW72" s="58">
        <v>0</v>
      </c>
      <c r="AX72" s="58">
        <v>0</v>
      </c>
      <c r="AY72" s="58">
        <v>0</v>
      </c>
      <c r="AZ72" s="58">
        <v>0</v>
      </c>
      <c r="BA72" s="58">
        <v>0</v>
      </c>
      <c r="BB72" s="58">
        <v>0</v>
      </c>
      <c r="BC72" s="58">
        <v>0</v>
      </c>
      <c r="BD72" s="58">
        <v>0</v>
      </c>
      <c r="BE72" s="58">
        <v>0</v>
      </c>
      <c r="BF72" s="58">
        <v>0</v>
      </c>
      <c r="BG72" s="58">
        <v>0</v>
      </c>
      <c r="BH72" s="58">
        <v>0</v>
      </c>
      <c r="BI72" s="58">
        <v>0</v>
      </c>
      <c r="BJ72" s="58">
        <v>0</v>
      </c>
      <c r="BK72" s="58">
        <v>0</v>
      </c>
      <c r="BL72" s="52">
        <v>0</v>
      </c>
      <c r="BM72" s="52">
        <v>0</v>
      </c>
      <c r="BN72" s="52">
        <v>0</v>
      </c>
      <c r="BO72" s="52">
        <v>0</v>
      </c>
      <c r="BP72" s="52">
        <v>0</v>
      </c>
      <c r="BQ72" s="225">
        <v>0</v>
      </c>
      <c r="BR72" s="71">
        <v>0</v>
      </c>
      <c r="BS72" s="71">
        <v>0</v>
      </c>
      <c r="BT72" s="71">
        <v>0</v>
      </c>
      <c r="BU72" s="71">
        <v>0</v>
      </c>
      <c r="BV72" s="223"/>
      <c r="BW72" s="58">
        <v>0</v>
      </c>
      <c r="BX72" s="58">
        <v>0</v>
      </c>
      <c r="BY72" s="58">
        <v>0</v>
      </c>
      <c r="BZ72" s="58">
        <v>0</v>
      </c>
      <c r="CA72" s="58">
        <v>0</v>
      </c>
      <c r="CB72" s="58">
        <v>0</v>
      </c>
      <c r="CC72" s="58">
        <v>0</v>
      </c>
      <c r="CD72" s="58">
        <v>0</v>
      </c>
      <c r="CE72" s="58">
        <v>0</v>
      </c>
      <c r="CF72" s="58">
        <v>0</v>
      </c>
      <c r="CG72" s="58">
        <v>0</v>
      </c>
      <c r="CH72" s="58">
        <v>0</v>
      </c>
      <c r="CI72" s="58">
        <v>0</v>
      </c>
      <c r="CJ72" s="58">
        <v>0</v>
      </c>
      <c r="CK72" s="58">
        <v>0</v>
      </c>
      <c r="CL72" s="58">
        <v>0</v>
      </c>
      <c r="CM72" s="58">
        <v>0</v>
      </c>
      <c r="CN72" s="58">
        <v>0</v>
      </c>
      <c r="CO72" s="206"/>
    </row>
    <row r="73" spans="1:94" outlineLevel="1" x14ac:dyDescent="0.35">
      <c r="B73" s="10" t="str">
        <f>IF(Control!$D$5=1,"Others","Outros")</f>
        <v>Outros</v>
      </c>
      <c r="C73" s="123">
        <v>0</v>
      </c>
      <c r="D73" s="123">
        <v>0</v>
      </c>
      <c r="E73" s="44">
        <v>0</v>
      </c>
      <c r="F73" s="44">
        <v>0</v>
      </c>
      <c r="G73" s="51">
        <v>0</v>
      </c>
      <c r="H73" s="51">
        <v>5.0110000000000001</v>
      </c>
      <c r="I73" s="44">
        <v>-5.0110000000000001</v>
      </c>
      <c r="J73" s="44">
        <v>0</v>
      </c>
      <c r="K73" s="51">
        <v>0</v>
      </c>
      <c r="L73" s="51">
        <v>0</v>
      </c>
      <c r="M73" s="44">
        <v>0</v>
      </c>
      <c r="N73" s="44">
        <v>0</v>
      </c>
      <c r="O73" s="51">
        <v>0</v>
      </c>
      <c r="P73" s="51">
        <v>0</v>
      </c>
      <c r="Q73" s="44">
        <v>0</v>
      </c>
      <c r="R73" s="44">
        <v>-120.256</v>
      </c>
      <c r="S73" s="44">
        <v>120.256</v>
      </c>
      <c r="T73" s="51">
        <v>0</v>
      </c>
      <c r="U73" s="44">
        <v>0</v>
      </c>
      <c r="V73" s="44">
        <v>0</v>
      </c>
      <c r="W73" s="44">
        <v>0</v>
      </c>
      <c r="X73" s="51">
        <v>0</v>
      </c>
      <c r="Y73" s="44">
        <v>0</v>
      </c>
      <c r="Z73" s="44">
        <v>0</v>
      </c>
      <c r="AA73" s="44">
        <v>0</v>
      </c>
      <c r="AB73" s="51">
        <v>0</v>
      </c>
      <c r="AC73" s="44">
        <v>0</v>
      </c>
      <c r="AD73" s="44">
        <v>0</v>
      </c>
      <c r="AE73" s="44">
        <v>0</v>
      </c>
      <c r="AF73" s="44">
        <v>0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0</v>
      </c>
      <c r="AM73" s="44">
        <v>0</v>
      </c>
      <c r="AN73" s="44">
        <v>0</v>
      </c>
      <c r="AO73" s="44">
        <v>0</v>
      </c>
      <c r="AP73" s="44">
        <v>0</v>
      </c>
      <c r="AQ73" s="44">
        <v>0</v>
      </c>
      <c r="AR73" s="44">
        <v>0</v>
      </c>
      <c r="AS73" s="44">
        <v>2.7</v>
      </c>
      <c r="AT73" s="44">
        <v>2.7</v>
      </c>
      <c r="AU73" s="44"/>
      <c r="AV73" s="44">
        <f>0.3-8.6</f>
        <v>-8.2999999999999989</v>
      </c>
      <c r="AW73" s="44">
        <v>0</v>
      </c>
      <c r="AX73" s="44">
        <v>0</v>
      </c>
      <c r="AY73" s="44">
        <v>0</v>
      </c>
      <c r="AZ73" s="44">
        <v>0</v>
      </c>
      <c r="BA73" s="44">
        <v>0</v>
      </c>
      <c r="BB73" s="44">
        <v>0</v>
      </c>
      <c r="BC73" s="44">
        <v>0</v>
      </c>
      <c r="BD73" s="44">
        <v>0</v>
      </c>
      <c r="BE73" s="44">
        <v>0</v>
      </c>
      <c r="BF73" s="44">
        <v>0</v>
      </c>
      <c r="BG73" s="44">
        <v>0</v>
      </c>
      <c r="BH73" s="44">
        <v>0</v>
      </c>
      <c r="BI73" s="44">
        <v>0</v>
      </c>
      <c r="BJ73" s="44">
        <v>0</v>
      </c>
      <c r="BK73" s="44">
        <v>0</v>
      </c>
      <c r="BL73" s="52">
        <v>0</v>
      </c>
      <c r="BM73" s="52">
        <v>0</v>
      </c>
      <c r="BN73" s="52">
        <v>0</v>
      </c>
      <c r="BO73" s="52">
        <v>0</v>
      </c>
      <c r="BP73" s="52">
        <v>0</v>
      </c>
      <c r="BQ73" s="71">
        <v>0</v>
      </c>
      <c r="BR73" s="71">
        <v>0</v>
      </c>
      <c r="BS73" s="71">
        <v>0</v>
      </c>
      <c r="BT73" s="71">
        <v>0</v>
      </c>
      <c r="BU73" s="71">
        <v>0</v>
      </c>
      <c r="BV73" s="223"/>
      <c r="BW73" s="44">
        <v>0</v>
      </c>
      <c r="BX73" s="44">
        <v>0</v>
      </c>
      <c r="BY73" s="44">
        <v>0</v>
      </c>
      <c r="BZ73" s="44">
        <v>0</v>
      </c>
      <c r="CA73" s="44">
        <v>0</v>
      </c>
      <c r="CB73" s="44">
        <v>0</v>
      </c>
      <c r="CC73" s="44">
        <v>0</v>
      </c>
      <c r="CD73" s="44">
        <v>0</v>
      </c>
      <c r="CE73" s="44">
        <v>0</v>
      </c>
      <c r="CF73" s="44">
        <v>0</v>
      </c>
      <c r="CG73" s="44">
        <v>0</v>
      </c>
      <c r="CH73" s="44"/>
      <c r="CI73" s="44">
        <v>0</v>
      </c>
      <c r="CJ73" s="44">
        <v>0</v>
      </c>
      <c r="CK73" s="44">
        <v>0</v>
      </c>
      <c r="CL73" s="58">
        <v>0</v>
      </c>
      <c r="CM73" s="58">
        <v>0</v>
      </c>
      <c r="CN73" s="58">
        <v>0</v>
      </c>
      <c r="CO73" s="206"/>
    </row>
    <row r="74" spans="1:94" s="6" customFormat="1" x14ac:dyDescent="0.35">
      <c r="A74" s="5"/>
      <c r="B74" s="179" t="str">
        <f>IF(Control!$D$5=1,"Financing Cash Flow","Fluxo de Caixa Financiamento")</f>
        <v>Fluxo de Caixa Financiamento</v>
      </c>
      <c r="C74" s="180">
        <f t="shared" ref="C74:CF74" si="19">SUM(C64:C73)</f>
        <v>0</v>
      </c>
      <c r="D74" s="180">
        <f t="shared" si="19"/>
        <v>83.501000000000005</v>
      </c>
      <c r="E74" s="180">
        <f t="shared" si="19"/>
        <v>12.393999999999997</v>
      </c>
      <c r="F74" s="180">
        <f t="shared" si="19"/>
        <v>67.605000000000004</v>
      </c>
      <c r="G74" s="180">
        <f t="shared" si="19"/>
        <v>-90.943000000000012</v>
      </c>
      <c r="H74" s="180">
        <f t="shared" si="19"/>
        <v>-44.004999999999995</v>
      </c>
      <c r="I74" s="180">
        <f t="shared" si="19"/>
        <v>3.8019999999999952</v>
      </c>
      <c r="J74" s="180">
        <f t="shared" si="19"/>
        <v>-3.1969999999999974</v>
      </c>
      <c r="K74" s="180">
        <f t="shared" si="19"/>
        <v>213.59099999999998</v>
      </c>
      <c r="L74" s="180">
        <f t="shared" si="19"/>
        <v>-8.5440000000000005</v>
      </c>
      <c r="M74" s="180">
        <f t="shared" si="19"/>
        <v>120.96</v>
      </c>
      <c r="N74" s="180">
        <f t="shared" si="19"/>
        <v>-104.83799999999999</v>
      </c>
      <c r="O74" s="180">
        <f t="shared" si="19"/>
        <v>-17.769000000000002</v>
      </c>
      <c r="P74" s="180">
        <f t="shared" si="19"/>
        <v>93.745000000000005</v>
      </c>
      <c r="Q74" s="180">
        <f t="shared" si="19"/>
        <v>142.69999999999999</v>
      </c>
      <c r="R74" s="180">
        <f t="shared" si="19"/>
        <v>219.61099999999996</v>
      </c>
      <c r="S74" s="180">
        <f t="shared" si="19"/>
        <v>17.92300000000003</v>
      </c>
      <c r="T74" s="180">
        <f t="shared" si="19"/>
        <v>69.977000000000004</v>
      </c>
      <c r="U74" s="180">
        <f t="shared" si="19"/>
        <v>74.62</v>
      </c>
      <c r="V74" s="180">
        <f t="shared" si="19"/>
        <v>97.597999999999985</v>
      </c>
      <c r="W74" s="180">
        <f t="shared" si="19"/>
        <v>-23.773</v>
      </c>
      <c r="X74" s="180">
        <f t="shared" si="19"/>
        <v>15.131</v>
      </c>
      <c r="Y74" s="180">
        <f t="shared" si="19"/>
        <v>157.90300000000002</v>
      </c>
      <c r="Z74" s="180">
        <f t="shared" si="19"/>
        <v>-72.968000000000018</v>
      </c>
      <c r="AA74" s="180">
        <f t="shared" si="19"/>
        <v>10.550000000000011</v>
      </c>
      <c r="AB74" s="180">
        <f t="shared" si="19"/>
        <v>6.2000000000000028</v>
      </c>
      <c r="AC74" s="180">
        <f t="shared" si="19"/>
        <v>158.923</v>
      </c>
      <c r="AD74" s="180">
        <f t="shared" si="19"/>
        <v>19.278999999999996</v>
      </c>
      <c r="AE74" s="180">
        <f t="shared" si="19"/>
        <v>-279.21999999999997</v>
      </c>
      <c r="AF74" s="180">
        <f t="shared" si="19"/>
        <v>15.05</v>
      </c>
      <c r="AG74" s="180">
        <f t="shared" si="19"/>
        <v>155.35</v>
      </c>
      <c r="AH74" s="180">
        <f t="shared" si="19"/>
        <v>-18.599999999999994</v>
      </c>
      <c r="AI74" s="180">
        <f t="shared" si="19"/>
        <v>-66.800000000000011</v>
      </c>
      <c r="AJ74" s="180">
        <f t="shared" si="19"/>
        <v>-115.143</v>
      </c>
      <c r="AK74" s="180">
        <f t="shared" si="19"/>
        <v>308.93100000000004</v>
      </c>
      <c r="AL74" s="180">
        <f t="shared" si="19"/>
        <v>-225.69400000000002</v>
      </c>
      <c r="AM74" s="180">
        <f t="shared" si="19"/>
        <v>144.90600000000001</v>
      </c>
      <c r="AN74" s="180">
        <f t="shared" si="19"/>
        <v>-342.36400000000003</v>
      </c>
      <c r="AO74" s="180">
        <f t="shared" si="19"/>
        <v>241.66399999999999</v>
      </c>
      <c r="AP74" s="180">
        <f t="shared" si="19"/>
        <v>-207.08099999999996</v>
      </c>
      <c r="AQ74" s="180">
        <f t="shared" si="19"/>
        <v>152.98100000000011</v>
      </c>
      <c r="AR74" s="180">
        <f t="shared" si="19"/>
        <v>17.2</v>
      </c>
      <c r="AS74" s="180">
        <f t="shared" si="19"/>
        <v>101.3</v>
      </c>
      <c r="AT74" s="180">
        <f t="shared" si="19"/>
        <v>-107.70000000000005</v>
      </c>
      <c r="AU74" s="180">
        <f t="shared" si="19"/>
        <v>7.6</v>
      </c>
      <c r="AV74" s="180">
        <f t="shared" si="19"/>
        <v>538.70000000000005</v>
      </c>
      <c r="AW74" s="180">
        <f t="shared" si="19"/>
        <v>46.960999999999984</v>
      </c>
      <c r="AX74" s="180">
        <f t="shared" si="19"/>
        <v>-301.04200000000003</v>
      </c>
      <c r="AY74" s="180">
        <f t="shared" si="19"/>
        <v>-486.678</v>
      </c>
      <c r="AZ74" s="180">
        <f t="shared" si="19"/>
        <v>1366.6289999999999</v>
      </c>
      <c r="BA74" s="180">
        <f t="shared" si="19"/>
        <v>-494.78099999999995</v>
      </c>
      <c r="BB74" s="180">
        <f t="shared" si="19"/>
        <v>-107.80000000000001</v>
      </c>
      <c r="BC74" s="180">
        <f t="shared" si="19"/>
        <v>-518.16700000000003</v>
      </c>
      <c r="BD74" s="180">
        <f t="shared" si="19"/>
        <v>402.10599999999994</v>
      </c>
      <c r="BE74" s="180">
        <f t="shared" si="19"/>
        <v>-92.889000000000024</v>
      </c>
      <c r="BF74" s="180">
        <f t="shared" si="19"/>
        <v>978.6869999999999</v>
      </c>
      <c r="BG74" s="180">
        <f t="shared" si="19"/>
        <v>-609.6629999999999</v>
      </c>
      <c r="BH74" s="180">
        <f t="shared" si="19"/>
        <v>218.04999999999998</v>
      </c>
      <c r="BI74" s="180">
        <f t="shared" si="19"/>
        <v>128.88399999999999</v>
      </c>
      <c r="BJ74" s="180">
        <f t="shared" si="19"/>
        <v>-173.535</v>
      </c>
      <c r="BK74" s="180">
        <f>SUM(BK64:BK73)</f>
        <v>220.21800000000002</v>
      </c>
      <c r="BL74" s="180">
        <f t="shared" ref="BL74:BT74" si="20">SUM(BL64:BL73)</f>
        <v>78.20100000000005</v>
      </c>
      <c r="BM74" s="180">
        <f t="shared" si="20"/>
        <v>895.61399999999992</v>
      </c>
      <c r="BN74" s="180">
        <f t="shared" si="20"/>
        <v>-35.215000000000025</v>
      </c>
      <c r="BO74" s="180">
        <f t="shared" si="20"/>
        <v>365.28</v>
      </c>
      <c r="BP74" s="180">
        <f t="shared" si="20"/>
        <v>-343.04500000000007</v>
      </c>
      <c r="BQ74" s="180">
        <f t="shared" si="20"/>
        <v>926.07099999999991</v>
      </c>
      <c r="BR74" s="180">
        <f t="shared" si="20"/>
        <v>-413.51100000000002</v>
      </c>
      <c r="BS74" s="180">
        <f t="shared" si="20"/>
        <v>-734.23200000000008</v>
      </c>
      <c r="BT74" s="180">
        <f t="shared" si="20"/>
        <v>-39.740000000000052</v>
      </c>
      <c r="BU74" s="180">
        <v>116.566</v>
      </c>
      <c r="BV74" s="223"/>
      <c r="BW74" s="180">
        <f t="shared" si="19"/>
        <v>42.042000000000002</v>
      </c>
      <c r="BX74" s="180">
        <f t="shared" si="19"/>
        <v>72.557000000000002</v>
      </c>
      <c r="BY74" s="180">
        <f t="shared" si="19"/>
        <v>170.191</v>
      </c>
      <c r="BZ74" s="180">
        <f t="shared" si="19"/>
        <v>-10.190999999999999</v>
      </c>
      <c r="CA74" s="180">
        <f t="shared" si="19"/>
        <v>473.97900000000004</v>
      </c>
      <c r="CB74" s="180">
        <f t="shared" si="19"/>
        <v>218.422</v>
      </c>
      <c r="CC74" s="180">
        <f t="shared" si="19"/>
        <v>110.616</v>
      </c>
      <c r="CD74" s="180">
        <f t="shared" si="19"/>
        <v>-94.817999999999998</v>
      </c>
      <c r="CE74" s="180">
        <f t="shared" si="19"/>
        <v>85</v>
      </c>
      <c r="CF74" s="180">
        <f t="shared" si="19"/>
        <v>113.00000000000001</v>
      </c>
      <c r="CG74" s="180">
        <f t="shared" ref="CG74:CL74" si="21">SUM(CG64:CG73)</f>
        <v>-154.7180000000001</v>
      </c>
      <c r="CH74" s="180">
        <f t="shared" si="21"/>
        <v>-160.85499999999999</v>
      </c>
      <c r="CI74" s="180">
        <f t="shared" si="21"/>
        <v>-202.06</v>
      </c>
      <c r="CJ74" s="180">
        <f t="shared" si="21"/>
        <v>245.83599999999996</v>
      </c>
      <c r="CK74" s="180">
        <f t="shared" si="21"/>
        <v>678.2059999999999</v>
      </c>
      <c r="CL74" s="180">
        <f t="shared" si="21"/>
        <v>393.61700000000008</v>
      </c>
      <c r="CM74" s="180">
        <f>SUM(CM64:CM73)</f>
        <v>1303.8800000000001</v>
      </c>
      <c r="CN74" s="180">
        <f>SUM(CN64:CN73)</f>
        <v>-564.71700000000021</v>
      </c>
      <c r="CO74" s="206"/>
      <c r="CP74" s="5"/>
    </row>
    <row r="75" spans="1:94" x14ac:dyDescent="0.35">
      <c r="B75" s="10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</row>
    <row r="76" spans="1:94" s="6" customFormat="1" x14ac:dyDescent="0.35">
      <c r="A76" s="5"/>
      <c r="B76" s="10" t="str">
        <f>IF(Control!$D$5=1,"Foreign Exchange Variaton on Cash and Equivalents","Variação cambial sobre Caixa e Equivalentes")</f>
        <v>Variação cambial sobre Caixa e Equivalentes</v>
      </c>
      <c r="C76" s="67">
        <v>0</v>
      </c>
      <c r="D76" s="67">
        <v>-2.8839999999999999</v>
      </c>
      <c r="E76" s="67">
        <v>0.56400000000000006</v>
      </c>
      <c r="F76" s="67">
        <v>40.22</v>
      </c>
      <c r="G76" s="67">
        <v>-42.582000000000001</v>
      </c>
      <c r="H76" s="67">
        <v>-6.9809999999999999</v>
      </c>
      <c r="I76" s="67">
        <v>0.76699999999999946</v>
      </c>
      <c r="J76" s="67">
        <v>6.2140000000000004</v>
      </c>
      <c r="K76" s="67">
        <v>9.77</v>
      </c>
      <c r="L76" s="67">
        <v>-0.20200000000000001</v>
      </c>
      <c r="M76" s="67">
        <v>2.1830000000000003</v>
      </c>
      <c r="N76" s="67">
        <v>1.4379999999999999</v>
      </c>
      <c r="O76" s="67">
        <v>1.9860000000000002</v>
      </c>
      <c r="P76" s="67">
        <v>-2.6150000000000002</v>
      </c>
      <c r="Q76" s="67">
        <v>1.2670000000000001</v>
      </c>
      <c r="R76" s="67">
        <v>2.0640000000000001</v>
      </c>
      <c r="S76" s="67">
        <v>-0.92399999999999993</v>
      </c>
      <c r="T76" s="67">
        <v>4.8540000000000001</v>
      </c>
      <c r="U76" s="67">
        <v>-4.8540000000000001</v>
      </c>
      <c r="V76" s="67">
        <v>6.1840000000000002</v>
      </c>
      <c r="W76" s="67">
        <v>-1.5590000000000002</v>
      </c>
      <c r="X76" s="67">
        <v>6.7759999999999998</v>
      </c>
      <c r="Y76" s="67">
        <v>3.0459999999999994</v>
      </c>
      <c r="Z76" s="67">
        <v>-1.1989999999999998</v>
      </c>
      <c r="AA76" s="67">
        <v>0.94100000000000072</v>
      </c>
      <c r="AB76" s="67">
        <v>-1.5</v>
      </c>
      <c r="AC76" s="67">
        <v>-0.19900000000000007</v>
      </c>
      <c r="AD76" s="67">
        <v>3.6669999999999998</v>
      </c>
      <c r="AE76" s="67">
        <v>1.3319999999999999</v>
      </c>
      <c r="AF76" s="67">
        <v>1.4</v>
      </c>
      <c r="AG76" s="67">
        <v>2.6</v>
      </c>
      <c r="AH76" s="67">
        <v>0.20000000000000018</v>
      </c>
      <c r="AI76" s="67">
        <v>0.70000000000000018</v>
      </c>
      <c r="AJ76" s="67">
        <v>-2.2000000000000002</v>
      </c>
      <c r="AK76" s="67">
        <v>-3.3</v>
      </c>
      <c r="AL76" s="67">
        <v>2.1</v>
      </c>
      <c r="AM76" s="58">
        <v>-1.2000000000000006</v>
      </c>
      <c r="AN76" s="67">
        <v>0.2</v>
      </c>
      <c r="AO76" s="67">
        <v>0.64700000000000002</v>
      </c>
      <c r="AP76" s="67">
        <v>0.52700000000000014</v>
      </c>
      <c r="AQ76" s="58">
        <v>2.5259999999999998</v>
      </c>
      <c r="AR76" s="58">
        <v>4.2</v>
      </c>
      <c r="AS76" s="58">
        <v>13.400000000000002</v>
      </c>
      <c r="AT76" s="58">
        <v>-5.8000000000000007</v>
      </c>
      <c r="AU76" s="58">
        <v>-17.2</v>
      </c>
      <c r="AV76" s="58">
        <v>-19.100000000000001</v>
      </c>
      <c r="AW76" s="58">
        <v>22.968</v>
      </c>
      <c r="AX76" s="58">
        <v>-1.704</v>
      </c>
      <c r="AY76" s="58">
        <v>7.3959999999999999</v>
      </c>
      <c r="AZ76" s="58">
        <v>5.5209999999999999</v>
      </c>
      <c r="BA76" s="58">
        <v>-2.7559999999999998</v>
      </c>
      <c r="BB76" s="58">
        <v>-3.9</v>
      </c>
      <c r="BC76" s="58">
        <v>40.345999999999997</v>
      </c>
      <c r="BD76" s="58">
        <v>-20.922999999999998</v>
      </c>
      <c r="BE76" s="58">
        <v>-26.55</v>
      </c>
      <c r="BF76" s="58">
        <v>9.4009999999999998</v>
      </c>
      <c r="BG76" s="58">
        <v>-16.100000000000001</v>
      </c>
      <c r="BH76" s="58">
        <v>-34.409999999999997</v>
      </c>
      <c r="BI76" s="58">
        <v>4.3</v>
      </c>
      <c r="BJ76" s="58">
        <v>9.609</v>
      </c>
      <c r="BK76" s="58">
        <v>14.066000000000001</v>
      </c>
      <c r="BL76" s="200">
        <v>-7.2</v>
      </c>
      <c r="BM76" s="200">
        <v>-7.0730000000000004</v>
      </c>
      <c r="BN76" s="200">
        <v>30.268000000000001</v>
      </c>
      <c r="BO76" s="200">
        <v>11.905999999999999</v>
      </c>
      <c r="BP76" s="200">
        <v>-23.850999999999999</v>
      </c>
      <c r="BQ76" s="199">
        <v>-25.946000000000002</v>
      </c>
      <c r="BR76" s="199">
        <v>109.85899999999999</v>
      </c>
      <c r="BS76" s="199">
        <v>-9.7719999999999985</v>
      </c>
      <c r="BT76" s="199">
        <v>-5.1550000000000002</v>
      </c>
      <c r="BU76" s="199">
        <v>-14.143000000000001</v>
      </c>
      <c r="BV76" s="223"/>
      <c r="BW76" s="58">
        <v>0</v>
      </c>
      <c r="BX76" s="58">
        <v>-4.6820000000000004</v>
      </c>
      <c r="BY76" s="58">
        <v>9.77</v>
      </c>
      <c r="BZ76" s="58">
        <v>5.4050000000000002</v>
      </c>
      <c r="CA76" s="58">
        <v>-0.20799999999999999</v>
      </c>
      <c r="CB76" s="58">
        <v>4.625</v>
      </c>
      <c r="CC76" s="58">
        <v>9.5640000000000001</v>
      </c>
      <c r="CD76" s="58">
        <v>3.3</v>
      </c>
      <c r="CE76" s="58">
        <v>4.9000000000000004</v>
      </c>
      <c r="CF76" s="58">
        <v>-4.6000000000000005</v>
      </c>
      <c r="CG76" s="58">
        <v>3.9</v>
      </c>
      <c r="CH76" s="58">
        <v>3.157</v>
      </c>
      <c r="CI76" s="52">
        <v>10.241</v>
      </c>
      <c r="CJ76" s="52">
        <v>39.212000000000003</v>
      </c>
      <c r="CK76" s="52">
        <v>-54.244</v>
      </c>
      <c r="CL76" s="58">
        <v>-6.4349999999999969</v>
      </c>
      <c r="CM76" s="58">
        <v>27.901</v>
      </c>
      <c r="CN76" s="58">
        <v>50.29</v>
      </c>
      <c r="CO76" s="206"/>
      <c r="CP76" s="5"/>
    </row>
    <row r="77" spans="1:94" ht="6.75" customHeight="1" x14ac:dyDescent="0.35">
      <c r="B77" s="10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</row>
    <row r="78" spans="1:94" s="6" customFormat="1" x14ac:dyDescent="0.35">
      <c r="A78" s="5"/>
      <c r="B78" s="179" t="str">
        <f>IF(Control!$D$5=1,"Change in Cash and Equivalents","Variação em Disponibilidades")</f>
        <v>Variação em Disponibilidades</v>
      </c>
      <c r="C78" s="180">
        <f t="shared" ref="C78:AH78" si="22">SUM(C76,C74,C62,C48)</f>
        <v>0</v>
      </c>
      <c r="D78" s="180">
        <f t="shared" si="22"/>
        <v>-4.6730000000000302</v>
      </c>
      <c r="E78" s="180">
        <f t="shared" si="22"/>
        <v>7.3869999999999916</v>
      </c>
      <c r="F78" s="180">
        <f t="shared" si="22"/>
        <v>73.186000000000021</v>
      </c>
      <c r="G78" s="180">
        <f t="shared" si="22"/>
        <v>1.7659999999999911</v>
      </c>
      <c r="H78" s="180">
        <f t="shared" si="22"/>
        <v>27.770000000000024</v>
      </c>
      <c r="I78" s="180">
        <f t="shared" si="22"/>
        <v>-38.028000000000006</v>
      </c>
      <c r="J78" s="180">
        <f t="shared" si="22"/>
        <v>55.957999999999998</v>
      </c>
      <c r="K78" s="180">
        <f t="shared" si="22"/>
        <v>147.714</v>
      </c>
      <c r="L78" s="180">
        <f t="shared" si="22"/>
        <v>-18.405999999999977</v>
      </c>
      <c r="M78" s="180">
        <f t="shared" si="22"/>
        <v>45.260999999999981</v>
      </c>
      <c r="N78" s="180">
        <f t="shared" si="22"/>
        <v>-29.628999999999991</v>
      </c>
      <c r="O78" s="180">
        <f t="shared" si="22"/>
        <v>23.595000000000006</v>
      </c>
      <c r="P78" s="180">
        <f t="shared" si="22"/>
        <v>-74.998000000000019</v>
      </c>
      <c r="Q78" s="180">
        <f t="shared" si="22"/>
        <v>123.61300000000003</v>
      </c>
      <c r="R78" s="180">
        <f t="shared" si="22"/>
        <v>109.70599999999993</v>
      </c>
      <c r="S78" s="180">
        <f t="shared" si="22"/>
        <v>-100.52199999999996</v>
      </c>
      <c r="T78" s="180">
        <f t="shared" si="22"/>
        <v>191.779</v>
      </c>
      <c r="U78" s="180">
        <f t="shared" si="22"/>
        <v>-265.44599999999997</v>
      </c>
      <c r="V78" s="180">
        <f t="shared" si="22"/>
        <v>-15.265000000000001</v>
      </c>
      <c r="W78" s="180">
        <f t="shared" si="22"/>
        <v>89.522999999999996</v>
      </c>
      <c r="X78" s="180">
        <f t="shared" si="22"/>
        <v>28.300999999999974</v>
      </c>
      <c r="Y78" s="180">
        <f t="shared" si="22"/>
        <v>17.572999999999993</v>
      </c>
      <c r="Z78" s="180">
        <f t="shared" si="22"/>
        <v>94.895999999999987</v>
      </c>
      <c r="AA78" s="180">
        <f t="shared" si="22"/>
        <v>119.43099999999998</v>
      </c>
      <c r="AB78" s="180">
        <f t="shared" si="22"/>
        <v>-109.49999999999999</v>
      </c>
      <c r="AC78" s="180">
        <f t="shared" si="22"/>
        <v>74.165000000000049</v>
      </c>
      <c r="AD78" s="180">
        <f t="shared" si="22"/>
        <v>1.1739999999999924</v>
      </c>
      <c r="AE78" s="180">
        <f t="shared" si="22"/>
        <v>122.92600000000007</v>
      </c>
      <c r="AF78" s="180">
        <f t="shared" si="22"/>
        <v>131.25999999999988</v>
      </c>
      <c r="AG78" s="180">
        <f t="shared" si="22"/>
        <v>-18.059999999999988</v>
      </c>
      <c r="AH78" s="180">
        <f t="shared" si="22"/>
        <v>-3.4280000000000399</v>
      </c>
      <c r="AI78" s="180">
        <f t="shared" ref="AI78:BJ78" si="23">SUM(AI76,AI74,AI62,AI48)</f>
        <v>245.22799999999995</v>
      </c>
      <c r="AJ78" s="180">
        <f t="shared" si="23"/>
        <v>-115.49000000000012</v>
      </c>
      <c r="AK78" s="180">
        <f t="shared" si="23"/>
        <v>30.027999999999992</v>
      </c>
      <c r="AL78" s="180">
        <f t="shared" si="23"/>
        <v>-58.092999999999961</v>
      </c>
      <c r="AM78" s="180">
        <f t="shared" si="23"/>
        <v>-0.54500000000001592</v>
      </c>
      <c r="AN78" s="180">
        <f t="shared" si="23"/>
        <v>192.7589999999999</v>
      </c>
      <c r="AO78" s="180">
        <f t="shared" si="23"/>
        <v>-40.824000000000069</v>
      </c>
      <c r="AP78" s="180">
        <f t="shared" si="23"/>
        <v>-67.129771316656729</v>
      </c>
      <c r="AQ78" s="180">
        <f t="shared" si="23"/>
        <v>220.99477131665691</v>
      </c>
      <c r="AR78" s="180">
        <f t="shared" si="23"/>
        <v>312.39999999999998</v>
      </c>
      <c r="AS78" s="180">
        <f t="shared" si="23"/>
        <v>-180.39999999999998</v>
      </c>
      <c r="AT78" s="180">
        <f t="shared" si="23"/>
        <v>-124.80000000000004</v>
      </c>
      <c r="AU78" s="180">
        <f t="shared" si="23"/>
        <v>165.3</v>
      </c>
      <c r="AV78" s="180">
        <f t="shared" si="23"/>
        <v>282.80000000000007</v>
      </c>
      <c r="AW78" s="180">
        <f t="shared" si="23"/>
        <v>-79.596000000000018</v>
      </c>
      <c r="AX78" s="180">
        <f t="shared" si="23"/>
        <v>-197.12500000000051</v>
      </c>
      <c r="AY78" s="180">
        <f t="shared" si="23"/>
        <v>235.39600000000007</v>
      </c>
      <c r="AZ78" s="180">
        <f t="shared" si="23"/>
        <v>1162.0229999999999</v>
      </c>
      <c r="BA78" s="180">
        <f t="shared" si="23"/>
        <v>-478.7179999999999</v>
      </c>
      <c r="BB78" s="180">
        <f t="shared" si="23"/>
        <v>-55.53000000000003</v>
      </c>
      <c r="BC78" s="180">
        <f t="shared" si="23"/>
        <v>-83.560000000000059</v>
      </c>
      <c r="BD78" s="180">
        <f t="shared" si="23"/>
        <v>368.33399999999995</v>
      </c>
      <c r="BE78" s="180">
        <f t="shared" si="23"/>
        <v>-117.64099999999991</v>
      </c>
      <c r="BF78" s="180">
        <f t="shared" si="23"/>
        <v>534.66860601999974</v>
      </c>
      <c r="BG78" s="180">
        <f t="shared" si="23"/>
        <v>-270.82113468</v>
      </c>
      <c r="BH78" s="180">
        <f t="shared" si="23"/>
        <v>-288.84232978634702</v>
      </c>
      <c r="BI78" s="180">
        <f t="shared" si="23"/>
        <v>130.595</v>
      </c>
      <c r="BJ78" s="180">
        <f t="shared" si="23"/>
        <v>-663.02172754999992</v>
      </c>
      <c r="BK78" s="180">
        <f>SUM(BK76,BK74,BK62,BK48)</f>
        <v>450.56300000000005</v>
      </c>
      <c r="BL78" s="180">
        <f t="shared" ref="BL78:BT78" si="24">SUM(BL76,BL74,BL62,BL48)</f>
        <v>-318.73399999999998</v>
      </c>
      <c r="BM78" s="180">
        <f t="shared" si="24"/>
        <v>1156.0159999999998</v>
      </c>
      <c r="BN78" s="180">
        <f t="shared" si="24"/>
        <v>-577.21400000000017</v>
      </c>
      <c r="BO78" s="180">
        <f t="shared" si="24"/>
        <v>1314.5740000000001</v>
      </c>
      <c r="BP78" s="180">
        <f t="shared" si="24"/>
        <v>-772.78699999999981</v>
      </c>
      <c r="BQ78" s="180">
        <f t="shared" si="24"/>
        <v>621.0179999999998</v>
      </c>
      <c r="BR78" s="180">
        <f t="shared" si="24"/>
        <v>-817.30700000000002</v>
      </c>
      <c r="BS78" s="180">
        <f t="shared" si="24"/>
        <v>699.02499999999998</v>
      </c>
      <c r="BT78" s="180">
        <f t="shared" si="24"/>
        <v>-905.8660000000001</v>
      </c>
      <c r="BU78" s="180">
        <v>282.85799999999995</v>
      </c>
      <c r="BV78" s="223"/>
      <c r="BW78" s="180">
        <f t="shared" ref="BW78:CK78" si="25">SUM(BW76,BW74,BW62,BW48)</f>
        <v>-6.0930000000000177</v>
      </c>
      <c r="BX78" s="180">
        <f t="shared" si="25"/>
        <v>53.696000000000033</v>
      </c>
      <c r="BY78" s="180">
        <f t="shared" si="25"/>
        <v>156.47700000000003</v>
      </c>
      <c r="BZ78" s="180">
        <f t="shared" si="25"/>
        <v>-31.881</v>
      </c>
      <c r="CA78" s="180">
        <f t="shared" si="25"/>
        <v>-24.589999999999975</v>
      </c>
      <c r="CB78" s="180">
        <f t="shared" si="25"/>
        <v>-75.633000000000067</v>
      </c>
      <c r="CC78" s="180">
        <f t="shared" si="25"/>
        <v>169.73800000000003</v>
      </c>
      <c r="CD78" s="180">
        <f t="shared" si="25"/>
        <v>-17.936000000000035</v>
      </c>
      <c r="CE78" s="180">
        <f t="shared" si="25"/>
        <v>197.39999999999995</v>
      </c>
      <c r="CF78" s="180">
        <f t="shared" si="25"/>
        <v>-301.69999999999993</v>
      </c>
      <c r="CG78" s="180">
        <f t="shared" si="25"/>
        <v>136.88199999999983</v>
      </c>
      <c r="CH78" s="180">
        <f t="shared" si="25"/>
        <v>88.669999999999959</v>
      </c>
      <c r="CI78" s="180">
        <f t="shared" si="25"/>
        <v>172.50599999999991</v>
      </c>
      <c r="CJ78" s="180">
        <f t="shared" si="25"/>
        <v>544.13099999999997</v>
      </c>
      <c r="CK78" s="180">
        <f t="shared" si="25"/>
        <v>514.37599999999975</v>
      </c>
      <c r="CL78" s="180">
        <f>SUM(CL76,CL74,CL62,CL48)</f>
        <v>-370.79424858728288</v>
      </c>
      <c r="CM78" s="180">
        <f>SUM(CM76,CM74,CM62,CM48)</f>
        <v>1574.6420000000003</v>
      </c>
      <c r="CN78" s="180">
        <f>SUM(CN76,CN74,CN62,CN48)</f>
        <v>-270.05100000000039</v>
      </c>
      <c r="CO78" s="206"/>
      <c r="CP78" s="5"/>
    </row>
    <row r="79" spans="1:94" x14ac:dyDescent="0.35">
      <c r="B79" s="10" t="str">
        <f>IF(Control!$D$5=1,"Beginning Cash and Equivalents","Disponibilidades Início Período")</f>
        <v>Disponibilidades Início Período</v>
      </c>
      <c r="C79" s="67">
        <v>0</v>
      </c>
      <c r="D79" s="67">
        <v>14.096</v>
      </c>
      <c r="E79" s="67">
        <v>9.3879999999999999</v>
      </c>
      <c r="F79" s="67">
        <v>16.831</v>
      </c>
      <c r="G79" s="67">
        <v>58.8</v>
      </c>
      <c r="H79" s="67">
        <v>67.762</v>
      </c>
      <c r="I79" s="67">
        <v>87.691999999999993</v>
      </c>
      <c r="J79" s="67">
        <v>57.484000000000002</v>
      </c>
      <c r="K79" s="67">
        <v>91.6</v>
      </c>
      <c r="L79" s="67">
        <v>224.26300000000001</v>
      </c>
      <c r="M79" s="67">
        <v>196.58699999999999</v>
      </c>
      <c r="N79" s="67">
        <v>222.46600000000001</v>
      </c>
      <c r="O79" s="67">
        <v>218.60599999999999</v>
      </c>
      <c r="P79" s="67">
        <v>192.34100000000001</v>
      </c>
      <c r="Q79" s="67">
        <v>117.343</v>
      </c>
      <c r="R79" s="67">
        <v>204.405</v>
      </c>
      <c r="S79" s="67">
        <v>295.73599999999999</v>
      </c>
      <c r="T79" s="67">
        <v>167.751</v>
      </c>
      <c r="U79" s="67">
        <v>351.66</v>
      </c>
      <c r="V79" s="67">
        <v>65.715000000000003</v>
      </c>
      <c r="W79" s="67">
        <v>50.45</v>
      </c>
      <c r="X79" s="67">
        <v>92.1</v>
      </c>
      <c r="Y79" s="67">
        <v>102.3</v>
      </c>
      <c r="Z79" s="67">
        <v>95.361000000000004</v>
      </c>
      <c r="AA79" s="67">
        <v>170.78399999999999</v>
      </c>
      <c r="AB79" s="67">
        <v>261.89999999999998</v>
      </c>
      <c r="AC79" s="67">
        <v>129.5</v>
      </c>
      <c r="AD79" s="67">
        <v>176.262</v>
      </c>
      <c r="AE79" s="67">
        <v>140.39099999999999</v>
      </c>
      <c r="AF79" s="67">
        <v>243.97800000000001</v>
      </c>
      <c r="AG79" s="67">
        <v>337.10999999999996</v>
      </c>
      <c r="AH79" s="67">
        <v>293.3</v>
      </c>
      <c r="AI79" s="67">
        <v>228</v>
      </c>
      <c r="AJ79" s="67">
        <v>441.37700000000001</v>
      </c>
      <c r="AK79" s="67">
        <v>281.07199999999995</v>
      </c>
      <c r="AL79" s="67">
        <v>266.95600000000002</v>
      </c>
      <c r="AM79" s="58">
        <v>158.297</v>
      </c>
      <c r="AN79" s="67">
        <v>139.69800000000001</v>
      </c>
      <c r="AO79" s="67">
        <v>268.59999999999997</v>
      </c>
      <c r="AP79" s="67">
        <v>202.18700000000001</v>
      </c>
      <c r="AQ79" s="58">
        <v>187.43299999999999</v>
      </c>
      <c r="AR79" s="58">
        <v>276.5</v>
      </c>
      <c r="AS79" s="58">
        <v>572.29999999999995</v>
      </c>
      <c r="AT79" s="58">
        <v>369.1</v>
      </c>
      <c r="AU79" s="58">
        <v>222.6</v>
      </c>
      <c r="AV79" s="58">
        <v>365.3</v>
      </c>
      <c r="AW79" s="58">
        <v>630.70000000000005</v>
      </c>
      <c r="AX79" s="58">
        <v>529.6</v>
      </c>
      <c r="AY79" s="58">
        <v>302.36799999999999</v>
      </c>
      <c r="AZ79" s="58">
        <v>537.76400000000001</v>
      </c>
      <c r="BA79" s="58">
        <v>1699.778</v>
      </c>
      <c r="BB79" s="58">
        <v>1221</v>
      </c>
      <c r="BC79" s="58">
        <v>1165.4829999999999</v>
      </c>
      <c r="BD79" s="58">
        <v>1081.9549999999999</v>
      </c>
      <c r="BE79" s="58">
        <v>1450.2089999999998</v>
      </c>
      <c r="BF79" s="58">
        <f>BE80</f>
        <v>1332.568</v>
      </c>
      <c r="BG79" s="58">
        <v>1867.18860602</v>
      </c>
      <c r="BH79" s="58">
        <f t="shared" ref="BH79:BU79" si="26">BG80</f>
        <v>1596.3674713400001</v>
      </c>
      <c r="BI79" s="58">
        <f t="shared" si="26"/>
        <v>1307.5251415536532</v>
      </c>
      <c r="BJ79" s="58">
        <f t="shared" si="26"/>
        <v>1438.1201415536532</v>
      </c>
      <c r="BK79" s="58">
        <f t="shared" si="26"/>
        <v>775.09841400365326</v>
      </c>
      <c r="BL79" s="58">
        <f t="shared" si="26"/>
        <v>1225.6614140036534</v>
      </c>
      <c r="BM79" s="58">
        <f t="shared" si="26"/>
        <v>907</v>
      </c>
      <c r="BN79" s="58">
        <f t="shared" si="26"/>
        <v>2063.0159999999996</v>
      </c>
      <c r="BO79" s="58">
        <f t="shared" si="26"/>
        <v>1485.8019999999995</v>
      </c>
      <c r="BP79" s="58">
        <f t="shared" si="26"/>
        <v>2800.3759999999993</v>
      </c>
      <c r="BQ79" s="71">
        <f t="shared" si="26"/>
        <v>2027.37</v>
      </c>
      <c r="BR79" s="71">
        <f t="shared" si="26"/>
        <v>2648.3879999999999</v>
      </c>
      <c r="BS79" s="71">
        <f t="shared" si="26"/>
        <v>1831.0809999999999</v>
      </c>
      <c r="BT79" s="71">
        <f t="shared" si="26"/>
        <v>2530.1999999999998</v>
      </c>
      <c r="BU79" s="71">
        <f t="shared" si="26"/>
        <v>1624.3339999999998</v>
      </c>
      <c r="BV79" s="223"/>
      <c r="BW79" s="58">
        <v>13.196</v>
      </c>
      <c r="BX79" s="58">
        <v>14.096</v>
      </c>
      <c r="BY79" s="58">
        <v>67.762</v>
      </c>
      <c r="BZ79" s="58">
        <v>224.26300000000001</v>
      </c>
      <c r="CA79" s="58">
        <v>192.34099999999998</v>
      </c>
      <c r="CB79" s="58">
        <v>167.751</v>
      </c>
      <c r="CC79" s="58">
        <v>92.118000000000009</v>
      </c>
      <c r="CD79" s="58">
        <v>261.85599999999999</v>
      </c>
      <c r="CE79" s="58">
        <v>243.97799999999998</v>
      </c>
      <c r="CF79" s="58">
        <v>441.4</v>
      </c>
      <c r="CG79" s="58">
        <v>139.69999999999999</v>
      </c>
      <c r="CH79" s="58">
        <v>276.5</v>
      </c>
      <c r="CI79" s="58">
        <v>365.30200000000002</v>
      </c>
      <c r="CJ79" s="58">
        <v>537.76400000000001</v>
      </c>
      <c r="CK79" s="58">
        <v>1081.9549999999999</v>
      </c>
      <c r="CL79" s="58">
        <f>CK80</f>
        <v>1596.3473319999996</v>
      </c>
      <c r="CM79" s="58">
        <f>CL80</f>
        <v>1225.5530834127167</v>
      </c>
      <c r="CN79" s="58">
        <f>CM80</f>
        <v>2800.1950834127169</v>
      </c>
    </row>
    <row r="80" spans="1:94" x14ac:dyDescent="0.35">
      <c r="B80" s="10" t="str">
        <f>IF(Control!$D$5=1,"Ending Cash and Equivalents","Disponibilidades Final Período")</f>
        <v>Disponibilidades Final Período</v>
      </c>
      <c r="C80" s="67">
        <v>0</v>
      </c>
      <c r="D80" s="67">
        <v>9.3879999999999999</v>
      </c>
      <c r="E80" s="67">
        <v>16.831</v>
      </c>
      <c r="F80" s="67">
        <v>58.8</v>
      </c>
      <c r="G80" s="67">
        <v>67.762</v>
      </c>
      <c r="H80" s="67">
        <v>87.691999999999993</v>
      </c>
      <c r="I80" s="67">
        <v>57.484000000000002</v>
      </c>
      <c r="J80" s="67">
        <v>91.6</v>
      </c>
      <c r="K80" s="67">
        <v>224.26300000000001</v>
      </c>
      <c r="L80" s="67">
        <v>196.58699999999999</v>
      </c>
      <c r="M80" s="67">
        <v>222.46600000000001</v>
      </c>
      <c r="N80" s="67">
        <v>218.60599999999999</v>
      </c>
      <c r="O80" s="67">
        <v>192.38199999999998</v>
      </c>
      <c r="P80" s="67">
        <v>117.343</v>
      </c>
      <c r="Q80" s="67">
        <v>204.405</v>
      </c>
      <c r="R80" s="67">
        <v>295.73599999999999</v>
      </c>
      <c r="S80" s="67">
        <v>167.751</v>
      </c>
      <c r="T80" s="67">
        <v>351.66</v>
      </c>
      <c r="U80" s="67">
        <v>65.715000000000003</v>
      </c>
      <c r="V80" s="67">
        <v>50.45</v>
      </c>
      <c r="W80" s="67">
        <v>92.117999999999967</v>
      </c>
      <c r="X80" s="67">
        <v>102.3</v>
      </c>
      <c r="Y80" s="67">
        <v>95.361000000000004</v>
      </c>
      <c r="Z80" s="67">
        <v>170.78399999999999</v>
      </c>
      <c r="AA80" s="67">
        <v>261.85599999999999</v>
      </c>
      <c r="AB80" s="67">
        <v>129.5</v>
      </c>
      <c r="AC80" s="67">
        <v>176.262</v>
      </c>
      <c r="AD80" s="67">
        <v>140.39099999999999</v>
      </c>
      <c r="AE80" s="67">
        <v>243.92000000000002</v>
      </c>
      <c r="AF80" s="67">
        <v>337.10999999999996</v>
      </c>
      <c r="AG80" s="67">
        <v>293.3</v>
      </c>
      <c r="AH80" s="67">
        <v>228</v>
      </c>
      <c r="AI80" s="67">
        <v>441.4</v>
      </c>
      <c r="AJ80" s="67">
        <v>281.07199999999995</v>
      </c>
      <c r="AK80" s="67">
        <v>266.95600000000002</v>
      </c>
      <c r="AL80" s="67">
        <v>158.297</v>
      </c>
      <c r="AM80" s="58">
        <v>139.69999999999999</v>
      </c>
      <c r="AN80" s="67">
        <v>268.59999999999997</v>
      </c>
      <c r="AO80" s="67">
        <v>202.18700000000001</v>
      </c>
      <c r="AP80" s="67">
        <v>187.43299999999999</v>
      </c>
      <c r="AQ80" s="58">
        <v>276.5</v>
      </c>
      <c r="AR80" s="58">
        <v>572.29999999999995</v>
      </c>
      <c r="AS80" s="58">
        <v>369.1</v>
      </c>
      <c r="AT80" s="58">
        <v>222.6</v>
      </c>
      <c r="AU80" s="58">
        <v>365.3</v>
      </c>
      <c r="AV80" s="58">
        <v>630.70000000000005</v>
      </c>
      <c r="AW80" s="58">
        <v>529.64600000000007</v>
      </c>
      <c r="AX80" s="58">
        <v>302.36799999999999</v>
      </c>
      <c r="AY80" s="58">
        <v>537.76400000000001</v>
      </c>
      <c r="AZ80" s="58">
        <v>1699.778</v>
      </c>
      <c r="BA80" s="58">
        <v>1221</v>
      </c>
      <c r="BB80" s="58">
        <v>1165.47</v>
      </c>
      <c r="BC80" s="58">
        <v>1081.9549999999999</v>
      </c>
      <c r="BD80" s="58">
        <f t="shared" ref="BD80:BK80" si="27">BD79+BD78</f>
        <v>1450.2889999999998</v>
      </c>
      <c r="BE80" s="58">
        <f t="shared" si="27"/>
        <v>1332.568</v>
      </c>
      <c r="BF80" s="58">
        <f t="shared" si="27"/>
        <v>1867.2366060199997</v>
      </c>
      <c r="BG80" s="58">
        <f t="shared" si="27"/>
        <v>1596.3674713400001</v>
      </c>
      <c r="BH80" s="58">
        <f t="shared" si="27"/>
        <v>1307.5251415536532</v>
      </c>
      <c r="BI80" s="58">
        <f t="shared" si="27"/>
        <v>1438.1201415536532</v>
      </c>
      <c r="BJ80" s="58">
        <f t="shared" si="27"/>
        <v>775.09841400365326</v>
      </c>
      <c r="BK80" s="58">
        <f t="shared" si="27"/>
        <v>1225.6614140036534</v>
      </c>
      <c r="BL80" s="58">
        <v>907</v>
      </c>
      <c r="BM80" s="58">
        <f t="shared" ref="BM80:BR80" si="28">BM79+BM78</f>
        <v>2063.0159999999996</v>
      </c>
      <c r="BN80" s="58">
        <f t="shared" si="28"/>
        <v>1485.8019999999995</v>
      </c>
      <c r="BO80" s="58">
        <f t="shared" si="28"/>
        <v>2800.3759999999993</v>
      </c>
      <c r="BP80" s="58">
        <v>2027.37</v>
      </c>
      <c r="BQ80" s="71">
        <f t="shared" si="28"/>
        <v>2648.3879999999999</v>
      </c>
      <c r="BR80" s="71">
        <f t="shared" si="28"/>
        <v>1831.0809999999999</v>
      </c>
      <c r="BS80" s="71">
        <v>2530.1999999999998</v>
      </c>
      <c r="BT80" s="71">
        <f t="shared" ref="BT80:BU80" si="29">BT79+BT78</f>
        <v>1624.3339999999998</v>
      </c>
      <c r="BU80" s="71">
        <f t="shared" si="29"/>
        <v>1907.1919999999998</v>
      </c>
      <c r="BV80" s="223"/>
      <c r="BW80" s="58">
        <v>14.096</v>
      </c>
      <c r="BX80" s="58">
        <v>67.762</v>
      </c>
      <c r="BY80" s="58">
        <v>224.26300000000001</v>
      </c>
      <c r="BZ80" s="58">
        <v>192.38199999999998</v>
      </c>
      <c r="CA80" s="58">
        <v>167.751</v>
      </c>
      <c r="CB80" s="58">
        <v>92.117999999999967</v>
      </c>
      <c r="CC80" s="58">
        <v>261.85599999999999</v>
      </c>
      <c r="CD80" s="58">
        <v>243.92000000000002</v>
      </c>
      <c r="CE80" s="58">
        <v>441.4</v>
      </c>
      <c r="CF80" s="58">
        <v>139.69999999999999</v>
      </c>
      <c r="CG80" s="58">
        <v>276.5</v>
      </c>
      <c r="CH80" s="58">
        <v>365.3</v>
      </c>
      <c r="CI80" s="58">
        <v>537.76400000000001</v>
      </c>
      <c r="CJ80" s="58">
        <v>1081.9549999999999</v>
      </c>
      <c r="CK80" s="58">
        <v>1596.3473319999996</v>
      </c>
      <c r="CL80" s="58">
        <f>CL79+CL78</f>
        <v>1225.5530834127167</v>
      </c>
      <c r="CM80" s="58">
        <f>CM79+CM78</f>
        <v>2800.1950834127169</v>
      </c>
      <c r="CN80" s="58">
        <f>CN79+CN78</f>
        <v>2530.1440834127166</v>
      </c>
    </row>
    <row r="81" spans="2:92" x14ac:dyDescent="0.35">
      <c r="B81" s="10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222"/>
      <c r="BP81" s="222"/>
      <c r="BQ81" s="222"/>
      <c r="BR81" s="222"/>
      <c r="BS81" s="222"/>
      <c r="BT81" s="222"/>
      <c r="BU81" s="222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182"/>
      <c r="CI81" s="182"/>
      <c r="CJ81" s="182"/>
      <c r="CK81" s="182"/>
      <c r="CL81" s="182"/>
      <c r="CM81" s="182"/>
      <c r="CN81" s="182"/>
    </row>
    <row r="82" spans="2:92" x14ac:dyDescent="0.35"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126"/>
      <c r="AZ82" s="126"/>
      <c r="BA82" s="126"/>
      <c r="BB82" s="126"/>
      <c r="BC82" s="126"/>
      <c r="BD82" s="126"/>
      <c r="BE82" s="126"/>
      <c r="BF82" s="126"/>
      <c r="BG82" s="126"/>
      <c r="BH82" s="126"/>
      <c r="BI82" s="126"/>
      <c r="BJ82" s="126"/>
      <c r="BK82" s="126"/>
      <c r="BL82" s="126"/>
      <c r="BM82" s="126"/>
      <c r="BN82" s="126"/>
      <c r="BO82" s="126"/>
      <c r="BP82" s="126"/>
      <c r="BQ82" s="126"/>
      <c r="BR82" s="126"/>
      <c r="BS82" s="126"/>
      <c r="BT82" s="126"/>
      <c r="BU82" s="126"/>
      <c r="BW82" s="126"/>
      <c r="BX82" s="126"/>
      <c r="BY82" s="126"/>
      <c r="BZ82" s="126"/>
      <c r="CA82" s="126"/>
      <c r="CB82" s="126"/>
      <c r="CC82" s="126"/>
      <c r="CD82" s="126"/>
      <c r="CE82" s="126"/>
      <c r="CF82" s="126"/>
      <c r="CG82" s="126"/>
      <c r="CH82" s="126"/>
      <c r="CI82" s="126"/>
      <c r="CJ82" s="126"/>
      <c r="CK82" s="126"/>
      <c r="CL82" s="126"/>
      <c r="CM82" s="126"/>
      <c r="CN82" s="126"/>
    </row>
  </sheetData>
  <phoneticPr fontId="9" type="noConversion"/>
  <pageMargins left="0.51" right="0.51" top="0.79" bottom="0.79" header="0.31" footer="0.31"/>
  <pageSetup paperSize="9" scale="16" orientation="portrait" r:id="rId1"/>
  <ignoredErrors>
    <ignoredError sqref="C31:C34 CL29:CL31 CL38:CL39 CL48:CL49 CL63 CL74:CL75 C45:C47 C37:C42" formulaRange="1"/>
    <ignoredError sqref="BK74 BO6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  <pageSetUpPr fitToPage="1"/>
  </sheetPr>
  <dimension ref="A1:CN84"/>
  <sheetViews>
    <sheetView showGridLines="0" zoomScale="85" zoomScaleNormal="85" workbookViewId="0">
      <pane xSplit="2" ySplit="7" topLeftCell="BM8" activePane="bottomRight" state="frozen"/>
      <selection activeCell="AI67" sqref="AI67"/>
      <selection pane="topRight" activeCell="AI67" sqref="AI67"/>
      <selection pane="bottomLeft" activeCell="AI67" sqref="AI67"/>
      <selection pane="bottomRight" activeCell="BU53" sqref="BU53"/>
    </sheetView>
  </sheetViews>
  <sheetFormatPr defaultColWidth="11.7265625" defaultRowHeight="14.5" x14ac:dyDescent="0.35"/>
  <cols>
    <col min="1" max="1" width="5.26953125" style="5" customWidth="1"/>
    <col min="2" max="2" width="34.81640625" style="5" customWidth="1"/>
    <col min="3" max="23" width="11.81640625" style="10" customWidth="1"/>
    <col min="24" max="24" width="11.81640625" style="59" customWidth="1"/>
    <col min="25" max="27" width="11.81640625" style="10" customWidth="1"/>
    <col min="28" max="28" width="11.81640625" style="59" customWidth="1"/>
    <col min="29" max="31" width="11.81640625" style="10" customWidth="1"/>
    <col min="32" max="32" width="11.81640625" style="59" customWidth="1"/>
    <col min="33" max="35" width="11.81640625" style="10" customWidth="1"/>
    <col min="36" max="36" width="11.81640625" style="59" customWidth="1"/>
    <col min="37" max="39" width="11.81640625" style="10" customWidth="1"/>
    <col min="40" max="41" width="11.81640625" style="59" customWidth="1"/>
    <col min="42" max="42" width="11.81640625" style="10" customWidth="1"/>
    <col min="43" max="63" width="11.81640625" style="59" customWidth="1"/>
    <col min="64" max="65" width="13.453125" style="59" bestFit="1" customWidth="1"/>
    <col min="66" max="67" width="13.54296875" style="59" bestFit="1" customWidth="1"/>
    <col min="68" max="68" width="13.453125" style="59" bestFit="1" customWidth="1"/>
    <col min="69" max="73" width="13.453125" style="59" customWidth="1"/>
    <col min="74" max="74" width="9.36328125" style="60" bestFit="1" customWidth="1"/>
    <col min="75" max="85" width="11.81640625" style="5" customWidth="1"/>
    <col min="86" max="92" width="11" style="5" customWidth="1"/>
    <col min="93" max="16384" width="11.7265625" style="5"/>
  </cols>
  <sheetData>
    <row r="1" spans="1:92" s="14" customFormat="1" x14ac:dyDescent="0.35"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59"/>
      <c r="Y1" s="10"/>
      <c r="Z1" s="10"/>
      <c r="AA1" s="10"/>
      <c r="AB1" s="59"/>
      <c r="AC1" s="10"/>
      <c r="AD1" s="10"/>
      <c r="AE1" s="10"/>
      <c r="AF1" s="59"/>
      <c r="AG1" s="10"/>
      <c r="AH1" s="10"/>
      <c r="AI1" s="10"/>
      <c r="AJ1" s="59"/>
      <c r="AK1" s="10"/>
      <c r="AL1" s="10"/>
      <c r="AM1" s="10"/>
      <c r="AN1" s="59"/>
      <c r="AO1" s="59"/>
      <c r="AP1" s="10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</row>
    <row r="2" spans="1:92" s="14" customFormat="1" ht="18.5" x14ac:dyDescent="0.45">
      <c r="B2" s="15" t="str">
        <f>IF(Control!$D$5=1,"Support","Suporte")</f>
        <v>Suporte</v>
      </c>
      <c r="C2" s="31"/>
      <c r="D2" s="31"/>
      <c r="E2" s="134"/>
      <c r="F2" s="134"/>
      <c r="G2" s="134"/>
      <c r="H2" s="31"/>
      <c r="I2" s="134"/>
      <c r="J2" s="134"/>
      <c r="K2" s="134"/>
      <c r="L2" s="31"/>
      <c r="M2" s="134"/>
      <c r="N2" s="134"/>
      <c r="O2" s="134"/>
      <c r="P2" s="31"/>
      <c r="Q2" s="134"/>
      <c r="R2" s="134"/>
      <c r="S2" s="134"/>
      <c r="T2" s="31"/>
      <c r="U2" s="134"/>
      <c r="V2" s="134"/>
      <c r="W2" s="134"/>
      <c r="X2" s="120"/>
      <c r="Y2" s="134"/>
      <c r="Z2" s="134"/>
      <c r="AA2" s="134"/>
      <c r="AB2" s="120"/>
      <c r="AC2" s="134"/>
      <c r="AD2" s="134"/>
      <c r="AE2" s="134"/>
      <c r="AF2" s="120"/>
      <c r="AG2" s="134"/>
      <c r="AH2" s="134"/>
      <c r="AI2" s="134"/>
      <c r="AJ2" s="120"/>
      <c r="AK2" s="134"/>
      <c r="AL2" s="134"/>
      <c r="AM2" s="134"/>
      <c r="AN2" s="120"/>
      <c r="AO2" s="120"/>
      <c r="AP2" s="134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54"/>
      <c r="BI2" s="54"/>
      <c r="BJ2" s="54"/>
      <c r="BK2" s="54"/>
      <c r="BL2" s="54"/>
      <c r="BM2" s="54"/>
      <c r="BN2" s="218"/>
      <c r="BO2" s="218"/>
      <c r="BP2" s="54"/>
      <c r="BQ2" s="54"/>
      <c r="BR2" s="218"/>
      <c r="BS2" s="218"/>
      <c r="BT2" s="218"/>
      <c r="BU2" s="218"/>
      <c r="BV2" s="54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</row>
    <row r="3" spans="1:92" s="14" customFormat="1" x14ac:dyDescent="0.35">
      <c r="B3" s="21" t="str">
        <f>IF(Control!$D$5=1,"Consolidated Financials","Consolidado")</f>
        <v>Consolidado</v>
      </c>
      <c r="C3" s="21"/>
      <c r="D3" s="21"/>
      <c r="E3" s="10"/>
      <c r="F3" s="10"/>
      <c r="G3" s="10"/>
      <c r="H3" s="21"/>
      <c r="I3" s="10"/>
      <c r="J3" s="10"/>
      <c r="K3" s="10"/>
      <c r="L3" s="21"/>
      <c r="M3" s="10"/>
      <c r="N3" s="10"/>
      <c r="O3" s="10"/>
      <c r="P3" s="21"/>
      <c r="Q3" s="10"/>
      <c r="R3" s="10"/>
      <c r="S3" s="10"/>
      <c r="T3" s="21"/>
      <c r="U3" s="10"/>
      <c r="V3" s="10"/>
      <c r="W3" s="10"/>
      <c r="X3" s="59"/>
      <c r="Y3" s="10"/>
      <c r="Z3" s="10"/>
      <c r="AA3" s="10"/>
      <c r="AB3" s="59"/>
      <c r="AC3" s="10"/>
      <c r="AD3" s="10"/>
      <c r="AE3" s="10"/>
      <c r="AF3" s="59"/>
      <c r="AG3" s="10"/>
      <c r="AH3" s="10"/>
      <c r="AI3" s="10"/>
      <c r="AJ3" s="59"/>
      <c r="AK3" s="10"/>
      <c r="AL3" s="10"/>
      <c r="AM3" s="10"/>
      <c r="AN3" s="59"/>
      <c r="AO3" s="59"/>
      <c r="AP3" s="10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</row>
    <row r="4" spans="1:92" s="14" customFormat="1" x14ac:dyDescent="0.35">
      <c r="C4" s="10"/>
      <c r="D4" s="10"/>
      <c r="E4" s="191"/>
      <c r="F4" s="191"/>
      <c r="G4" s="191"/>
      <c r="H4" s="10"/>
      <c r="I4" s="191"/>
      <c r="J4" s="191"/>
      <c r="K4" s="191"/>
      <c r="L4" s="10"/>
      <c r="M4" s="191"/>
      <c r="N4" s="191"/>
      <c r="O4" s="191"/>
      <c r="P4" s="10"/>
      <c r="Q4" s="191"/>
      <c r="R4" s="191"/>
      <c r="S4" s="191"/>
      <c r="T4" s="10"/>
      <c r="U4" s="191"/>
      <c r="V4" s="191"/>
      <c r="W4" s="191"/>
      <c r="X4" s="192"/>
      <c r="Y4" s="191"/>
      <c r="Z4" s="191"/>
      <c r="AA4" s="191"/>
      <c r="AB4" s="192"/>
      <c r="AC4" s="191"/>
      <c r="AD4" s="191"/>
      <c r="AE4" s="191"/>
      <c r="AF4" s="192"/>
      <c r="AG4" s="191"/>
      <c r="AH4" s="191"/>
      <c r="AI4" s="191"/>
      <c r="AJ4" s="192"/>
      <c r="AK4" s="191"/>
      <c r="AL4" s="191"/>
      <c r="AM4" s="191"/>
      <c r="AN4" s="192"/>
      <c r="AO4" s="192"/>
      <c r="AP4" s="191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3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</row>
    <row r="5" spans="1:92" s="6" customFormat="1" x14ac:dyDescent="0.35">
      <c r="B5" s="22" t="str">
        <f>IF(Control!$D$5=1,"FINANCIAL STATEMENTS","DEMONSTRATIVOS FINANCEIROS")</f>
        <v>DEMONSTRATIVOS FINANCEIROS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53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</row>
    <row r="6" spans="1:92" s="6" customFormat="1" x14ac:dyDescent="0.35">
      <c r="B6" s="22" t="str">
        <f>IF(Control!$D$5=1,"In "&amp;TEXT(Control!$D$8,0)&amp;" "&amp;TEXT(Control!$D$7,0)&amp;", except where noted","Em "&amp;TEXT(Control!$D$8,0)&amp;" "&amp;TEXT(Control!$D$7,0)&amp;", exceto se especificado")</f>
        <v>Em milhões R$, exceto se especificado</v>
      </c>
      <c r="C6" s="56" t="str">
        <f>IF(Control!$D$5=1,"4Q07","4T07")</f>
        <v>4T07</v>
      </c>
      <c r="D6" s="56" t="str">
        <f>IF(Control!$D$5=1,"1Q08","1T08")</f>
        <v>1T08</v>
      </c>
      <c r="E6" s="56" t="str">
        <f>IF(Control!$D$5=1,"2Q08","2T08")</f>
        <v>2T08</v>
      </c>
      <c r="F6" s="56" t="str">
        <f>IF(Control!$D$5=1,"3Q08","3T08")</f>
        <v>3T08</v>
      </c>
      <c r="G6" s="56" t="str">
        <f>IF(Control!$D$5=1,"4Q08","4T08")</f>
        <v>4T08</v>
      </c>
      <c r="H6" s="56" t="str">
        <f>IF(Control!$D$5=1,"1Q09","1T09")</f>
        <v>1T09</v>
      </c>
      <c r="I6" s="56" t="str">
        <f>IF(Control!$D$5=1,"2Q09","2T09")</f>
        <v>2T09</v>
      </c>
      <c r="J6" s="56" t="str">
        <f>IF(Control!$D$5=1,"3Q09","3T09")</f>
        <v>3T09</v>
      </c>
      <c r="K6" s="56" t="str">
        <f>IF(Control!$D$5=1,"4Q09","4T09")</f>
        <v>4T09</v>
      </c>
      <c r="L6" s="56" t="str">
        <f>IF(Control!$D$5=1,"1Q10","1T10")</f>
        <v>1T10</v>
      </c>
      <c r="M6" s="56" t="str">
        <f>IF(Control!$D$5=1,"2Q10","2T10")</f>
        <v>2T10</v>
      </c>
      <c r="N6" s="56" t="str">
        <f>IF(Control!$D$5=1,"3Q10","3T10")</f>
        <v>3T10</v>
      </c>
      <c r="O6" s="56" t="str">
        <f>IF(Control!$D$5=1,"4Q10","4T10")</f>
        <v>4T10</v>
      </c>
      <c r="P6" s="56" t="str">
        <f>IF(Control!$D$5=1,"1Q11","1T11")</f>
        <v>1T11</v>
      </c>
      <c r="Q6" s="56" t="str">
        <f>IF(Control!$D$5=1,"2Q11","2T11")</f>
        <v>2T11</v>
      </c>
      <c r="R6" s="56" t="str">
        <f>IF(Control!$D$5=1,"3Q11","3T11")</f>
        <v>3T11</v>
      </c>
      <c r="S6" s="56" t="str">
        <f>IF(Control!$D$5=1,"4Q11","4T11")</f>
        <v>4T11</v>
      </c>
      <c r="T6" s="56" t="str">
        <f>IF(Control!$D$5=1,"1Q12","1T12")</f>
        <v>1T12</v>
      </c>
      <c r="U6" s="56" t="str">
        <f>IF(Control!$D$5=1,"2Q12","2T12")</f>
        <v>2T12</v>
      </c>
      <c r="V6" s="56" t="str">
        <f>IF(Control!$D$5=1,"3Q12","3T12")</f>
        <v>3T12</v>
      </c>
      <c r="W6" s="56" t="str">
        <f>IF(Control!$D$5=1,"4Q12","4T12")</f>
        <v>4T12</v>
      </c>
      <c r="X6" s="56" t="str">
        <f>IF(Control!$D$5=1,"1Q13","1T13")</f>
        <v>1T13</v>
      </c>
      <c r="Y6" s="56" t="str">
        <f>IF(Control!$D$5=1,"2Q13","2T13")</f>
        <v>2T13</v>
      </c>
      <c r="Z6" s="56" t="str">
        <f>IF(Control!$D$5=1,"3Q13","3T13")</f>
        <v>3T13</v>
      </c>
      <c r="AA6" s="56" t="str">
        <f>IF(Control!$D$5=1,"4Q13","4T13")</f>
        <v>4T13</v>
      </c>
      <c r="AB6" s="56" t="str">
        <f>IF(Control!$D$5=1,"1Q14","1T14")</f>
        <v>1T14</v>
      </c>
      <c r="AC6" s="56" t="str">
        <f>IF(Control!$D$5=1,"2Q14","2T14")</f>
        <v>2T14</v>
      </c>
      <c r="AD6" s="56" t="str">
        <f>IF(Control!$D$5=1,"3Q14","3T14")</f>
        <v>3T14</v>
      </c>
      <c r="AE6" s="56" t="str">
        <f>IF(Control!$D$5=1,"4Q14","4T14")</f>
        <v>4T14</v>
      </c>
      <c r="AF6" s="56" t="str">
        <f>IF(Control!$D$5=1,"1Q15","1T15")</f>
        <v>1T15</v>
      </c>
      <c r="AG6" s="56" t="str">
        <f>IF(Control!$D$5=1,"2Q15","2T15")</f>
        <v>2T15</v>
      </c>
      <c r="AH6" s="56" t="str">
        <f>IF(Control!$D$5=1,"3Q15","3T15")</f>
        <v>3T15</v>
      </c>
      <c r="AI6" s="56" t="str">
        <f>IF(Control!$D$5=1,"4Q15","4T15")</f>
        <v>4T15</v>
      </c>
      <c r="AJ6" s="56" t="str">
        <f>IF(Control!$D$5=1,"1Q16","1T16")</f>
        <v>1T16</v>
      </c>
      <c r="AK6" s="56" t="str">
        <f>IF(Control!$D$5=1,"2Q16","2T16")</f>
        <v>2T16</v>
      </c>
      <c r="AL6" s="56" t="str">
        <f>IF(Control!$D$5=1,"3Q16","3T16")</f>
        <v>3T16</v>
      </c>
      <c r="AM6" s="56" t="str">
        <f>IF(Control!$D$5=1,"4Q16","4T16")</f>
        <v>4T16</v>
      </c>
      <c r="AN6" s="56" t="str">
        <f>IF(Control!$D$5=1,"1Q17","1T17")</f>
        <v>1T17</v>
      </c>
      <c r="AO6" s="56" t="str">
        <f>IF(Control!$D$5=1,"2Q17","2T17")</f>
        <v>2T17</v>
      </c>
      <c r="AP6" s="56" t="str">
        <f>IF(Control!$D$5=1,"3Q17","3T17")</f>
        <v>3T17</v>
      </c>
      <c r="AQ6" s="56" t="str">
        <f>IF(Control!$D$5=1,"4Q17","4T17")</f>
        <v>4T17</v>
      </c>
      <c r="AR6" s="56" t="str">
        <f>IF(Control!$D$5=1,"1Q18","1T18")</f>
        <v>1T18</v>
      </c>
      <c r="AS6" s="56" t="s">
        <v>9</v>
      </c>
      <c r="AT6" s="56" t="str">
        <f>IF(Control!$D$5=1,"3Q18","3T18")</f>
        <v>3T18</v>
      </c>
      <c r="AU6" s="56" t="str">
        <f>IF(Control!$D$5=1,"4Q18","4T18")</f>
        <v>4T18</v>
      </c>
      <c r="AV6" s="56" t="str">
        <f>IF(Control!$D$5=1,"1Q19","1T19")</f>
        <v>1T19</v>
      </c>
      <c r="AW6" s="56" t="str">
        <f>IF(Control!$D$5=1,"2Q19","2T19")</f>
        <v>2T19</v>
      </c>
      <c r="AX6" s="56" t="str">
        <f>IF(Control!$D$5=1,"3Q19","3T19")</f>
        <v>3T19</v>
      </c>
      <c r="AY6" s="56" t="str">
        <f>IF(Control!$D$5=1,"4Q19","4T19")</f>
        <v>4T19</v>
      </c>
      <c r="AZ6" s="56" t="str">
        <f>IF(Control!$D$5=1,"1Q20","1T20")</f>
        <v>1T20</v>
      </c>
      <c r="BA6" s="56" t="str">
        <f>IF(Control!$D$5=1,"2Q20","2T20")</f>
        <v>2T20</v>
      </c>
      <c r="BB6" s="56" t="str">
        <f>IF(Control!$D$5=1,"3Q20","3T20")</f>
        <v>3T20</v>
      </c>
      <c r="BC6" s="56" t="str">
        <f>IF(Control!$D$5=1,"4Q20","4T20")</f>
        <v>4T20</v>
      </c>
      <c r="BD6" s="56" t="str">
        <f>IF(Control!$D$5=1,"1Q21","1T21")</f>
        <v>1T21</v>
      </c>
      <c r="BE6" s="56" t="str">
        <f>IF(Control!$D$5=1,"2Q21","2T21")</f>
        <v>2T21</v>
      </c>
      <c r="BF6" s="56" t="str">
        <f>IF(Control!$D$5=1,"3Q21","3T21")</f>
        <v>3T21</v>
      </c>
      <c r="BG6" s="56" t="str">
        <f>IF(Control!$D$5=1,"4Q21","4T21")</f>
        <v>4T21</v>
      </c>
      <c r="BH6" s="56" t="str">
        <f>IF(Control!$D$5=1,"1Q22","1T22")</f>
        <v>1T22</v>
      </c>
      <c r="BI6" s="56" t="str">
        <f>IF(Control!$D$5=1,"2Q22","2T22")</f>
        <v>2T22</v>
      </c>
      <c r="BJ6" s="56" t="str">
        <f>IF(Control!$D$5=1,"3Q22","3T22")</f>
        <v>3T22</v>
      </c>
      <c r="BK6" s="56" t="str">
        <f>IF(Control!$D$5=1,"4Q22","4T22")</f>
        <v>4T22</v>
      </c>
      <c r="BL6" s="56" t="str">
        <f>IF(Control!$D$5=1,"1Q23","1T23")</f>
        <v>1T23</v>
      </c>
      <c r="BM6" s="56" t="str">
        <f>IF(Control!$D$5=1,"2Q23","2T23")</f>
        <v>2T23</v>
      </c>
      <c r="BN6" s="56" t="str">
        <f>IF(Control!$D$5=1,"3Q23","3T23")</f>
        <v>3T23</v>
      </c>
      <c r="BO6" s="56" t="s">
        <v>21</v>
      </c>
      <c r="BP6" s="56" t="s">
        <v>22</v>
      </c>
      <c r="BQ6" s="56" t="s">
        <v>23</v>
      </c>
      <c r="BR6" s="56" t="s">
        <v>24</v>
      </c>
      <c r="BS6" s="56" t="str">
        <f>IF(Control!$D$5=1,"4Q24","4T24")</f>
        <v>4T24</v>
      </c>
      <c r="BT6" s="56" t="str">
        <f>IF(Control!$D$5=1,"1Q25","1T25")</f>
        <v>1T25</v>
      </c>
      <c r="BU6" s="56" t="str">
        <f>IF(Control!$D$5=1,"2Q25","2T25")</f>
        <v>2T25</v>
      </c>
      <c r="BV6" s="53"/>
      <c r="BW6" s="81" t="str">
        <f>'P&amp;L'!BW6</f>
        <v>12M07</v>
      </c>
      <c r="BX6" s="81" t="str">
        <f>'P&amp;L'!BX6</f>
        <v>12M08</v>
      </c>
      <c r="BY6" s="81" t="str">
        <f>'P&amp;L'!BY6</f>
        <v>12M09</v>
      </c>
      <c r="BZ6" s="81" t="str">
        <f>'P&amp;L'!BZ6</f>
        <v>12M10</v>
      </c>
      <c r="CA6" s="81" t="str">
        <f>'P&amp;L'!CA6</f>
        <v>11M11</v>
      </c>
      <c r="CB6" s="81" t="str">
        <f>'P&amp;L'!CB6</f>
        <v>12M12</v>
      </c>
      <c r="CC6" s="81" t="str">
        <f>'P&amp;L'!CC6</f>
        <v>12M13</v>
      </c>
      <c r="CD6" s="81" t="str">
        <f>'P&amp;L'!CD6</f>
        <v>12M14</v>
      </c>
      <c r="CE6" s="81" t="str">
        <f>'P&amp;L'!CE6</f>
        <v>12M15</v>
      </c>
      <c r="CF6" s="81" t="str">
        <f>'P&amp;L'!CF6</f>
        <v>12M16</v>
      </c>
      <c r="CG6" s="81" t="str">
        <f>'P&amp;L'!CG6</f>
        <v>12M17</v>
      </c>
      <c r="CH6" s="81" t="str">
        <f>'P&amp;L'!CH6</f>
        <v>12M18</v>
      </c>
      <c r="CI6" s="81" t="str">
        <f>'P&amp;L'!CI6</f>
        <v>12M19</v>
      </c>
      <c r="CJ6" s="81" t="str">
        <f>'P&amp;L'!CJ6</f>
        <v>12M20</v>
      </c>
      <c r="CK6" s="81" t="str">
        <f>'P&amp;L'!CK6</f>
        <v>12M21</v>
      </c>
      <c r="CL6" s="81" t="str">
        <f>'P&amp;L'!CL6</f>
        <v>12M22</v>
      </c>
      <c r="CM6" s="81" t="str">
        <f>'P&amp;L'!CM6</f>
        <v>12M23</v>
      </c>
      <c r="CN6" s="81" t="s">
        <v>27</v>
      </c>
    </row>
    <row r="7" spans="1:92" s="6" customFormat="1" x14ac:dyDescent="0.35">
      <c r="A7" s="61"/>
      <c r="B7" s="22" t="str">
        <f>IF(Control!$D$5=1,"Closing Date","Data Fechamento")</f>
        <v>Data Fechamento</v>
      </c>
      <c r="C7" s="236">
        <v>39506</v>
      </c>
      <c r="D7" s="236">
        <v>39599</v>
      </c>
      <c r="E7" s="236">
        <v>39690</v>
      </c>
      <c r="F7" s="236">
        <v>39782</v>
      </c>
      <c r="G7" s="236">
        <v>39872</v>
      </c>
      <c r="H7" s="236">
        <v>39964</v>
      </c>
      <c r="I7" s="236">
        <v>40056</v>
      </c>
      <c r="J7" s="236">
        <v>40147</v>
      </c>
      <c r="K7" s="236">
        <v>40237</v>
      </c>
      <c r="L7" s="236">
        <v>40329</v>
      </c>
      <c r="M7" s="236">
        <v>40421</v>
      </c>
      <c r="N7" s="236">
        <v>40512</v>
      </c>
      <c r="O7" s="236">
        <v>40602</v>
      </c>
      <c r="P7" s="236">
        <v>40694</v>
      </c>
      <c r="Q7" s="236">
        <v>40786</v>
      </c>
      <c r="R7" s="236">
        <v>40877</v>
      </c>
      <c r="S7" s="236">
        <v>40968</v>
      </c>
      <c r="T7" s="236">
        <v>41060</v>
      </c>
      <c r="U7" s="236">
        <v>41152</v>
      </c>
      <c r="V7" s="236">
        <v>41243</v>
      </c>
      <c r="W7" s="236">
        <v>41333</v>
      </c>
      <c r="X7" s="236">
        <v>41425</v>
      </c>
      <c r="Y7" s="236">
        <v>41517</v>
      </c>
      <c r="Z7" s="236">
        <v>41608</v>
      </c>
      <c r="AA7" s="236">
        <v>41698</v>
      </c>
      <c r="AB7" s="236">
        <v>41790</v>
      </c>
      <c r="AC7" s="236">
        <v>41882</v>
      </c>
      <c r="AD7" s="236">
        <v>41973</v>
      </c>
      <c r="AE7" s="236">
        <v>42063</v>
      </c>
      <c r="AF7" s="236">
        <v>42155</v>
      </c>
      <c r="AG7" s="236">
        <v>42247</v>
      </c>
      <c r="AH7" s="236">
        <v>42338</v>
      </c>
      <c r="AI7" s="236">
        <v>42429</v>
      </c>
      <c r="AJ7" s="236">
        <v>42521</v>
      </c>
      <c r="AK7" s="236">
        <v>42613</v>
      </c>
      <c r="AL7" s="236">
        <v>42704</v>
      </c>
      <c r="AM7" s="236">
        <v>42794</v>
      </c>
      <c r="AN7" s="236">
        <v>42886</v>
      </c>
      <c r="AO7" s="236">
        <v>42978</v>
      </c>
      <c r="AP7" s="236">
        <v>43069</v>
      </c>
      <c r="AQ7" s="236">
        <v>43159</v>
      </c>
      <c r="AR7" s="236">
        <v>43251</v>
      </c>
      <c r="AS7" s="236">
        <v>43343</v>
      </c>
      <c r="AT7" s="236">
        <v>43434</v>
      </c>
      <c r="AU7" s="236">
        <v>43524</v>
      </c>
      <c r="AV7" s="236">
        <v>43616</v>
      </c>
      <c r="AW7" s="236">
        <v>43708</v>
      </c>
      <c r="AX7" s="236">
        <v>43799</v>
      </c>
      <c r="AY7" s="236">
        <v>43890</v>
      </c>
      <c r="AZ7" s="236">
        <v>43982</v>
      </c>
      <c r="BA7" s="236">
        <v>44074</v>
      </c>
      <c r="BB7" s="236">
        <v>44165</v>
      </c>
      <c r="BC7" s="236">
        <v>44255</v>
      </c>
      <c r="BD7" s="236">
        <v>44347</v>
      </c>
      <c r="BE7" s="236">
        <v>44439</v>
      </c>
      <c r="BF7" s="236">
        <v>44530</v>
      </c>
      <c r="BG7" s="236">
        <v>44620</v>
      </c>
      <c r="BH7" s="236">
        <v>44712</v>
      </c>
      <c r="BI7" s="236">
        <v>44804</v>
      </c>
      <c r="BJ7" s="236">
        <v>44895</v>
      </c>
      <c r="BK7" s="236">
        <v>44985</v>
      </c>
      <c r="BL7" s="236">
        <v>45077</v>
      </c>
      <c r="BM7" s="236">
        <v>45169</v>
      </c>
      <c r="BN7" s="236">
        <v>45260</v>
      </c>
      <c r="BO7" s="236">
        <v>45351</v>
      </c>
      <c r="BP7" s="236">
        <v>45443</v>
      </c>
      <c r="BQ7" s="236">
        <v>45535</v>
      </c>
      <c r="BR7" s="236">
        <v>45626</v>
      </c>
      <c r="BS7" s="236">
        <v>45716</v>
      </c>
      <c r="BT7" s="236">
        <v>45808</v>
      </c>
      <c r="BU7" s="236">
        <v>45900</v>
      </c>
      <c r="BV7" s="53"/>
      <c r="BW7" s="236">
        <f>'P&amp;L'!BW7</f>
        <v>39506</v>
      </c>
      <c r="BX7" s="236">
        <f>'P&amp;L'!BX7</f>
        <v>39872</v>
      </c>
      <c r="BY7" s="236">
        <f>'P&amp;L'!BY7</f>
        <v>40237</v>
      </c>
      <c r="BZ7" s="236">
        <f>'P&amp;L'!BZ7</f>
        <v>40602</v>
      </c>
      <c r="CA7" s="236">
        <f>'P&amp;L'!CA7</f>
        <v>40967</v>
      </c>
      <c r="CB7" s="236">
        <f>'P&amp;L'!CB7</f>
        <v>41333</v>
      </c>
      <c r="CC7" s="236">
        <f>'P&amp;L'!CC7</f>
        <v>41698</v>
      </c>
      <c r="CD7" s="236">
        <f>'P&amp;L'!CD7</f>
        <v>42063</v>
      </c>
      <c r="CE7" s="236">
        <f>'P&amp;L'!CE7</f>
        <v>42429</v>
      </c>
      <c r="CF7" s="236">
        <f>'P&amp;L'!CF7</f>
        <v>42794</v>
      </c>
      <c r="CG7" s="236">
        <f>'P&amp;L'!CG7</f>
        <v>43159</v>
      </c>
      <c r="CH7" s="236">
        <f>'P&amp;L'!CH7</f>
        <v>43524</v>
      </c>
      <c r="CI7" s="236">
        <f>'P&amp;L'!CI7</f>
        <v>43890</v>
      </c>
      <c r="CJ7" s="236">
        <f>'P&amp;L'!CJ7</f>
        <v>44255</v>
      </c>
      <c r="CK7" s="236">
        <f>'P&amp;L'!CK7</f>
        <v>44620</v>
      </c>
      <c r="CL7" s="236">
        <f>'P&amp;L'!CL7</f>
        <v>44985</v>
      </c>
      <c r="CM7" s="236">
        <f>'P&amp;L'!CM7</f>
        <v>45351</v>
      </c>
      <c r="CN7" s="236">
        <v>45716</v>
      </c>
    </row>
    <row r="8" spans="1:92" ht="6.75" customHeight="1" x14ac:dyDescent="0.35">
      <c r="B8" s="10"/>
      <c r="E8" s="26"/>
      <c r="F8" s="26"/>
      <c r="G8" s="26"/>
      <c r="I8" s="26"/>
      <c r="J8" s="26"/>
      <c r="K8" s="26"/>
      <c r="M8" s="26"/>
      <c r="N8" s="26"/>
      <c r="O8" s="26"/>
      <c r="Q8" s="26"/>
      <c r="R8" s="26"/>
      <c r="S8" s="26"/>
      <c r="U8" s="26"/>
      <c r="V8" s="26"/>
      <c r="W8" s="26"/>
      <c r="X8" s="57"/>
      <c r="Y8" s="26"/>
      <c r="Z8" s="26"/>
      <c r="AA8" s="26"/>
      <c r="AB8" s="57"/>
      <c r="AC8" s="26"/>
      <c r="AD8" s="26"/>
      <c r="AE8" s="26"/>
      <c r="AF8" s="57"/>
      <c r="AG8" s="26"/>
      <c r="AH8" s="26"/>
      <c r="AI8" s="26"/>
      <c r="AJ8" s="57"/>
      <c r="AK8" s="26"/>
      <c r="AL8" s="26"/>
      <c r="AM8" s="26"/>
      <c r="AN8" s="57"/>
      <c r="AO8" s="26"/>
      <c r="AP8" s="26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3"/>
      <c r="BW8" s="26"/>
      <c r="BX8" s="26"/>
      <c r="BY8" s="26"/>
      <c r="BZ8" s="26"/>
      <c r="CA8" s="26"/>
      <c r="CB8" s="26"/>
      <c r="CC8" s="26"/>
      <c r="CD8" s="26"/>
      <c r="CE8" s="27"/>
      <c r="CF8" s="27"/>
      <c r="CG8" s="57"/>
      <c r="CH8" s="57"/>
      <c r="CI8" s="57"/>
      <c r="CJ8" s="57"/>
      <c r="CK8" s="57"/>
      <c r="CL8" s="57"/>
      <c r="CM8" s="57"/>
      <c r="CN8" s="57"/>
    </row>
    <row r="9" spans="1:92" s="17" customFormat="1" x14ac:dyDescent="0.35">
      <c r="B9" s="23" t="str">
        <f>IF(Control!$D$5=1,"Inventories","Estoques")</f>
        <v>Estoques</v>
      </c>
      <c r="C9" s="99">
        <v>0</v>
      </c>
      <c r="D9" s="99">
        <f>SUM(D10:D14)</f>
        <v>0</v>
      </c>
      <c r="E9" s="99">
        <f>SUM(E10:E14)</f>
        <v>0</v>
      </c>
      <c r="F9" s="99">
        <f>SUM(F10:F14)</f>
        <v>0</v>
      </c>
      <c r="G9" s="99">
        <f>F9</f>
        <v>0</v>
      </c>
      <c r="H9" s="99">
        <f>SUM(H10:H14)</f>
        <v>0</v>
      </c>
      <c r="I9" s="99">
        <f>SUM(I10:I14)</f>
        <v>0</v>
      </c>
      <c r="J9" s="99">
        <f>SUM(J10:J14)</f>
        <v>0</v>
      </c>
      <c r="K9" s="99">
        <f>J9</f>
        <v>0</v>
      </c>
      <c r="L9" s="99">
        <f>SUM(L10:L14)</f>
        <v>0</v>
      </c>
      <c r="M9" s="99">
        <f>SUM(M10:M14)</f>
        <v>0</v>
      </c>
      <c r="N9" s="99">
        <f>SUM(N10:N14)</f>
        <v>0</v>
      </c>
      <c r="O9" s="99">
        <f>N9</f>
        <v>0</v>
      </c>
      <c r="P9" s="99">
        <f>SUM(P10:P14)</f>
        <v>0</v>
      </c>
      <c r="Q9" s="99">
        <f>SUM(Q10:Q14)</f>
        <v>0</v>
      </c>
      <c r="R9" s="99">
        <f>SUM(R10:R14)</f>
        <v>0</v>
      </c>
      <c r="S9" s="99">
        <f>R9</f>
        <v>0</v>
      </c>
      <c r="T9" s="99">
        <f>SUM(T10:T14)</f>
        <v>0</v>
      </c>
      <c r="U9" s="99">
        <f>SUM(U10:U14)</f>
        <v>0</v>
      </c>
      <c r="V9" s="99">
        <f>SUM(V10:V14)</f>
        <v>0</v>
      </c>
      <c r="W9" s="99">
        <f>V9</f>
        <v>0</v>
      </c>
      <c r="X9" s="99">
        <f>SUM(X10:X14)</f>
        <v>0</v>
      </c>
      <c r="Y9" s="99">
        <f>SUM(Y10:Y14)</f>
        <v>0</v>
      </c>
      <c r="Z9" s="99">
        <f>SUM(Z10:Z14)</f>
        <v>0</v>
      </c>
      <c r="AA9" s="99">
        <f>Z9</f>
        <v>0</v>
      </c>
      <c r="AB9" s="99">
        <f>SUM(AB10:AB14)</f>
        <v>0</v>
      </c>
      <c r="AC9" s="99">
        <f>SUM(AC10:AC14)</f>
        <v>0</v>
      </c>
      <c r="AD9" s="99">
        <f>SUM(AD10:AD14)</f>
        <v>0</v>
      </c>
      <c r="AE9" s="99">
        <f>AD9</f>
        <v>0</v>
      </c>
      <c r="AF9" s="98">
        <f t="shared" ref="AF9:AQ9" si="0">SUM(AF10:AF14)</f>
        <v>0</v>
      </c>
      <c r="AG9" s="99">
        <f t="shared" si="0"/>
        <v>0</v>
      </c>
      <c r="AH9" s="99">
        <f t="shared" si="0"/>
        <v>0</v>
      </c>
      <c r="AI9" s="98">
        <f t="shared" si="0"/>
        <v>874.63099999999997</v>
      </c>
      <c r="AJ9" s="99">
        <f t="shared" si="0"/>
        <v>1371.242</v>
      </c>
      <c r="AK9" s="99">
        <f t="shared" si="0"/>
        <v>1341.8760000000002</v>
      </c>
      <c r="AL9" s="99">
        <f t="shared" si="0"/>
        <v>1262.2379999999998</v>
      </c>
      <c r="AM9" s="99">
        <f t="shared" si="0"/>
        <v>1100.4779999999998</v>
      </c>
      <c r="AN9" s="99">
        <f t="shared" si="0"/>
        <v>1446.414</v>
      </c>
      <c r="AO9" s="99">
        <f t="shared" si="0"/>
        <v>1245.3919999999998</v>
      </c>
      <c r="AP9" s="99">
        <f t="shared" si="0"/>
        <v>1100.4779999999998</v>
      </c>
      <c r="AQ9" s="99">
        <f t="shared" si="0"/>
        <v>874.5</v>
      </c>
      <c r="AR9" s="99">
        <f t="shared" ref="AR9:AW9" si="1">SUM(AR10:AR14)</f>
        <v>1423.6000000000001</v>
      </c>
      <c r="AS9" s="99">
        <f t="shared" si="1"/>
        <v>1395.6</v>
      </c>
      <c r="AT9" s="99">
        <f t="shared" si="1"/>
        <v>1333.8999999999999</v>
      </c>
      <c r="AU9" s="99">
        <f t="shared" si="1"/>
        <v>1144.441</v>
      </c>
      <c r="AV9" s="99">
        <f t="shared" si="1"/>
        <v>1699.6999999999998</v>
      </c>
      <c r="AW9" s="99">
        <f t="shared" si="1"/>
        <v>1560.0119999999999</v>
      </c>
      <c r="AX9" s="99">
        <f t="shared" ref="AX9:BE9" si="2">SUM(AX10:AX14)</f>
        <v>1469.184</v>
      </c>
      <c r="AY9" s="99">
        <f t="shared" si="2"/>
        <v>1207.6010000000001</v>
      </c>
      <c r="AZ9" s="99">
        <f t="shared" si="2"/>
        <v>2116.1280000000002</v>
      </c>
      <c r="BA9" s="99">
        <f t="shared" si="2"/>
        <v>1894.8179999999998</v>
      </c>
      <c r="BB9" s="99">
        <f t="shared" si="2"/>
        <v>1923.7569999999998</v>
      </c>
      <c r="BC9" s="99">
        <f t="shared" si="2"/>
        <v>1509.8879999999999</v>
      </c>
      <c r="BD9" s="99">
        <f t="shared" si="2"/>
        <v>2170.038</v>
      </c>
      <c r="BE9" s="99">
        <f t="shared" si="2"/>
        <v>1747.9549999999999</v>
      </c>
      <c r="BF9" s="99">
        <f t="shared" ref="BF9:BK9" si="3">SUM(BF10:BF14)</f>
        <v>1781.8828115887109</v>
      </c>
      <c r="BG9" s="99">
        <f t="shared" si="3"/>
        <v>1691.15</v>
      </c>
      <c r="BH9" s="99">
        <f t="shared" si="3"/>
        <v>2381.8560000000002</v>
      </c>
      <c r="BI9" s="99">
        <f t="shared" si="3"/>
        <v>2136.3409999999999</v>
      </c>
      <c r="BJ9" s="99">
        <f t="shared" si="3"/>
        <v>2181.696968790407</v>
      </c>
      <c r="BK9" s="99">
        <f t="shared" si="3"/>
        <v>2254.3490000000002</v>
      </c>
      <c r="BL9" s="99">
        <f t="shared" ref="BL9:BU9" si="4">SUM(BL10:BL14)</f>
        <v>3180.3289999999997</v>
      </c>
      <c r="BM9" s="99">
        <f t="shared" si="4"/>
        <v>2679.1220000000003</v>
      </c>
      <c r="BN9" s="99">
        <f t="shared" si="4"/>
        <v>2492.1799999999998</v>
      </c>
      <c r="BO9" s="99">
        <f t="shared" si="4"/>
        <v>2108.393</v>
      </c>
      <c r="BP9" s="99">
        <f t="shared" si="4"/>
        <v>3111.114</v>
      </c>
      <c r="BQ9" s="99">
        <f t="shared" si="4"/>
        <v>3012.5499999999997</v>
      </c>
      <c r="BR9" s="99">
        <f t="shared" si="4"/>
        <v>2962.078</v>
      </c>
      <c r="BS9" s="99">
        <f t="shared" si="4"/>
        <v>2389.2579999999998</v>
      </c>
      <c r="BT9" s="99">
        <f t="shared" si="4"/>
        <v>3422.7110000000002</v>
      </c>
      <c r="BU9" s="99">
        <f t="shared" si="4"/>
        <v>2675.2690000000002</v>
      </c>
      <c r="BV9" s="53"/>
      <c r="BW9" s="98">
        <f t="shared" ref="BW9:CE9" si="5">SUM(BW10:BW14)</f>
        <v>0</v>
      </c>
      <c r="BX9" s="98">
        <f t="shared" si="5"/>
        <v>0</v>
      </c>
      <c r="BY9" s="98">
        <f t="shared" si="5"/>
        <v>0</v>
      </c>
      <c r="BZ9" s="98">
        <f t="shared" si="5"/>
        <v>0</v>
      </c>
      <c r="CA9" s="98">
        <f t="shared" si="5"/>
        <v>0</v>
      </c>
      <c r="CB9" s="98">
        <f t="shared" si="5"/>
        <v>0</v>
      </c>
      <c r="CC9" s="98">
        <f t="shared" si="5"/>
        <v>0</v>
      </c>
      <c r="CD9" s="98">
        <f t="shared" si="5"/>
        <v>0</v>
      </c>
      <c r="CE9" s="98">
        <f t="shared" si="5"/>
        <v>874.63099999999997</v>
      </c>
      <c r="CF9" s="98">
        <f>SUM(CF10:CF14)</f>
        <v>1100.4779999999998</v>
      </c>
      <c r="CG9" s="98">
        <f>SUM(CG10:CG14)</f>
        <v>874.5</v>
      </c>
      <c r="CH9" s="98">
        <f>SUM(CH10:CH14)</f>
        <v>1144.441</v>
      </c>
      <c r="CI9" s="98">
        <f>SUM(CI10:CI14)</f>
        <v>1207.6010000000001</v>
      </c>
      <c r="CJ9" s="98">
        <f>BC9</f>
        <v>1509.8879999999999</v>
      </c>
      <c r="CK9" s="98">
        <f t="shared" ref="CK9:CK14" si="6">BG9</f>
        <v>1691.15</v>
      </c>
      <c r="CL9" s="98">
        <f t="shared" ref="CL9:CM14" si="7">BK9</f>
        <v>2254.3490000000002</v>
      </c>
      <c r="CM9" s="98">
        <f t="shared" si="7"/>
        <v>3180.3289999999997</v>
      </c>
      <c r="CN9" s="98">
        <f>BS9</f>
        <v>2389.2579999999998</v>
      </c>
    </row>
    <row r="10" spans="1:92" s="17" customFormat="1" x14ac:dyDescent="0.35">
      <c r="B10" s="100" t="str">
        <f>IF(Control!$D$5=1,"Finished Goods","Produtos Acabados")</f>
        <v>Produtos Acabados</v>
      </c>
      <c r="C10" s="99">
        <v>0</v>
      </c>
      <c r="D10" s="72" t="s">
        <v>3</v>
      </c>
      <c r="E10" s="178" t="s">
        <v>3</v>
      </c>
      <c r="F10" s="178" t="s">
        <v>3</v>
      </c>
      <c r="G10" s="178" t="str">
        <f t="shared" ref="G10:G17" si="8">F10</f>
        <v>n.a</v>
      </c>
      <c r="H10" s="72" t="s">
        <v>3</v>
      </c>
      <c r="I10" s="178" t="s">
        <v>3</v>
      </c>
      <c r="J10" s="178" t="s">
        <v>3</v>
      </c>
      <c r="K10" s="178" t="str">
        <f t="shared" ref="K10:K17" si="9">J10</f>
        <v>n.a</v>
      </c>
      <c r="L10" s="72" t="s">
        <v>3</v>
      </c>
      <c r="M10" s="178" t="s">
        <v>3</v>
      </c>
      <c r="N10" s="178" t="s">
        <v>3</v>
      </c>
      <c r="O10" s="178" t="str">
        <f t="shared" ref="O10:O17" si="10">N10</f>
        <v>n.a</v>
      </c>
      <c r="P10" s="72" t="s">
        <v>3</v>
      </c>
      <c r="Q10" s="178" t="s">
        <v>3</v>
      </c>
      <c r="R10" s="178" t="s">
        <v>3</v>
      </c>
      <c r="S10" s="178" t="str">
        <f t="shared" ref="S10:S17" si="11">R10</f>
        <v>n.a</v>
      </c>
      <c r="T10" s="72" t="s">
        <v>3</v>
      </c>
      <c r="U10" s="178" t="s">
        <v>3</v>
      </c>
      <c r="V10" s="178" t="s">
        <v>3</v>
      </c>
      <c r="W10" s="178" t="str">
        <f t="shared" ref="W10:W17" si="12">V10</f>
        <v>n.a</v>
      </c>
      <c r="X10" s="72" t="s">
        <v>3</v>
      </c>
      <c r="Y10" s="178" t="s">
        <v>3</v>
      </c>
      <c r="Z10" s="178" t="s">
        <v>3</v>
      </c>
      <c r="AA10" s="178" t="str">
        <f t="shared" ref="AA10:AA17" si="13">Z10</f>
        <v>n.a</v>
      </c>
      <c r="AB10" s="72" t="s">
        <v>3</v>
      </c>
      <c r="AC10" s="178" t="s">
        <v>3</v>
      </c>
      <c r="AD10" s="178" t="s">
        <v>3</v>
      </c>
      <c r="AE10" s="178" t="str">
        <f t="shared" ref="AE10:AE17" si="14">AD10</f>
        <v>n.a</v>
      </c>
      <c r="AF10" s="178" t="s">
        <v>3</v>
      </c>
      <c r="AG10" s="178" t="s">
        <v>3</v>
      </c>
      <c r="AH10" s="178" t="s">
        <v>3</v>
      </c>
      <c r="AI10" s="49">
        <v>250.68100000000001</v>
      </c>
      <c r="AJ10" s="71">
        <v>276.024</v>
      </c>
      <c r="AK10" s="49">
        <v>370.17200000000003</v>
      </c>
      <c r="AL10" s="49">
        <v>361.59399999999999</v>
      </c>
      <c r="AM10" s="49">
        <v>291.18</v>
      </c>
      <c r="AN10" s="71">
        <v>275.392</v>
      </c>
      <c r="AO10" s="49">
        <v>311.06900000000002</v>
      </c>
      <c r="AP10" s="49">
        <v>291.18</v>
      </c>
      <c r="AQ10" s="71">
        <v>258.3</v>
      </c>
      <c r="AR10" s="71">
        <v>285</v>
      </c>
      <c r="AS10" s="71">
        <v>379.5</v>
      </c>
      <c r="AT10" s="71">
        <v>366.7</v>
      </c>
      <c r="AU10" s="71">
        <v>357.10199999999998</v>
      </c>
      <c r="AV10" s="71">
        <v>427</v>
      </c>
      <c r="AW10" s="71">
        <v>446.72399999999999</v>
      </c>
      <c r="AX10" s="71">
        <v>471.38099999999997</v>
      </c>
      <c r="AY10" s="71">
        <v>342.92200000000003</v>
      </c>
      <c r="AZ10" s="71">
        <v>397.11399999999998</v>
      </c>
      <c r="BA10" s="71">
        <v>445.81200000000001</v>
      </c>
      <c r="BB10" s="71">
        <v>504.27499999999998</v>
      </c>
      <c r="BC10" s="71">
        <v>397.93</v>
      </c>
      <c r="BD10" s="71">
        <v>402.084</v>
      </c>
      <c r="BE10" s="71">
        <v>505.791</v>
      </c>
      <c r="BF10" s="71">
        <v>641.08978119179551</v>
      </c>
      <c r="BG10" s="71">
        <v>495.03800000000001</v>
      </c>
      <c r="BH10" s="71">
        <v>614.52700000000004</v>
      </c>
      <c r="BI10" s="71">
        <v>649.21</v>
      </c>
      <c r="BJ10" s="71">
        <v>786.30234657000005</v>
      </c>
      <c r="BK10" s="71">
        <v>716.10699999999997</v>
      </c>
      <c r="BL10" s="71">
        <v>839.33600000000001</v>
      </c>
      <c r="BM10" s="71">
        <f>1007.624</f>
        <v>1007.624</v>
      </c>
      <c r="BN10" s="71">
        <v>918.16</v>
      </c>
      <c r="BO10" s="71">
        <f>CM10</f>
        <v>839.33600000000001</v>
      </c>
      <c r="BP10" s="71">
        <v>822.95</v>
      </c>
      <c r="BQ10" s="226">
        <v>895.63099999999997</v>
      </c>
      <c r="BR10" s="226">
        <v>920.20500000000004</v>
      </c>
      <c r="BS10" s="226">
        <v>587.05899999999997</v>
      </c>
      <c r="BT10" s="226">
        <v>672.47400000000005</v>
      </c>
      <c r="BU10" s="71">
        <v>733.07600000000002</v>
      </c>
      <c r="BV10" s="71"/>
      <c r="BW10" s="69" t="s">
        <v>3</v>
      </c>
      <c r="BX10" s="69" t="s">
        <v>3</v>
      </c>
      <c r="BY10" s="69" t="s">
        <v>3</v>
      </c>
      <c r="BZ10" s="69" t="s">
        <v>3</v>
      </c>
      <c r="CA10" s="69" t="s">
        <v>3</v>
      </c>
      <c r="CB10" s="69" t="s">
        <v>3</v>
      </c>
      <c r="CC10" s="69" t="s">
        <v>3</v>
      </c>
      <c r="CD10" s="69" t="s">
        <v>3</v>
      </c>
      <c r="CE10" s="49">
        <v>250.68100000000001</v>
      </c>
      <c r="CF10" s="49">
        <f>AM10</f>
        <v>291.18</v>
      </c>
      <c r="CG10" s="71">
        <f>AQ10</f>
        <v>258.3</v>
      </c>
      <c r="CH10" s="71">
        <f>AU10</f>
        <v>357.10199999999998</v>
      </c>
      <c r="CI10" s="71">
        <f>AY10</f>
        <v>342.92200000000003</v>
      </c>
      <c r="CJ10" s="71">
        <f t="shared" ref="CJ10:CJ17" si="15">BC10</f>
        <v>397.93</v>
      </c>
      <c r="CK10" s="71">
        <f t="shared" si="6"/>
        <v>495.03800000000001</v>
      </c>
      <c r="CL10" s="71">
        <f t="shared" si="7"/>
        <v>716.10699999999997</v>
      </c>
      <c r="CM10" s="71">
        <f t="shared" si="7"/>
        <v>839.33600000000001</v>
      </c>
      <c r="CN10" s="71">
        <f t="shared" ref="CN10:CN17" si="16">BS10</f>
        <v>587.05899999999997</v>
      </c>
    </row>
    <row r="11" spans="1:92" s="17" customFormat="1" x14ac:dyDescent="0.35">
      <c r="B11" s="100" t="str">
        <f>IF(Control!$D$5=1,"Raw Material","Matéria Prima")</f>
        <v>Matéria Prima</v>
      </c>
      <c r="C11" s="99">
        <v>0</v>
      </c>
      <c r="D11" s="72" t="s">
        <v>3</v>
      </c>
      <c r="E11" s="178" t="s">
        <v>3</v>
      </c>
      <c r="F11" s="178" t="s">
        <v>3</v>
      </c>
      <c r="G11" s="178" t="str">
        <f t="shared" si="8"/>
        <v>n.a</v>
      </c>
      <c r="H11" s="72" t="s">
        <v>3</v>
      </c>
      <c r="I11" s="178" t="s">
        <v>3</v>
      </c>
      <c r="J11" s="178" t="s">
        <v>3</v>
      </c>
      <c r="K11" s="178" t="str">
        <f t="shared" si="9"/>
        <v>n.a</v>
      </c>
      <c r="L11" s="72" t="s">
        <v>3</v>
      </c>
      <c r="M11" s="178" t="s">
        <v>3</v>
      </c>
      <c r="N11" s="178" t="s">
        <v>3</v>
      </c>
      <c r="O11" s="178" t="str">
        <f t="shared" si="10"/>
        <v>n.a</v>
      </c>
      <c r="P11" s="72" t="s">
        <v>3</v>
      </c>
      <c r="Q11" s="178" t="s">
        <v>3</v>
      </c>
      <c r="R11" s="178" t="s">
        <v>3</v>
      </c>
      <c r="S11" s="178" t="str">
        <f t="shared" si="11"/>
        <v>n.a</v>
      </c>
      <c r="T11" s="72" t="s">
        <v>3</v>
      </c>
      <c r="U11" s="178" t="s">
        <v>3</v>
      </c>
      <c r="V11" s="178" t="s">
        <v>3</v>
      </c>
      <c r="W11" s="178" t="str">
        <f t="shared" si="12"/>
        <v>n.a</v>
      </c>
      <c r="X11" s="72" t="s">
        <v>3</v>
      </c>
      <c r="Y11" s="178" t="s">
        <v>3</v>
      </c>
      <c r="Z11" s="178" t="s">
        <v>3</v>
      </c>
      <c r="AA11" s="178" t="str">
        <f t="shared" si="13"/>
        <v>n.a</v>
      </c>
      <c r="AB11" s="72" t="s">
        <v>3</v>
      </c>
      <c r="AC11" s="178" t="s">
        <v>3</v>
      </c>
      <c r="AD11" s="178" t="s">
        <v>3</v>
      </c>
      <c r="AE11" s="178" t="str">
        <f t="shared" si="14"/>
        <v>n.a</v>
      </c>
      <c r="AF11" s="178" t="s">
        <v>3</v>
      </c>
      <c r="AG11" s="178" t="s">
        <v>3</v>
      </c>
      <c r="AH11" s="178" t="s">
        <v>3</v>
      </c>
      <c r="AI11" s="49">
        <v>208.48599999999999</v>
      </c>
      <c r="AJ11" s="71">
        <v>737.74099999999999</v>
      </c>
      <c r="AK11" s="49">
        <v>558.53800000000001</v>
      </c>
      <c r="AL11" s="49">
        <v>473.04599999999999</v>
      </c>
      <c r="AM11" s="49">
        <v>393.11599999999999</v>
      </c>
      <c r="AN11" s="71">
        <v>721.601</v>
      </c>
      <c r="AO11" s="49">
        <v>579.89499999999998</v>
      </c>
      <c r="AP11" s="49">
        <v>393.11599999999999</v>
      </c>
      <c r="AQ11" s="71">
        <v>199.8</v>
      </c>
      <c r="AR11" s="71">
        <v>688.6</v>
      </c>
      <c r="AS11" s="71">
        <v>623.1</v>
      </c>
      <c r="AT11" s="71">
        <v>506.7</v>
      </c>
      <c r="AU11" s="71">
        <v>270.06799999999998</v>
      </c>
      <c r="AV11" s="71">
        <v>774.1</v>
      </c>
      <c r="AW11" s="71">
        <v>646.55399999999997</v>
      </c>
      <c r="AX11" s="71">
        <v>416.07600000000002</v>
      </c>
      <c r="AY11" s="71">
        <v>231.18100000000001</v>
      </c>
      <c r="AZ11" s="71">
        <v>996.40300000000002</v>
      </c>
      <c r="BA11" s="71">
        <v>791.10500000000002</v>
      </c>
      <c r="BB11" s="71">
        <v>718.07899999999995</v>
      </c>
      <c r="BC11" s="71">
        <v>390.83100000000002</v>
      </c>
      <c r="BD11" s="71">
        <v>1098.6959999999999</v>
      </c>
      <c r="BE11" s="71">
        <v>698.053</v>
      </c>
      <c r="BF11" s="71">
        <v>497.99703039691525</v>
      </c>
      <c r="BG11" s="71">
        <v>386.56400000000002</v>
      </c>
      <c r="BH11" s="71">
        <v>984.596</v>
      </c>
      <c r="BI11" s="71">
        <v>749.38599999999997</v>
      </c>
      <c r="BJ11" s="71">
        <v>565.23801169000001</v>
      </c>
      <c r="BK11" s="71">
        <v>572.79200000000003</v>
      </c>
      <c r="BL11" s="71">
        <v>1362.751</v>
      </c>
      <c r="BM11" s="71">
        <v>965.71100000000001</v>
      </c>
      <c r="BN11" s="71">
        <v>776.64499999999998</v>
      </c>
      <c r="BO11" s="71">
        <v>478.61099999999999</v>
      </c>
      <c r="BP11" s="71">
        <v>1453.704</v>
      </c>
      <c r="BQ11" s="226">
        <v>1391.615</v>
      </c>
      <c r="BR11" s="226">
        <v>1102.03</v>
      </c>
      <c r="BS11" s="226">
        <v>687.75</v>
      </c>
      <c r="BT11" s="226">
        <v>1769.7449999999999</v>
      </c>
      <c r="BU11" s="71">
        <v>1188.9639999999999</v>
      </c>
      <c r="BV11" s="158"/>
      <c r="BW11" s="69" t="s">
        <v>3</v>
      </c>
      <c r="BX11" s="69" t="s">
        <v>3</v>
      </c>
      <c r="BY11" s="69" t="s">
        <v>3</v>
      </c>
      <c r="BZ11" s="69" t="s">
        <v>3</v>
      </c>
      <c r="CA11" s="69" t="s">
        <v>3</v>
      </c>
      <c r="CB11" s="69" t="s">
        <v>3</v>
      </c>
      <c r="CC11" s="69" t="s">
        <v>3</v>
      </c>
      <c r="CD11" s="69" t="s">
        <v>3</v>
      </c>
      <c r="CE11" s="49">
        <v>208.48599999999999</v>
      </c>
      <c r="CF11" s="49">
        <f>AM11</f>
        <v>393.11599999999999</v>
      </c>
      <c r="CG11" s="71">
        <f>AQ11</f>
        <v>199.8</v>
      </c>
      <c r="CH11" s="71">
        <f>AU11</f>
        <v>270.06799999999998</v>
      </c>
      <c r="CI11" s="71">
        <f>AY11</f>
        <v>231.18100000000001</v>
      </c>
      <c r="CJ11" s="71">
        <f t="shared" si="15"/>
        <v>390.83100000000002</v>
      </c>
      <c r="CK11" s="71">
        <f t="shared" si="6"/>
        <v>386.56400000000002</v>
      </c>
      <c r="CL11" s="71">
        <f t="shared" si="7"/>
        <v>572.79200000000003</v>
      </c>
      <c r="CM11" s="71">
        <f t="shared" si="7"/>
        <v>1362.751</v>
      </c>
      <c r="CN11" s="71">
        <f t="shared" si="16"/>
        <v>687.75</v>
      </c>
    </row>
    <row r="12" spans="1:92" s="17" customFormat="1" x14ac:dyDescent="0.35">
      <c r="A12" s="18"/>
      <c r="B12" s="100" t="str">
        <f>IF(Control!$D$5=1,"Packaging Materials","Material de Embalagem")</f>
        <v>Material de Embalagem</v>
      </c>
      <c r="C12" s="99">
        <v>0</v>
      </c>
      <c r="D12" s="72" t="s">
        <v>3</v>
      </c>
      <c r="E12" s="178" t="s">
        <v>3</v>
      </c>
      <c r="F12" s="178" t="s">
        <v>3</v>
      </c>
      <c r="G12" s="178" t="str">
        <f>F12</f>
        <v>n.a</v>
      </c>
      <c r="H12" s="72" t="s">
        <v>3</v>
      </c>
      <c r="I12" s="178" t="s">
        <v>3</v>
      </c>
      <c r="J12" s="178" t="s">
        <v>3</v>
      </c>
      <c r="K12" s="178" t="str">
        <f t="shared" si="9"/>
        <v>n.a</v>
      </c>
      <c r="L12" s="72" t="s">
        <v>3</v>
      </c>
      <c r="M12" s="178" t="s">
        <v>3</v>
      </c>
      <c r="N12" s="178" t="s">
        <v>3</v>
      </c>
      <c r="O12" s="178" t="str">
        <f t="shared" si="10"/>
        <v>n.a</v>
      </c>
      <c r="P12" s="72" t="s">
        <v>3</v>
      </c>
      <c r="Q12" s="178" t="s">
        <v>3</v>
      </c>
      <c r="R12" s="178" t="s">
        <v>3</v>
      </c>
      <c r="S12" s="178" t="str">
        <f t="shared" si="11"/>
        <v>n.a</v>
      </c>
      <c r="T12" s="72" t="s">
        <v>3</v>
      </c>
      <c r="U12" s="178" t="s">
        <v>3</v>
      </c>
      <c r="V12" s="178" t="s">
        <v>3</v>
      </c>
      <c r="W12" s="178" t="str">
        <f t="shared" si="12"/>
        <v>n.a</v>
      </c>
      <c r="X12" s="72" t="s">
        <v>3</v>
      </c>
      <c r="Y12" s="178" t="s">
        <v>3</v>
      </c>
      <c r="Z12" s="178" t="s">
        <v>3</v>
      </c>
      <c r="AA12" s="178" t="str">
        <f t="shared" si="13"/>
        <v>n.a</v>
      </c>
      <c r="AB12" s="72" t="s">
        <v>3</v>
      </c>
      <c r="AC12" s="178" t="s">
        <v>3</v>
      </c>
      <c r="AD12" s="178" t="s">
        <v>3</v>
      </c>
      <c r="AE12" s="178" t="str">
        <f t="shared" si="14"/>
        <v>n.a</v>
      </c>
      <c r="AF12" s="178" t="s">
        <v>3</v>
      </c>
      <c r="AG12" s="178" t="s">
        <v>3</v>
      </c>
      <c r="AH12" s="178" t="s">
        <v>3</v>
      </c>
      <c r="AI12" s="49">
        <v>59.948999999999998</v>
      </c>
      <c r="AJ12" s="71">
        <v>52.725000000000001</v>
      </c>
      <c r="AK12" s="49">
        <v>51.543999999999997</v>
      </c>
      <c r="AL12" s="49">
        <v>67.42</v>
      </c>
      <c r="AM12" s="49">
        <v>71.572999999999993</v>
      </c>
      <c r="AN12" s="71">
        <v>73.370999999999995</v>
      </c>
      <c r="AO12" s="49">
        <v>67.272000000000006</v>
      </c>
      <c r="AP12" s="49">
        <v>71.572999999999993</v>
      </c>
      <c r="AQ12" s="71">
        <v>69.400000000000006</v>
      </c>
      <c r="AR12" s="71">
        <v>68.599999999999994</v>
      </c>
      <c r="AS12" s="71">
        <v>61.6</v>
      </c>
      <c r="AT12" s="71">
        <v>61.4</v>
      </c>
      <c r="AU12" s="71">
        <v>67.33</v>
      </c>
      <c r="AV12" s="71">
        <v>73.8</v>
      </c>
      <c r="AW12" s="71">
        <v>78.414000000000001</v>
      </c>
      <c r="AX12" s="71">
        <v>86.459000000000003</v>
      </c>
      <c r="AY12" s="71">
        <v>81.326999999999998</v>
      </c>
      <c r="AZ12" s="71">
        <v>96.869</v>
      </c>
      <c r="BA12" s="71">
        <v>100.087</v>
      </c>
      <c r="BB12" s="71">
        <v>96.519000000000005</v>
      </c>
      <c r="BC12" s="71">
        <v>86.11</v>
      </c>
      <c r="BD12" s="71">
        <v>123.015</v>
      </c>
      <c r="BE12" s="71">
        <v>126.589</v>
      </c>
      <c r="BF12" s="71">
        <v>133.30000000000001</v>
      </c>
      <c r="BG12" s="71">
        <v>140.709</v>
      </c>
      <c r="BH12" s="71">
        <v>140.494</v>
      </c>
      <c r="BI12" s="71">
        <v>133.83699999999999</v>
      </c>
      <c r="BJ12" s="71">
        <v>124.91227827</v>
      </c>
      <c r="BK12" s="71">
        <v>116.94</v>
      </c>
      <c r="BL12" s="71">
        <v>145.71</v>
      </c>
      <c r="BM12" s="71">
        <v>115.05</v>
      </c>
      <c r="BN12" s="71">
        <v>115.498</v>
      </c>
      <c r="BO12" s="71">
        <v>105.569</v>
      </c>
      <c r="BP12" s="71">
        <v>86.644999999999996</v>
      </c>
      <c r="BQ12" s="226">
        <v>74.867999999999995</v>
      </c>
      <c r="BR12" s="226">
        <v>108.569</v>
      </c>
      <c r="BS12" s="226">
        <v>112.974</v>
      </c>
      <c r="BT12" s="226">
        <v>123.074</v>
      </c>
      <c r="BU12" s="71">
        <v>115.14100000000001</v>
      </c>
      <c r="BV12" s="158"/>
      <c r="BW12" s="69" t="s">
        <v>3</v>
      </c>
      <c r="BX12" s="69" t="s">
        <v>3</v>
      </c>
      <c r="BY12" s="69" t="s">
        <v>3</v>
      </c>
      <c r="BZ12" s="69" t="s">
        <v>3</v>
      </c>
      <c r="CA12" s="69" t="s">
        <v>3</v>
      </c>
      <c r="CB12" s="69" t="s">
        <v>3</v>
      </c>
      <c r="CC12" s="69" t="s">
        <v>3</v>
      </c>
      <c r="CD12" s="69" t="s">
        <v>3</v>
      </c>
      <c r="CE12" s="49">
        <v>59.948999999999998</v>
      </c>
      <c r="CF12" s="49">
        <f>AM12</f>
        <v>71.572999999999993</v>
      </c>
      <c r="CG12" s="71">
        <f>AQ12</f>
        <v>69.400000000000006</v>
      </c>
      <c r="CH12" s="71">
        <f>AU12</f>
        <v>67.33</v>
      </c>
      <c r="CI12" s="71">
        <f>AY12</f>
        <v>81.326999999999998</v>
      </c>
      <c r="CJ12" s="71">
        <f t="shared" si="15"/>
        <v>86.11</v>
      </c>
      <c r="CK12" s="71">
        <f t="shared" si="6"/>
        <v>140.709</v>
      </c>
      <c r="CL12" s="71">
        <f t="shared" si="7"/>
        <v>116.94</v>
      </c>
      <c r="CM12" s="71">
        <f t="shared" si="7"/>
        <v>145.71</v>
      </c>
      <c r="CN12" s="71">
        <f t="shared" si="16"/>
        <v>112.974</v>
      </c>
    </row>
    <row r="13" spans="1:92" s="17" customFormat="1" x14ac:dyDescent="0.35">
      <c r="A13" s="18"/>
      <c r="B13" s="100" t="str">
        <f>IF(Control!$D$5=1,"Advance to Suppliers","Adiantamento a Fornecedores")</f>
        <v>Adiantamento a Fornecedores</v>
      </c>
      <c r="C13" s="99">
        <v>0</v>
      </c>
      <c r="D13" s="72" t="s">
        <v>3</v>
      </c>
      <c r="E13" s="178" t="s">
        <v>3</v>
      </c>
      <c r="F13" s="178" t="s">
        <v>3</v>
      </c>
      <c r="G13" s="178" t="str">
        <f t="shared" si="8"/>
        <v>n.a</v>
      </c>
      <c r="H13" s="72" t="s">
        <v>3</v>
      </c>
      <c r="I13" s="178" t="s">
        <v>3</v>
      </c>
      <c r="J13" s="178" t="s">
        <v>3</v>
      </c>
      <c r="K13" s="178" t="str">
        <f t="shared" si="9"/>
        <v>n.a</v>
      </c>
      <c r="L13" s="72" t="s">
        <v>3</v>
      </c>
      <c r="M13" s="178" t="s">
        <v>3</v>
      </c>
      <c r="N13" s="178" t="s">
        <v>3</v>
      </c>
      <c r="O13" s="178" t="str">
        <f t="shared" si="10"/>
        <v>n.a</v>
      </c>
      <c r="P13" s="72" t="s">
        <v>3</v>
      </c>
      <c r="Q13" s="178" t="s">
        <v>3</v>
      </c>
      <c r="R13" s="178" t="s">
        <v>3</v>
      </c>
      <c r="S13" s="178" t="str">
        <f t="shared" si="11"/>
        <v>n.a</v>
      </c>
      <c r="T13" s="72" t="s">
        <v>3</v>
      </c>
      <c r="U13" s="178" t="s">
        <v>3</v>
      </c>
      <c r="V13" s="178" t="s">
        <v>3</v>
      </c>
      <c r="W13" s="178" t="str">
        <f t="shared" si="12"/>
        <v>n.a</v>
      </c>
      <c r="X13" s="72" t="s">
        <v>3</v>
      </c>
      <c r="Y13" s="178" t="s">
        <v>3</v>
      </c>
      <c r="Z13" s="178" t="s">
        <v>3</v>
      </c>
      <c r="AA13" s="178" t="str">
        <f t="shared" si="13"/>
        <v>n.a</v>
      </c>
      <c r="AB13" s="72" t="s">
        <v>3</v>
      </c>
      <c r="AC13" s="178" t="s">
        <v>3</v>
      </c>
      <c r="AD13" s="178" t="s">
        <v>3</v>
      </c>
      <c r="AE13" s="178" t="str">
        <f t="shared" si="14"/>
        <v>n.a</v>
      </c>
      <c r="AF13" s="178" t="s">
        <v>3</v>
      </c>
      <c r="AG13" s="178" t="s">
        <v>3</v>
      </c>
      <c r="AH13" s="178" t="s">
        <v>3</v>
      </c>
      <c r="AI13" s="49">
        <v>299.73599999999999</v>
      </c>
      <c r="AJ13" s="71">
        <v>280.82499999999999</v>
      </c>
      <c r="AK13" s="49">
        <v>292.43400000000003</v>
      </c>
      <c r="AL13" s="49">
        <v>324.85599999999999</v>
      </c>
      <c r="AM13" s="49">
        <v>283.40499999999997</v>
      </c>
      <c r="AN13" s="71">
        <v>306.82900000000001</v>
      </c>
      <c r="AO13" s="49">
        <v>215.81700000000001</v>
      </c>
      <c r="AP13" s="49">
        <v>283.40499999999997</v>
      </c>
      <c r="AQ13" s="71">
        <v>316.60000000000002</v>
      </c>
      <c r="AR13" s="71">
        <v>334.5</v>
      </c>
      <c r="AS13" s="71">
        <v>270.8</v>
      </c>
      <c r="AT13" s="71">
        <v>352.5</v>
      </c>
      <c r="AU13" s="71">
        <v>393.28500000000003</v>
      </c>
      <c r="AV13" s="71">
        <v>374</v>
      </c>
      <c r="AW13" s="71">
        <v>321.00299999999999</v>
      </c>
      <c r="AX13" s="71">
        <v>435.584</v>
      </c>
      <c r="AY13" s="71">
        <v>493.26600000000002</v>
      </c>
      <c r="AZ13" s="71">
        <v>541.79600000000005</v>
      </c>
      <c r="BA13" s="71">
        <v>451.88099999999997</v>
      </c>
      <c r="BB13" s="71">
        <v>519.827</v>
      </c>
      <c r="BC13" s="71">
        <v>522.91399999999999</v>
      </c>
      <c r="BD13" s="71">
        <v>448.78500000000003</v>
      </c>
      <c r="BE13" s="71">
        <v>320.73099999999999</v>
      </c>
      <c r="BF13" s="71">
        <v>431.42200000000003</v>
      </c>
      <c r="BG13" s="71">
        <v>553.21299999999997</v>
      </c>
      <c r="BH13" s="71">
        <v>535.08500000000004</v>
      </c>
      <c r="BI13" s="71">
        <v>487.34199999999998</v>
      </c>
      <c r="BJ13" s="71">
        <v>611.53599999999994</v>
      </c>
      <c r="BK13" s="71">
        <v>685.66800000000001</v>
      </c>
      <c r="BL13" s="71">
        <v>686.76900000000001</v>
      </c>
      <c r="BM13" s="71">
        <v>464.08699999999999</v>
      </c>
      <c r="BN13" s="71">
        <v>563.24699999999996</v>
      </c>
      <c r="BO13" s="71">
        <v>562.00300000000004</v>
      </c>
      <c r="BP13" s="71">
        <v>641.149</v>
      </c>
      <c r="BQ13" s="226">
        <v>522.00099999999998</v>
      </c>
      <c r="BR13" s="226">
        <v>727.625</v>
      </c>
      <c r="BS13" s="226">
        <v>837.60500000000002</v>
      </c>
      <c r="BT13" s="226">
        <v>705.79200000000003</v>
      </c>
      <c r="BU13" s="71">
        <v>414.005</v>
      </c>
      <c r="BV13" s="158"/>
      <c r="BW13" s="69" t="s">
        <v>3</v>
      </c>
      <c r="BX13" s="69" t="s">
        <v>3</v>
      </c>
      <c r="BY13" s="69" t="s">
        <v>3</v>
      </c>
      <c r="BZ13" s="69" t="s">
        <v>3</v>
      </c>
      <c r="CA13" s="69" t="s">
        <v>3</v>
      </c>
      <c r="CB13" s="69" t="s">
        <v>3</v>
      </c>
      <c r="CC13" s="69" t="s">
        <v>3</v>
      </c>
      <c r="CD13" s="69" t="s">
        <v>3</v>
      </c>
      <c r="CE13" s="49">
        <v>299.73599999999999</v>
      </c>
      <c r="CF13" s="49">
        <f>AM13</f>
        <v>283.40499999999997</v>
      </c>
      <c r="CG13" s="71">
        <f>AQ13</f>
        <v>316.60000000000002</v>
      </c>
      <c r="CH13" s="71">
        <f>AU13</f>
        <v>393.28500000000003</v>
      </c>
      <c r="CI13" s="71">
        <f>AY13</f>
        <v>493.26600000000002</v>
      </c>
      <c r="CJ13" s="71">
        <f t="shared" si="15"/>
        <v>522.91399999999999</v>
      </c>
      <c r="CK13" s="71">
        <f t="shared" si="6"/>
        <v>553.21299999999997</v>
      </c>
      <c r="CL13" s="71">
        <f t="shared" si="7"/>
        <v>685.66800000000001</v>
      </c>
      <c r="CM13" s="71">
        <f t="shared" si="7"/>
        <v>686.76900000000001</v>
      </c>
      <c r="CN13" s="71">
        <f t="shared" si="16"/>
        <v>837.60500000000002</v>
      </c>
    </row>
    <row r="14" spans="1:92" s="17" customFormat="1" x14ac:dyDescent="0.35">
      <c r="A14" s="18"/>
      <c r="B14" s="100" t="str">
        <f>IF(Control!$D$5=1,"Others","Outros")</f>
        <v>Outros</v>
      </c>
      <c r="C14" s="99">
        <v>0</v>
      </c>
      <c r="D14" s="72" t="s">
        <v>3</v>
      </c>
      <c r="E14" s="178" t="s">
        <v>3</v>
      </c>
      <c r="F14" s="178" t="s">
        <v>3</v>
      </c>
      <c r="G14" s="178" t="str">
        <f t="shared" si="8"/>
        <v>n.a</v>
      </c>
      <c r="H14" s="72" t="s">
        <v>3</v>
      </c>
      <c r="I14" s="178" t="s">
        <v>3</v>
      </c>
      <c r="J14" s="178" t="s">
        <v>3</v>
      </c>
      <c r="K14" s="178" t="str">
        <f t="shared" si="9"/>
        <v>n.a</v>
      </c>
      <c r="L14" s="72" t="s">
        <v>3</v>
      </c>
      <c r="M14" s="178" t="s">
        <v>3</v>
      </c>
      <c r="N14" s="178" t="s">
        <v>3</v>
      </c>
      <c r="O14" s="178" t="str">
        <f t="shared" si="10"/>
        <v>n.a</v>
      </c>
      <c r="P14" s="72" t="s">
        <v>3</v>
      </c>
      <c r="Q14" s="178" t="s">
        <v>3</v>
      </c>
      <c r="R14" s="178" t="s">
        <v>3</v>
      </c>
      <c r="S14" s="178" t="str">
        <f t="shared" si="11"/>
        <v>n.a</v>
      </c>
      <c r="T14" s="72" t="s">
        <v>3</v>
      </c>
      <c r="U14" s="178" t="s">
        <v>3</v>
      </c>
      <c r="V14" s="178" t="s">
        <v>3</v>
      </c>
      <c r="W14" s="178" t="str">
        <f t="shared" si="12"/>
        <v>n.a</v>
      </c>
      <c r="X14" s="72" t="s">
        <v>3</v>
      </c>
      <c r="Y14" s="178" t="s">
        <v>3</v>
      </c>
      <c r="Z14" s="178" t="s">
        <v>3</v>
      </c>
      <c r="AA14" s="178" t="str">
        <f t="shared" si="13"/>
        <v>n.a</v>
      </c>
      <c r="AB14" s="72" t="s">
        <v>3</v>
      </c>
      <c r="AC14" s="178" t="s">
        <v>3</v>
      </c>
      <c r="AD14" s="178" t="s">
        <v>3</v>
      </c>
      <c r="AE14" s="178" t="str">
        <f t="shared" si="14"/>
        <v>n.a</v>
      </c>
      <c r="AF14" s="178" t="s">
        <v>3</v>
      </c>
      <c r="AG14" s="178" t="s">
        <v>3</v>
      </c>
      <c r="AH14" s="178" t="s">
        <v>3</v>
      </c>
      <c r="AI14" s="49">
        <v>55.779000000000003</v>
      </c>
      <c r="AJ14" s="71">
        <v>23.927</v>
      </c>
      <c r="AK14" s="49">
        <v>69.188000000000002</v>
      </c>
      <c r="AL14" s="49">
        <v>35.322000000000003</v>
      </c>
      <c r="AM14" s="49">
        <v>61.204000000000001</v>
      </c>
      <c r="AN14" s="71">
        <v>69.221000000000004</v>
      </c>
      <c r="AO14" s="49">
        <v>71.338999999999999</v>
      </c>
      <c r="AP14" s="49">
        <v>61.204000000000001</v>
      </c>
      <c r="AQ14" s="71">
        <v>30.4</v>
      </c>
      <c r="AR14" s="71">
        <v>46.9</v>
      </c>
      <c r="AS14" s="71">
        <v>60.6</v>
      </c>
      <c r="AT14" s="71">
        <v>46.6</v>
      </c>
      <c r="AU14" s="71">
        <v>56.655999999999999</v>
      </c>
      <c r="AV14" s="71">
        <v>50.8</v>
      </c>
      <c r="AW14" s="71">
        <v>67.316999999999993</v>
      </c>
      <c r="AX14" s="71">
        <v>59.683999999999997</v>
      </c>
      <c r="AY14" s="71">
        <v>58.905000000000001</v>
      </c>
      <c r="AZ14" s="71">
        <v>83.945999999999998</v>
      </c>
      <c r="BA14" s="71">
        <v>105.93300000000001</v>
      </c>
      <c r="BB14" s="71">
        <v>85.057000000000002</v>
      </c>
      <c r="BC14" s="71">
        <v>112.10299999999999</v>
      </c>
      <c r="BD14" s="71">
        <v>97.457999999999998</v>
      </c>
      <c r="BE14" s="71">
        <v>96.790999999999997</v>
      </c>
      <c r="BF14" s="71">
        <v>78.073999999999998</v>
      </c>
      <c r="BG14" s="71">
        <v>115.626</v>
      </c>
      <c r="BH14" s="71">
        <v>107.154</v>
      </c>
      <c r="BI14" s="71">
        <v>116.566</v>
      </c>
      <c r="BJ14" s="71">
        <v>93.708332260406593</v>
      </c>
      <c r="BK14" s="71">
        <v>162.84200000000001</v>
      </c>
      <c r="BL14" s="71">
        <v>145.76300000000001</v>
      </c>
      <c r="BM14" s="71">
        <v>126.65</v>
      </c>
      <c r="BN14" s="71">
        <v>118.63</v>
      </c>
      <c r="BO14" s="71">
        <v>122.874</v>
      </c>
      <c r="BP14" s="71">
        <v>106.666</v>
      </c>
      <c r="BQ14" s="226">
        <v>128.435</v>
      </c>
      <c r="BR14" s="226">
        <v>103.649</v>
      </c>
      <c r="BS14" s="226">
        <v>163.87</v>
      </c>
      <c r="BT14" s="226">
        <v>151.626</v>
      </c>
      <c r="BU14" s="71">
        <v>224.083</v>
      </c>
      <c r="BV14" s="158"/>
      <c r="BW14" s="69" t="s">
        <v>3</v>
      </c>
      <c r="BX14" s="69" t="s">
        <v>3</v>
      </c>
      <c r="BY14" s="69" t="s">
        <v>3</v>
      </c>
      <c r="BZ14" s="69" t="s">
        <v>3</v>
      </c>
      <c r="CA14" s="69" t="s">
        <v>3</v>
      </c>
      <c r="CB14" s="69" t="s">
        <v>3</v>
      </c>
      <c r="CC14" s="69" t="s">
        <v>3</v>
      </c>
      <c r="CD14" s="69" t="s">
        <v>3</v>
      </c>
      <c r="CE14" s="49">
        <v>55.779000000000003</v>
      </c>
      <c r="CF14" s="49">
        <f>AM14</f>
        <v>61.204000000000001</v>
      </c>
      <c r="CG14" s="71">
        <f>AQ14</f>
        <v>30.4</v>
      </c>
      <c r="CH14" s="71">
        <f>AU14</f>
        <v>56.655999999999999</v>
      </c>
      <c r="CI14" s="71">
        <f>AY14</f>
        <v>58.905000000000001</v>
      </c>
      <c r="CJ14" s="71">
        <f t="shared" si="15"/>
        <v>112.10299999999999</v>
      </c>
      <c r="CK14" s="71">
        <f t="shared" si="6"/>
        <v>115.626</v>
      </c>
      <c r="CL14" s="71">
        <f t="shared" si="7"/>
        <v>162.84200000000001</v>
      </c>
      <c r="CM14" s="71">
        <f t="shared" si="7"/>
        <v>145.76300000000001</v>
      </c>
      <c r="CN14" s="71">
        <f t="shared" si="16"/>
        <v>163.87</v>
      </c>
    </row>
    <row r="15" spans="1:92" ht="6.75" customHeight="1" x14ac:dyDescent="0.35">
      <c r="A15" s="6"/>
      <c r="B15" s="10"/>
      <c r="C15" s="72"/>
      <c r="D15" s="72"/>
      <c r="E15" s="178"/>
      <c r="F15" s="178"/>
      <c r="G15" s="178"/>
      <c r="H15" s="72"/>
      <c r="I15" s="178"/>
      <c r="J15" s="178"/>
      <c r="K15" s="178"/>
      <c r="L15" s="72"/>
      <c r="M15" s="178"/>
      <c r="N15" s="178"/>
      <c r="O15" s="178"/>
      <c r="P15" s="72"/>
      <c r="Q15" s="178"/>
      <c r="R15" s="178"/>
      <c r="S15" s="178"/>
      <c r="T15" s="72"/>
      <c r="U15" s="178"/>
      <c r="V15" s="178"/>
      <c r="W15" s="178"/>
      <c r="X15" s="72"/>
      <c r="Y15" s="178"/>
      <c r="Z15" s="178"/>
      <c r="AA15" s="178"/>
      <c r="AB15" s="72"/>
      <c r="AC15" s="178"/>
      <c r="AD15" s="178"/>
      <c r="AE15" s="178"/>
      <c r="AF15" s="178"/>
      <c r="AG15" s="178"/>
      <c r="AH15" s="178"/>
      <c r="AI15" s="27"/>
      <c r="AJ15" s="72"/>
      <c r="AK15" s="178"/>
      <c r="AL15" s="178"/>
      <c r="AM15" s="178"/>
      <c r="AN15" s="72"/>
      <c r="AO15" s="26"/>
      <c r="AP15" s="178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1"/>
      <c r="BR15" s="71"/>
      <c r="BS15" s="71"/>
      <c r="BT15" s="71"/>
      <c r="BU15" s="71"/>
      <c r="BV15" s="158"/>
      <c r="BW15" s="69"/>
      <c r="BX15" s="69"/>
      <c r="BY15" s="69"/>
      <c r="BZ15" s="69"/>
      <c r="CA15" s="69"/>
      <c r="CB15" s="69"/>
      <c r="CC15" s="69"/>
      <c r="CD15" s="69"/>
      <c r="CE15" s="27"/>
      <c r="CF15" s="27"/>
      <c r="CG15" s="71"/>
      <c r="CH15" s="71"/>
      <c r="CI15" s="71"/>
      <c r="CJ15" s="71"/>
      <c r="CK15" s="71"/>
      <c r="CL15" s="71"/>
      <c r="CM15" s="71"/>
      <c r="CN15" s="71"/>
    </row>
    <row r="16" spans="1:92" s="17" customFormat="1" x14ac:dyDescent="0.35">
      <c r="A16" s="18"/>
      <c r="B16" s="100" t="str">
        <f>IF(Control!$D$5=1,"Current Portion","Parcela Circulante")</f>
        <v>Parcela Circulante</v>
      </c>
      <c r="C16" s="99">
        <v>0</v>
      </c>
      <c r="D16" s="72" t="s">
        <v>3</v>
      </c>
      <c r="E16" s="178" t="s">
        <v>3</v>
      </c>
      <c r="F16" s="178" t="s">
        <v>3</v>
      </c>
      <c r="G16" s="178" t="str">
        <f t="shared" si="8"/>
        <v>n.a</v>
      </c>
      <c r="H16" s="72" t="s">
        <v>3</v>
      </c>
      <c r="I16" s="178" t="s">
        <v>3</v>
      </c>
      <c r="J16" s="178" t="s">
        <v>3</v>
      </c>
      <c r="K16" s="178" t="str">
        <f t="shared" si="9"/>
        <v>n.a</v>
      </c>
      <c r="L16" s="72" t="s">
        <v>3</v>
      </c>
      <c r="M16" s="178" t="s">
        <v>3</v>
      </c>
      <c r="N16" s="178" t="s">
        <v>3</v>
      </c>
      <c r="O16" s="178" t="str">
        <f t="shared" si="10"/>
        <v>n.a</v>
      </c>
      <c r="P16" s="72" t="s">
        <v>3</v>
      </c>
      <c r="Q16" s="178" t="s">
        <v>3</v>
      </c>
      <c r="R16" s="178" t="s">
        <v>3</v>
      </c>
      <c r="S16" s="178" t="str">
        <f t="shared" si="11"/>
        <v>n.a</v>
      </c>
      <c r="T16" s="72" t="s">
        <v>3</v>
      </c>
      <c r="U16" s="178" t="s">
        <v>3</v>
      </c>
      <c r="V16" s="178" t="s">
        <v>3</v>
      </c>
      <c r="W16" s="178" t="str">
        <f t="shared" si="12"/>
        <v>n.a</v>
      </c>
      <c r="X16" s="72" t="s">
        <v>3</v>
      </c>
      <c r="Y16" s="178" t="s">
        <v>3</v>
      </c>
      <c r="Z16" s="178" t="s">
        <v>3</v>
      </c>
      <c r="AA16" s="178" t="str">
        <f t="shared" si="13"/>
        <v>n.a</v>
      </c>
      <c r="AB16" s="72" t="s">
        <v>3</v>
      </c>
      <c r="AC16" s="178" t="s">
        <v>3</v>
      </c>
      <c r="AD16" s="178" t="s">
        <v>3</v>
      </c>
      <c r="AE16" s="178" t="str">
        <f t="shared" si="14"/>
        <v>n.a</v>
      </c>
      <c r="AF16" s="178" t="s">
        <v>3</v>
      </c>
      <c r="AG16" s="178" t="s">
        <v>3</v>
      </c>
      <c r="AH16" s="178" t="s">
        <v>3</v>
      </c>
      <c r="AI16" s="49">
        <v>857.64</v>
      </c>
      <c r="AJ16" s="71">
        <v>1363.44</v>
      </c>
      <c r="AK16" s="49">
        <v>1336.6949999999999</v>
      </c>
      <c r="AL16" s="49">
        <v>1253.325</v>
      </c>
      <c r="AM16" s="49">
        <v>579.245</v>
      </c>
      <c r="AN16" s="71">
        <v>1438.2719999999999</v>
      </c>
      <c r="AO16" s="49">
        <v>1232.9659999999999</v>
      </c>
      <c r="AP16" s="49">
        <v>1085.134</v>
      </c>
      <c r="AQ16" s="71">
        <v>505.68400000000003</v>
      </c>
      <c r="AR16" s="71">
        <v>491.57400000000001</v>
      </c>
      <c r="AS16" s="71">
        <v>631.94500000000005</v>
      </c>
      <c r="AT16" s="71">
        <v>1311.2349999999999</v>
      </c>
      <c r="AU16" s="71">
        <v>1120.18</v>
      </c>
      <c r="AV16" s="71">
        <v>1679</v>
      </c>
      <c r="AW16" s="71">
        <v>1536.473</v>
      </c>
      <c r="AX16" s="71">
        <v>1439.1990000000001</v>
      </c>
      <c r="AY16" s="71">
        <v>1152.8040000000001</v>
      </c>
      <c r="AZ16" s="71">
        <v>2080.8780000000002</v>
      </c>
      <c r="BA16" s="71">
        <v>1860.835</v>
      </c>
      <c r="BB16" s="71">
        <v>1878.9870000000001</v>
      </c>
      <c r="BC16" s="71">
        <v>1456.78</v>
      </c>
      <c r="BD16" s="71">
        <v>2124.0619999999999</v>
      </c>
      <c r="BE16" s="71">
        <v>1706.636</v>
      </c>
      <c r="BF16" s="71">
        <v>1734.0440000000001</v>
      </c>
      <c r="BG16" s="71">
        <v>1646.6969999999999</v>
      </c>
      <c r="BH16" s="71">
        <v>2335.6</v>
      </c>
      <c r="BI16" s="71">
        <v>2098.8319999999999</v>
      </c>
      <c r="BJ16" s="71">
        <v>2144.4923259604066</v>
      </c>
      <c r="BK16" s="71">
        <v>2213.9299999999998</v>
      </c>
      <c r="BL16" s="71">
        <v>3147.4</v>
      </c>
      <c r="BM16" s="71">
        <v>2638.1849999999999</v>
      </c>
      <c r="BN16" s="71">
        <v>2452.02</v>
      </c>
      <c r="BO16" s="71">
        <v>1919.7670000000001</v>
      </c>
      <c r="BP16" s="71">
        <v>3057.538</v>
      </c>
      <c r="BQ16" s="226">
        <v>2954.46</v>
      </c>
      <c r="BR16" s="226">
        <v>2887.65</v>
      </c>
      <c r="BS16" s="226">
        <v>2323.7570000000001</v>
      </c>
      <c r="BT16" s="71">
        <v>3352.7109999999998</v>
      </c>
      <c r="BU16" s="71">
        <v>2612.462</v>
      </c>
      <c r="BV16" s="226"/>
      <c r="BW16" s="69" t="s">
        <v>3</v>
      </c>
      <c r="BX16" s="69" t="s">
        <v>3</v>
      </c>
      <c r="BY16" s="69" t="s">
        <v>3</v>
      </c>
      <c r="BZ16" s="69" t="s">
        <v>3</v>
      </c>
      <c r="CA16" s="69" t="s">
        <v>3</v>
      </c>
      <c r="CB16" s="69" t="s">
        <v>3</v>
      </c>
      <c r="CC16" s="69" t="s">
        <v>3</v>
      </c>
      <c r="CD16" s="69" t="s">
        <v>3</v>
      </c>
      <c r="CE16" s="49">
        <v>857.64</v>
      </c>
      <c r="CF16" s="49">
        <f>AM16</f>
        <v>579.245</v>
      </c>
      <c r="CG16" s="71">
        <f>AQ16</f>
        <v>505.68400000000003</v>
      </c>
      <c r="CH16" s="71">
        <f>AU16</f>
        <v>1120.18</v>
      </c>
      <c r="CI16" s="71">
        <f>AY16</f>
        <v>1152.8040000000001</v>
      </c>
      <c r="CJ16" s="71">
        <f t="shared" si="15"/>
        <v>1456.78</v>
      </c>
      <c r="CK16" s="71">
        <f>BG16</f>
        <v>1646.6969999999999</v>
      </c>
      <c r="CL16" s="71">
        <f>BK16</f>
        <v>2213.9299999999998</v>
      </c>
      <c r="CM16" s="71">
        <f>BL16</f>
        <v>3147.4</v>
      </c>
      <c r="CN16" s="71">
        <f t="shared" si="16"/>
        <v>2323.7570000000001</v>
      </c>
    </row>
    <row r="17" spans="1:92" s="17" customFormat="1" x14ac:dyDescent="0.35">
      <c r="A17" s="6"/>
      <c r="B17" s="100" t="str">
        <f>IF(Control!$D$5=1,"Noncurrent Portion","Parcela não circulante")</f>
        <v>Parcela não circulante</v>
      </c>
      <c r="C17" s="99">
        <v>0</v>
      </c>
      <c r="D17" s="72" t="s">
        <v>3</v>
      </c>
      <c r="E17" s="178" t="s">
        <v>3</v>
      </c>
      <c r="F17" s="178" t="s">
        <v>3</v>
      </c>
      <c r="G17" s="178" t="str">
        <f t="shared" si="8"/>
        <v>n.a</v>
      </c>
      <c r="H17" s="72" t="s">
        <v>3</v>
      </c>
      <c r="I17" s="178" t="s">
        <v>3</v>
      </c>
      <c r="J17" s="178" t="s">
        <v>3</v>
      </c>
      <c r="K17" s="178" t="str">
        <f t="shared" si="9"/>
        <v>n.a</v>
      </c>
      <c r="L17" s="72" t="s">
        <v>3</v>
      </c>
      <c r="M17" s="178" t="s">
        <v>3</v>
      </c>
      <c r="N17" s="178" t="s">
        <v>3</v>
      </c>
      <c r="O17" s="178" t="str">
        <f t="shared" si="10"/>
        <v>n.a</v>
      </c>
      <c r="P17" s="72" t="s">
        <v>3</v>
      </c>
      <c r="Q17" s="178" t="s">
        <v>3</v>
      </c>
      <c r="R17" s="178" t="s">
        <v>3</v>
      </c>
      <c r="S17" s="178" t="str">
        <f t="shared" si="11"/>
        <v>n.a</v>
      </c>
      <c r="T17" s="72" t="s">
        <v>3</v>
      </c>
      <c r="U17" s="178" t="s">
        <v>3</v>
      </c>
      <c r="V17" s="178" t="s">
        <v>3</v>
      </c>
      <c r="W17" s="178" t="str">
        <f t="shared" si="12"/>
        <v>n.a</v>
      </c>
      <c r="X17" s="72" t="s">
        <v>3</v>
      </c>
      <c r="Y17" s="178" t="s">
        <v>3</v>
      </c>
      <c r="Z17" s="178" t="s">
        <v>3</v>
      </c>
      <c r="AA17" s="178" t="str">
        <f t="shared" si="13"/>
        <v>n.a</v>
      </c>
      <c r="AB17" s="72" t="s">
        <v>3</v>
      </c>
      <c r="AC17" s="178" t="s">
        <v>3</v>
      </c>
      <c r="AD17" s="178" t="s">
        <v>3</v>
      </c>
      <c r="AE17" s="178" t="str">
        <f t="shared" si="14"/>
        <v>n.a</v>
      </c>
      <c r="AF17" s="178" t="s">
        <v>3</v>
      </c>
      <c r="AG17" s="178" t="s">
        <v>3</v>
      </c>
      <c r="AH17" s="178" t="s">
        <v>3</v>
      </c>
      <c r="AI17" s="49">
        <v>16.991</v>
      </c>
      <c r="AJ17" s="71">
        <v>7.8029999999999999</v>
      </c>
      <c r="AK17" s="49">
        <v>5.181</v>
      </c>
      <c r="AL17" s="49">
        <v>8.9130000000000003</v>
      </c>
      <c r="AM17" s="49">
        <v>8.6039999999999992</v>
      </c>
      <c r="AN17" s="71">
        <v>8.1419999999999995</v>
      </c>
      <c r="AO17" s="49">
        <v>12.426</v>
      </c>
      <c r="AP17" s="49">
        <v>15.343999999999999</v>
      </c>
      <c r="AQ17" s="71">
        <v>17.998999999999999</v>
      </c>
      <c r="AR17" s="71">
        <v>12.09</v>
      </c>
      <c r="AS17" s="71">
        <v>16.314</v>
      </c>
      <c r="AT17" s="71">
        <v>22.593</v>
      </c>
      <c r="AU17" s="71">
        <v>24.260999999999999</v>
      </c>
      <c r="AV17" s="71">
        <v>20.7</v>
      </c>
      <c r="AW17" s="71">
        <v>23.539000000000001</v>
      </c>
      <c r="AX17" s="71">
        <v>29.984999999999999</v>
      </c>
      <c r="AY17" s="71">
        <v>54.796999999999997</v>
      </c>
      <c r="AZ17" s="71">
        <v>35.25</v>
      </c>
      <c r="BA17" s="71">
        <v>53.328000000000003</v>
      </c>
      <c r="BB17" s="71">
        <v>44.77</v>
      </c>
      <c r="BC17" s="71">
        <v>53.107999999999997</v>
      </c>
      <c r="BD17" s="71">
        <v>45.975999999999999</v>
      </c>
      <c r="BE17" s="71">
        <v>41.319000000000003</v>
      </c>
      <c r="BF17" s="71">
        <v>47.838999999999999</v>
      </c>
      <c r="BG17" s="71">
        <v>44.453000000000003</v>
      </c>
      <c r="BH17" s="71">
        <v>46.2</v>
      </c>
      <c r="BI17" s="71">
        <v>37.509</v>
      </c>
      <c r="BJ17" s="71">
        <v>37.204999999999998</v>
      </c>
      <c r="BK17" s="71">
        <v>40.418999999999997</v>
      </c>
      <c r="BL17" s="71">
        <v>32.954000000000001</v>
      </c>
      <c r="BM17" s="71">
        <v>40.936</v>
      </c>
      <c r="BN17" s="71">
        <v>40.159999999999997</v>
      </c>
      <c r="BO17" s="71">
        <v>54.218000000000004</v>
      </c>
      <c r="BP17" s="71">
        <v>53.576000000000001</v>
      </c>
      <c r="BQ17" s="226">
        <v>58.09</v>
      </c>
      <c r="BR17" s="226">
        <v>74.427999999999997</v>
      </c>
      <c r="BS17" s="226">
        <v>65.501000000000005</v>
      </c>
      <c r="BT17" s="226">
        <v>69.965999999999994</v>
      </c>
      <c r="BU17" s="71">
        <v>62.807000000000002</v>
      </c>
      <c r="BV17" s="158"/>
      <c r="BW17" s="69" t="s">
        <v>3</v>
      </c>
      <c r="BX17" s="69" t="s">
        <v>3</v>
      </c>
      <c r="BY17" s="69" t="s">
        <v>3</v>
      </c>
      <c r="BZ17" s="69" t="s">
        <v>3</v>
      </c>
      <c r="CA17" s="69" t="s">
        <v>3</v>
      </c>
      <c r="CB17" s="69" t="s">
        <v>3</v>
      </c>
      <c r="CC17" s="69" t="s">
        <v>3</v>
      </c>
      <c r="CD17" s="69" t="s">
        <v>3</v>
      </c>
      <c r="CE17" s="49">
        <v>16.991</v>
      </c>
      <c r="CF17" s="49">
        <f>AM17</f>
        <v>8.6039999999999992</v>
      </c>
      <c r="CG17" s="71">
        <f>AQ17</f>
        <v>17.998999999999999</v>
      </c>
      <c r="CH17" s="71">
        <f>AU17</f>
        <v>24.260999999999999</v>
      </c>
      <c r="CI17" s="71">
        <f>AY17</f>
        <v>54.796999999999997</v>
      </c>
      <c r="CJ17" s="71">
        <f t="shared" si="15"/>
        <v>53.107999999999997</v>
      </c>
      <c r="CK17" s="71">
        <f>BG17</f>
        <v>44.453000000000003</v>
      </c>
      <c r="CL17" s="71">
        <f>BK17</f>
        <v>40.418999999999997</v>
      </c>
      <c r="CM17" s="71">
        <f>BL17</f>
        <v>32.954000000000001</v>
      </c>
      <c r="CN17" s="71">
        <f t="shared" si="16"/>
        <v>65.501000000000005</v>
      </c>
    </row>
    <row r="18" spans="1:92" ht="6.75" customHeight="1" x14ac:dyDescent="0.35">
      <c r="A18" s="91"/>
      <c r="B18" s="57"/>
      <c r="C18" s="26"/>
      <c r="D18" s="26"/>
      <c r="E18" s="27"/>
      <c r="F18" s="57"/>
      <c r="G18" s="57"/>
      <c r="H18" s="26"/>
      <c r="I18" s="27"/>
      <c r="J18" s="26"/>
      <c r="K18" s="26"/>
      <c r="M18" s="26"/>
      <c r="N18" s="26"/>
      <c r="O18" s="26"/>
      <c r="Q18" s="26"/>
      <c r="R18" s="26"/>
      <c r="S18" s="26"/>
      <c r="U18" s="26"/>
      <c r="V18" s="26"/>
      <c r="W18" s="26"/>
      <c r="X18" s="57"/>
      <c r="Y18" s="26"/>
      <c r="Z18" s="26"/>
      <c r="AA18" s="26"/>
      <c r="AB18" s="57"/>
      <c r="AC18" s="26"/>
      <c r="AD18" s="26"/>
      <c r="AE18" s="26"/>
      <c r="AN18" s="57"/>
      <c r="AO18" s="26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26"/>
      <c r="BX18" s="26"/>
      <c r="BY18" s="26"/>
      <c r="BZ18" s="26"/>
      <c r="CA18" s="26"/>
      <c r="CB18" s="26"/>
      <c r="CC18" s="26"/>
      <c r="CG18" s="57"/>
      <c r="CH18" s="57"/>
      <c r="CI18" s="57"/>
      <c r="CJ18" s="57"/>
      <c r="CK18" s="57"/>
      <c r="CL18" s="57"/>
      <c r="CM18" s="57"/>
      <c r="CN18" s="57"/>
    </row>
    <row r="19" spans="1:92" ht="6.75" customHeight="1" x14ac:dyDescent="0.35">
      <c r="A19" s="91"/>
      <c r="B19" s="10"/>
      <c r="E19" s="26"/>
      <c r="F19" s="26"/>
      <c r="G19" s="26"/>
      <c r="I19" s="26"/>
      <c r="J19" s="26"/>
      <c r="K19" s="26"/>
      <c r="M19" s="26"/>
      <c r="N19" s="26"/>
      <c r="O19" s="26"/>
      <c r="Q19" s="26"/>
      <c r="R19" s="26"/>
      <c r="S19" s="26"/>
      <c r="U19" s="26"/>
      <c r="V19" s="26"/>
      <c r="W19" s="26"/>
      <c r="X19" s="57"/>
      <c r="Y19" s="26"/>
      <c r="Z19" s="26"/>
      <c r="AA19" s="26"/>
      <c r="AB19" s="57"/>
      <c r="AC19" s="26"/>
      <c r="AD19" s="26"/>
      <c r="AE19" s="26"/>
      <c r="AF19" s="57"/>
      <c r="AG19" s="26"/>
      <c r="AH19" s="26"/>
      <c r="AI19" s="26"/>
      <c r="AJ19" s="57"/>
      <c r="AK19" s="26"/>
      <c r="AL19" s="26"/>
      <c r="AM19" s="26"/>
      <c r="AN19" s="57"/>
      <c r="AO19" s="26"/>
      <c r="AP19" s="26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26"/>
      <c r="BX19" s="26"/>
      <c r="BY19" s="26"/>
      <c r="BZ19" s="26"/>
      <c r="CA19" s="26"/>
      <c r="CB19" s="26"/>
      <c r="CC19" s="26"/>
      <c r="CD19" s="26"/>
      <c r="CE19" s="27"/>
      <c r="CF19" s="27"/>
      <c r="CG19" s="57"/>
      <c r="CH19" s="57"/>
      <c r="CI19" s="57"/>
      <c r="CJ19" s="57"/>
      <c r="CK19" s="57"/>
      <c r="CL19" s="57"/>
      <c r="CM19" s="57"/>
      <c r="CN19" s="57"/>
    </row>
    <row r="20" spans="1:92" s="17" customFormat="1" x14ac:dyDescent="0.35">
      <c r="A20" s="18"/>
      <c r="B20" s="23" t="str">
        <f>IF(Control!$D$5=1,"Expenses by Function","Despesas por Função")</f>
        <v>Despesas por Função</v>
      </c>
      <c r="C20" s="99">
        <v>0</v>
      </c>
      <c r="D20" s="98">
        <f t="shared" ref="D20:AN20" si="17">SUM(D21:D23)</f>
        <v>-255.11799999999999</v>
      </c>
      <c r="E20" s="98">
        <f t="shared" si="17"/>
        <v>-360.565</v>
      </c>
      <c r="F20" s="98">
        <f t="shared" si="17"/>
        <v>-406.13699999999994</v>
      </c>
      <c r="G20" s="98">
        <f t="shared" si="17"/>
        <v>-346.77699999999999</v>
      </c>
      <c r="H20" s="98">
        <f t="shared" si="17"/>
        <v>-326.15200000000004</v>
      </c>
      <c r="I20" s="98">
        <f t="shared" si="17"/>
        <v>-306.20499999999998</v>
      </c>
      <c r="J20" s="98">
        <f t="shared" si="17"/>
        <v>-285.012</v>
      </c>
      <c r="K20" s="98">
        <f t="shared" si="17"/>
        <v>-305.87499999999989</v>
      </c>
      <c r="L20" s="98">
        <f t="shared" si="17"/>
        <v>-318.80299999999994</v>
      </c>
      <c r="M20" s="98">
        <f t="shared" si="17"/>
        <v>-338.99400000000003</v>
      </c>
      <c r="N20" s="98">
        <f t="shared" si="17"/>
        <v>-335.71800000000007</v>
      </c>
      <c r="O20" s="98">
        <f t="shared" si="17"/>
        <v>-308.89099999999996</v>
      </c>
      <c r="P20" s="98">
        <f t="shared" si="17"/>
        <v>-331.46800000000002</v>
      </c>
      <c r="Q20" s="98">
        <f t="shared" si="17"/>
        <v>-384.43399999999991</v>
      </c>
      <c r="R20" s="98">
        <f t="shared" si="17"/>
        <v>-457.88499999999999</v>
      </c>
      <c r="S20" s="98">
        <f t="shared" si="17"/>
        <v>-465.43299999999994</v>
      </c>
      <c r="T20" s="98">
        <f t="shared" si="17"/>
        <v>-539.25599999999997</v>
      </c>
      <c r="U20" s="98">
        <f t="shared" si="17"/>
        <v>-549.37400000000002</v>
      </c>
      <c r="V20" s="98">
        <f t="shared" si="17"/>
        <v>-744.56399999999996</v>
      </c>
      <c r="W20" s="98">
        <f t="shared" si="17"/>
        <v>-717.18899999999974</v>
      </c>
      <c r="X20" s="98">
        <f t="shared" si="17"/>
        <v>-755.702</v>
      </c>
      <c r="Y20" s="98">
        <f t="shared" si="17"/>
        <v>-823.78400000000011</v>
      </c>
      <c r="Z20" s="98">
        <f t="shared" si="17"/>
        <v>-850.07599999999991</v>
      </c>
      <c r="AA20" s="98">
        <f t="shared" si="17"/>
        <v>-848.41100000000029</v>
      </c>
      <c r="AB20" s="98">
        <f t="shared" si="17"/>
        <v>-841.00399999999991</v>
      </c>
      <c r="AC20" s="98">
        <f t="shared" si="17"/>
        <v>-822.18700000000013</v>
      </c>
      <c r="AD20" s="98">
        <f t="shared" si="17"/>
        <v>-867.26100000000008</v>
      </c>
      <c r="AE20" s="98">
        <f t="shared" si="17"/>
        <v>-869.91899999999941</v>
      </c>
      <c r="AF20" s="98">
        <f t="shared" si="17"/>
        <v>-877.22299999999996</v>
      </c>
      <c r="AG20" s="98">
        <f t="shared" si="17"/>
        <v>-936.18400000000008</v>
      </c>
      <c r="AH20" s="98">
        <f t="shared" si="17"/>
        <v>-1037.8750000000002</v>
      </c>
      <c r="AI20" s="98">
        <f t="shared" si="17"/>
        <v>-1015.0290000000002</v>
      </c>
      <c r="AJ20" s="98">
        <f t="shared" si="17"/>
        <v>-1023.793</v>
      </c>
      <c r="AK20" s="98">
        <f t="shared" si="17"/>
        <v>-1120.3009999999999</v>
      </c>
      <c r="AL20" s="98">
        <f t="shared" si="17"/>
        <v>-1151.9770000000001</v>
      </c>
      <c r="AM20" s="98">
        <f t="shared" si="17"/>
        <v>-1195.1989999999998</v>
      </c>
      <c r="AN20" s="98">
        <f t="shared" si="17"/>
        <v>-1123.127</v>
      </c>
      <c r="AO20" s="98">
        <f>SUM(AO21:AO23)</f>
        <v>-1080.75</v>
      </c>
      <c r="AP20" s="98">
        <f>SUM(AP21:AP23)</f>
        <v>-1061.3389999999999</v>
      </c>
      <c r="AQ20" s="98">
        <f>SUM(AQ21:AQ23)</f>
        <v>-1029.4839999999997</v>
      </c>
      <c r="AR20" s="98">
        <f>SUM(AR21:AR23)</f>
        <v>-944.1</v>
      </c>
      <c r="AS20" s="98">
        <f t="shared" ref="AS20:AX20" si="18">SUM(AS21:AS23)</f>
        <v>-1056.4000000000001</v>
      </c>
      <c r="AT20" s="98">
        <f t="shared" si="18"/>
        <v>-1178</v>
      </c>
      <c r="AU20" s="98">
        <f t="shared" si="18"/>
        <v>-1272.5999999999999</v>
      </c>
      <c r="AV20" s="98">
        <f t="shared" si="18"/>
        <v>-1188.8</v>
      </c>
      <c r="AW20" s="98">
        <f t="shared" si="18"/>
        <v>-1167.547</v>
      </c>
      <c r="AX20" s="98">
        <f t="shared" si="18"/>
        <v>-1345.0860000000002</v>
      </c>
      <c r="AY20" s="98">
        <f>SUM(AY21:AY23)</f>
        <v>-1398.2809999999999</v>
      </c>
      <c r="AZ20" s="98">
        <f t="shared" ref="AZ20:BE20" si="19">SUM(AZ21:AZ23)</f>
        <v>-1551.672</v>
      </c>
      <c r="BA20" s="98">
        <f t="shared" si="19"/>
        <v>-1756.375</v>
      </c>
      <c r="BB20" s="98">
        <f t="shared" si="19"/>
        <v>-1799.1650000000002</v>
      </c>
      <c r="BC20" s="98">
        <f t="shared" si="19"/>
        <v>-1735.7169999999999</v>
      </c>
      <c r="BD20" s="98">
        <f t="shared" si="19"/>
        <v>-2105.7730000000001</v>
      </c>
      <c r="BE20" s="98">
        <f t="shared" si="19"/>
        <v>-2072.7190000000001</v>
      </c>
      <c r="BF20" s="98">
        <f t="shared" ref="BF20:BK20" si="20">SUM(BF21:BF23)</f>
        <v>-2121.11</v>
      </c>
      <c r="BG20" s="98">
        <f t="shared" si="20"/>
        <v>-2188.8220000000001</v>
      </c>
      <c r="BH20" s="98">
        <f t="shared" si="20"/>
        <v>-2208.1409999999996</v>
      </c>
      <c r="BI20" s="98">
        <f t="shared" si="20"/>
        <v>-2545.2649999999999</v>
      </c>
      <c r="BJ20" s="98">
        <f t="shared" si="20"/>
        <v>-2532.8519999999999</v>
      </c>
      <c r="BK20" s="98">
        <f t="shared" si="20"/>
        <v>-2446.277</v>
      </c>
      <c r="BL20" s="98">
        <f t="shared" ref="BL20:BU20" si="21">SUM(BL21:BL23)</f>
        <v>-2542.3360518640025</v>
      </c>
      <c r="BM20" s="98">
        <f t="shared" si="21"/>
        <v>-2767.8390000000004</v>
      </c>
      <c r="BN20" s="98">
        <f t="shared" si="21"/>
        <v>-2849.194</v>
      </c>
      <c r="BO20" s="98">
        <f t="shared" si="21"/>
        <v>-2496.4960000000001</v>
      </c>
      <c r="BP20" s="98">
        <f t="shared" si="21"/>
        <v>-2713.1990000000001</v>
      </c>
      <c r="BQ20" s="98">
        <f t="shared" si="21"/>
        <v>-3041.19</v>
      </c>
      <c r="BR20" s="98">
        <f t="shared" si="21"/>
        <v>-3017.6549999999997</v>
      </c>
      <c r="BS20" s="98">
        <f t="shared" si="21"/>
        <v>-2904.0209999999997</v>
      </c>
      <c r="BT20" s="98">
        <f t="shared" si="21"/>
        <v>-2524.3519999999999</v>
      </c>
      <c r="BU20" s="98">
        <f t="shared" si="21"/>
        <v>-2803.8339999999998</v>
      </c>
      <c r="BV20" s="98"/>
      <c r="BW20" s="98">
        <f t="shared" ref="BW20:CF20" si="22">SUM(BW21:BW23)</f>
        <v>-792.13299999999992</v>
      </c>
      <c r="BX20" s="98">
        <f t="shared" si="22"/>
        <v>-1368.597</v>
      </c>
      <c r="BY20" s="98">
        <f t="shared" si="22"/>
        <v>-1223.2439999999999</v>
      </c>
      <c r="BZ20" s="98">
        <f t="shared" si="22"/>
        <v>-1302.4059999999999</v>
      </c>
      <c r="CA20" s="98">
        <f t="shared" si="22"/>
        <v>-1639.2199999999998</v>
      </c>
      <c r="CB20" s="98">
        <f t="shared" si="22"/>
        <v>-2550.3829999999998</v>
      </c>
      <c r="CC20" s="98">
        <f t="shared" si="22"/>
        <v>-3277.9730000000004</v>
      </c>
      <c r="CD20" s="98">
        <f t="shared" si="22"/>
        <v>-3400.3710000000001</v>
      </c>
      <c r="CE20" s="98">
        <f t="shared" si="22"/>
        <v>-3866.3110000000001</v>
      </c>
      <c r="CF20" s="98">
        <f t="shared" si="22"/>
        <v>-4491.2700000000004</v>
      </c>
      <c r="CG20" s="98">
        <f t="shared" ref="CG20:CL20" si="23">SUM(CG21:CG23)</f>
        <v>-4294.7</v>
      </c>
      <c r="CH20" s="98">
        <f t="shared" si="23"/>
        <v>-4451.0999999999995</v>
      </c>
      <c r="CI20" s="98">
        <f t="shared" si="23"/>
        <v>-5099.7139999999999</v>
      </c>
      <c r="CJ20" s="98">
        <f t="shared" si="23"/>
        <v>-6867.0739999999996</v>
      </c>
      <c r="CK20" s="98">
        <f t="shared" si="23"/>
        <v>-8488.4239999999991</v>
      </c>
      <c r="CL20" s="98">
        <f t="shared" si="23"/>
        <v>-9732.5349999999999</v>
      </c>
      <c r="CM20" s="98">
        <f>SUM(CM21:CM23)</f>
        <v>-10655.865051864001</v>
      </c>
      <c r="CN20" s="98">
        <f>SUM(CN21:CN23)</f>
        <v>-11676.064999999999</v>
      </c>
    </row>
    <row r="21" spans="1:92" s="17" customFormat="1" x14ac:dyDescent="0.35">
      <c r="A21" s="91"/>
      <c r="B21" s="100" t="str">
        <f>IF(Control!$D$5=1,"Cost of Products Sold","Custo dos Produtos Vendidos")</f>
        <v>Custo dos Produtos Vendidos</v>
      </c>
      <c r="C21" s="99">
        <v>0</v>
      </c>
      <c r="D21" s="49">
        <f>'P&amp;L'!D14</f>
        <v>-209.047</v>
      </c>
      <c r="E21" s="49">
        <f>'P&amp;L'!E14</f>
        <v>-310.851</v>
      </c>
      <c r="F21" s="49">
        <f>'P&amp;L'!F14</f>
        <v>-352.87599999999998</v>
      </c>
      <c r="G21" s="49">
        <f>'P&amp;L'!G14</f>
        <v>-293.36099999999999</v>
      </c>
      <c r="H21" s="49">
        <f>'P&amp;L'!H14</f>
        <v>-272.48500000000001</v>
      </c>
      <c r="I21" s="49">
        <f>'P&amp;L'!I14</f>
        <v>-250.173</v>
      </c>
      <c r="J21" s="49">
        <f>'P&amp;L'!J14</f>
        <v>-233.65700000000004</v>
      </c>
      <c r="K21" s="49">
        <f>'P&amp;L'!K14</f>
        <v>-257.61999999999989</v>
      </c>
      <c r="L21" s="49">
        <f>'P&amp;L'!L14</f>
        <v>-264.98399999999998</v>
      </c>
      <c r="M21" s="49">
        <f>'P&amp;L'!M14</f>
        <v>-275.28500000000003</v>
      </c>
      <c r="N21" s="49">
        <f>'P&amp;L'!N14</f>
        <v>-275.43900000000002</v>
      </c>
      <c r="O21" s="49">
        <f>'P&amp;L'!O14</f>
        <v>-249.9919999999999</v>
      </c>
      <c r="P21" s="49">
        <f>'P&amp;L'!P14</f>
        <v>-262.63600000000002</v>
      </c>
      <c r="Q21" s="49">
        <f>'P&amp;L'!Q14</f>
        <v>-299.73599999999993</v>
      </c>
      <c r="R21" s="49">
        <f>'P&amp;L'!R14</f>
        <v>-368.68</v>
      </c>
      <c r="S21" s="49">
        <f>'P&amp;L'!S14</f>
        <v>-368.43199999999996</v>
      </c>
      <c r="T21" s="49">
        <f>'P&amp;L'!T14</f>
        <v>-440.959</v>
      </c>
      <c r="U21" s="49">
        <f>'P&amp;L'!U14</f>
        <v>-455.84499999999997</v>
      </c>
      <c r="V21" s="49">
        <f>'P&amp;L'!V14</f>
        <v>-625.58799999999997</v>
      </c>
      <c r="W21" s="49">
        <f>'P&amp;L'!W14</f>
        <v>-585.44399999999973</v>
      </c>
      <c r="X21" s="49">
        <f>'P&amp;L'!X14</f>
        <v>-611.404</v>
      </c>
      <c r="Y21" s="49">
        <f>'P&amp;L'!Y14</f>
        <v>-668.47500000000002</v>
      </c>
      <c r="Z21" s="49">
        <f>'P&amp;L'!Z14</f>
        <v>-716.25699999999995</v>
      </c>
      <c r="AA21" s="49">
        <f>'P&amp;L'!AA14</f>
        <v>-706.31800000000021</v>
      </c>
      <c r="AB21" s="49">
        <f>'P&amp;L'!AB14</f>
        <v>-688.68299999999999</v>
      </c>
      <c r="AC21" s="49">
        <f>'P&amp;L'!AC14</f>
        <v>-678.25600000000009</v>
      </c>
      <c r="AD21" s="49">
        <f>'P&amp;L'!AD14</f>
        <v>-723.65800000000013</v>
      </c>
      <c r="AE21" s="49">
        <f>'P&amp;L'!AE14</f>
        <v>-733.76799999999935</v>
      </c>
      <c r="AF21" s="49">
        <f>'P&amp;L'!AF14</f>
        <v>-728.02499999999998</v>
      </c>
      <c r="AG21" s="49">
        <f>'P&amp;L'!AG14</f>
        <v>-776.85700000000008</v>
      </c>
      <c r="AH21" s="49">
        <f>'P&amp;L'!AH14</f>
        <v>-865.19900000000018</v>
      </c>
      <c r="AI21" s="49">
        <f>'P&amp;L'!AI14</f>
        <v>-824.71900000000016</v>
      </c>
      <c r="AJ21" s="49">
        <f>'P&amp;L'!AJ14</f>
        <v>-842.35900000000004</v>
      </c>
      <c r="AK21" s="49">
        <f>'P&amp;L'!AK14</f>
        <v>-920.14499999999987</v>
      </c>
      <c r="AL21" s="49">
        <f>'P&amp;L'!AL14</f>
        <v>-982.18600000000004</v>
      </c>
      <c r="AM21" s="49">
        <f>'P&amp;L'!AM14</f>
        <v>-981.90199999999993</v>
      </c>
      <c r="AN21" s="49">
        <f>'P&amp;L'!AN14</f>
        <v>-928.15899999999999</v>
      </c>
      <c r="AO21" s="49">
        <f>'P&amp;L'!AO14</f>
        <v>-879.63</v>
      </c>
      <c r="AP21" s="49">
        <f>'P&amp;L'!AP14</f>
        <v>-873.221</v>
      </c>
      <c r="AQ21" s="49">
        <f>'P&amp;L'!AQ14</f>
        <v>-831.48999999999978</v>
      </c>
      <c r="AR21" s="49">
        <f>'P&amp;L'!AR14</f>
        <v>-741.1</v>
      </c>
      <c r="AS21" s="49">
        <v>-829.5</v>
      </c>
      <c r="AT21" s="49">
        <v>-946.9</v>
      </c>
      <c r="AU21" s="49">
        <v>-1009.5999999999999</v>
      </c>
      <c r="AV21" s="49">
        <v>-950.3</v>
      </c>
      <c r="AW21" s="49">
        <v>-939.89499999999998</v>
      </c>
      <c r="AX21" s="49">
        <v>-1100.8090000000002</v>
      </c>
      <c r="AY21" s="49">
        <v>-1154.252</v>
      </c>
      <c r="AZ21" s="49">
        <v>-1315.3910000000001</v>
      </c>
      <c r="BA21" s="49">
        <v>-1478.1379999999999</v>
      </c>
      <c r="BB21" s="49">
        <v>-1524.7180000000001</v>
      </c>
      <c r="BC21" s="49">
        <v>-1486.7470000000001</v>
      </c>
      <c r="BD21" s="49">
        <v>-1809.527</v>
      </c>
      <c r="BE21" s="49">
        <v>-1785.577</v>
      </c>
      <c r="BF21" s="49">
        <v>-1801.25</v>
      </c>
      <c r="BG21" s="49">
        <v>-1841.348</v>
      </c>
      <c r="BH21" s="49">
        <v>-1849.2349999999999</v>
      </c>
      <c r="BI21" s="49">
        <v>-2125.377</v>
      </c>
      <c r="BJ21" s="49">
        <v>-2079.4659999999999</v>
      </c>
      <c r="BK21" s="49">
        <v>-2031.547</v>
      </c>
      <c r="BL21" s="49">
        <v>-2104.0360518640023</v>
      </c>
      <c r="BM21" s="49">
        <v>-2336.0520000000001</v>
      </c>
      <c r="BN21" s="49">
        <v>-2423.8339999999998</v>
      </c>
      <c r="BO21" s="49">
        <v>-2109.7530000000002</v>
      </c>
      <c r="BP21" s="49">
        <v>-2273.6460000000002</v>
      </c>
      <c r="BQ21" s="49">
        <v>-2563.2959999999998</v>
      </c>
      <c r="BR21" s="49">
        <v>-2570.38</v>
      </c>
      <c r="BS21" s="49">
        <v>-2465.6689999999999</v>
      </c>
      <c r="BT21" s="226">
        <v>-2081.2429999999999</v>
      </c>
      <c r="BU21" s="226">
        <v>-2305.8870000000002</v>
      </c>
      <c r="BV21" s="49"/>
      <c r="BW21" s="49">
        <f>'P&amp;L'!BW14</f>
        <v>-633.28499999999997</v>
      </c>
      <c r="BX21" s="49">
        <f>'P&amp;L'!BX14</f>
        <v>-1166.135</v>
      </c>
      <c r="BY21" s="49">
        <f>'P&amp;L'!BY14</f>
        <v>-1013.9349999999999</v>
      </c>
      <c r="BZ21" s="49">
        <f>'P&amp;L'!BZ14</f>
        <v>-1065.7</v>
      </c>
      <c r="CA21" s="49">
        <f>'P&amp;L'!CA14</f>
        <v>-1299.4839999999999</v>
      </c>
      <c r="CB21" s="49">
        <f>'P&amp;L'!CB14</f>
        <v>-2107.8359999999998</v>
      </c>
      <c r="CC21" s="49">
        <f>'P&amp;L'!CC14</f>
        <v>-2702.4540000000002</v>
      </c>
      <c r="CD21" s="49">
        <f>'P&amp;L'!CD14</f>
        <v>-2824.3649999999998</v>
      </c>
      <c r="CE21" s="49">
        <f>'P&amp;L'!CE14</f>
        <v>-3194.8</v>
      </c>
      <c r="CF21" s="49">
        <f>'P&amp;L'!CF14</f>
        <v>-3726.5920000000001</v>
      </c>
      <c r="CG21" s="49">
        <f>'P&amp;L'!CG14</f>
        <v>-3512.5</v>
      </c>
      <c r="CH21" s="49">
        <f>'P&amp;L'!CH14</f>
        <v>-3527.1</v>
      </c>
      <c r="CI21" s="49">
        <f>'P&amp;L'!CI14</f>
        <v>-4145.2559999999994</v>
      </c>
      <c r="CJ21" s="49">
        <v>-5804.9939999999997</v>
      </c>
      <c r="CK21" s="49">
        <v>-7237.7020000000002</v>
      </c>
      <c r="CL21" s="49">
        <f>SUM(BH21:BK21)</f>
        <v>-8085.625</v>
      </c>
      <c r="CM21" s="49">
        <f>SUM(BL21:BO21)</f>
        <v>-8973.6750518640019</v>
      </c>
      <c r="CN21" s="49">
        <f>SUM(BP21:BS21)</f>
        <v>-9872.991</v>
      </c>
    </row>
    <row r="22" spans="1:92" s="17" customFormat="1" x14ac:dyDescent="0.35">
      <c r="A22" s="6"/>
      <c r="B22" s="100" t="str">
        <f>IF(Control!$D$5=1,"Sales Expenses","Despesas com Vendas")</f>
        <v>Despesas com Vendas</v>
      </c>
      <c r="C22" s="99">
        <v>0</v>
      </c>
      <c r="D22" s="49">
        <f>'P&amp;L'!D16</f>
        <v>-35.776000000000003</v>
      </c>
      <c r="E22" s="49">
        <f>'P&amp;L'!E16</f>
        <v>-38.943999999999996</v>
      </c>
      <c r="F22" s="49">
        <f>'P&amp;L'!F16</f>
        <v>-43.281999999999996</v>
      </c>
      <c r="G22" s="49">
        <f>'P&amp;L'!G16</f>
        <v>-41.414999999999999</v>
      </c>
      <c r="H22" s="49">
        <f>'P&amp;L'!H16</f>
        <v>-43.04</v>
      </c>
      <c r="I22" s="49">
        <f>'P&amp;L'!I16</f>
        <v>-45.143999999999998</v>
      </c>
      <c r="J22" s="49">
        <f>'P&amp;L'!J16</f>
        <v>-41.561</v>
      </c>
      <c r="K22" s="49">
        <f>'P&amp;L'!K16</f>
        <v>-34.990999999999978</v>
      </c>
      <c r="L22" s="49">
        <f>'P&amp;L'!L16</f>
        <v>-40.020000000000003</v>
      </c>
      <c r="M22" s="49">
        <f>'P&amp;L'!M16</f>
        <v>-46.449999999999996</v>
      </c>
      <c r="N22" s="49">
        <f>'P&amp;L'!N16</f>
        <v>-44.076000000000001</v>
      </c>
      <c r="O22" s="49">
        <f>'P&amp;L'!O16</f>
        <v>-40.878000000000021</v>
      </c>
      <c r="P22" s="49">
        <f>'P&amp;L'!P16</f>
        <v>-51.71</v>
      </c>
      <c r="Q22" s="49">
        <f>'P&amp;L'!Q16</f>
        <v>-63.372999999999998</v>
      </c>
      <c r="R22" s="49">
        <f>'P&amp;L'!R16</f>
        <v>-65.459000000000003</v>
      </c>
      <c r="S22" s="49">
        <f>'P&amp;L'!S16</f>
        <v>-62.786000000000008</v>
      </c>
      <c r="T22" s="49">
        <f>'P&amp;L'!T16</f>
        <v>-70.605000000000004</v>
      </c>
      <c r="U22" s="49">
        <f>'P&amp;L'!U16</f>
        <v>-72.17</v>
      </c>
      <c r="V22" s="49">
        <f>'P&amp;L'!V16</f>
        <v>-87.678999999999988</v>
      </c>
      <c r="W22" s="49">
        <f>'P&amp;L'!W16</f>
        <v>-87.469000000000008</v>
      </c>
      <c r="X22" s="49">
        <f>'P&amp;L'!X16</f>
        <v>-104.605</v>
      </c>
      <c r="Y22" s="49">
        <f>'P&amp;L'!Y16</f>
        <v>-108.345</v>
      </c>
      <c r="Z22" s="49">
        <f>'P&amp;L'!Z16</f>
        <v>-96.927999999999997</v>
      </c>
      <c r="AA22" s="49">
        <f>'P&amp;L'!AA16</f>
        <v>-103.509</v>
      </c>
      <c r="AB22" s="49">
        <f>'P&amp;L'!AB16</f>
        <v>-105.252</v>
      </c>
      <c r="AC22" s="49">
        <f>'P&amp;L'!AC16</f>
        <v>-100.038</v>
      </c>
      <c r="AD22" s="49">
        <f>'P&amp;L'!AD16</f>
        <v>-100.41299999999997</v>
      </c>
      <c r="AE22" s="49">
        <f>'P&amp;L'!AE16</f>
        <v>-96.396000000000029</v>
      </c>
      <c r="AF22" s="49">
        <f>'P&amp;L'!AF16</f>
        <v>-101.048</v>
      </c>
      <c r="AG22" s="49">
        <f>'P&amp;L'!AG16</f>
        <v>-109.33500000000001</v>
      </c>
      <c r="AH22" s="49">
        <f>'P&amp;L'!AH16</f>
        <v>-116.273</v>
      </c>
      <c r="AI22" s="49">
        <f>'P&amp;L'!AI16</f>
        <v>-117.77400000000003</v>
      </c>
      <c r="AJ22" s="49">
        <f>'P&amp;L'!AJ16</f>
        <v>-128.267</v>
      </c>
      <c r="AK22" s="49">
        <f>'P&amp;L'!AK16</f>
        <v>-129.19600000000003</v>
      </c>
      <c r="AL22" s="49">
        <f>'P&amp;L'!AL16</f>
        <v>-115.28199999999998</v>
      </c>
      <c r="AM22" s="49">
        <f>'P&amp;L'!AM16</f>
        <v>-135.90899999999999</v>
      </c>
      <c r="AN22" s="49">
        <f>'P&amp;L'!AN16</f>
        <v>-133.38999999999999</v>
      </c>
      <c r="AO22" s="49">
        <f>'P&amp;L'!AO16</f>
        <v>-142.10000000000002</v>
      </c>
      <c r="AP22" s="49">
        <f>'P&amp;L'!AP16</f>
        <v>-129.601</v>
      </c>
      <c r="AQ22" s="49">
        <f>'P&amp;L'!AQ16</f>
        <v>-138.50900000000001</v>
      </c>
      <c r="AR22" s="49">
        <f>'P&amp;L'!AR16</f>
        <v>-134.1</v>
      </c>
      <c r="AS22" s="49">
        <v>-153.4</v>
      </c>
      <c r="AT22" s="49">
        <v>-159.5</v>
      </c>
      <c r="AU22" s="49">
        <v>-184.10000000000002</v>
      </c>
      <c r="AV22" s="49">
        <v>-161.19999999999999</v>
      </c>
      <c r="AW22" s="49">
        <v>-148.767</v>
      </c>
      <c r="AX22" s="49">
        <v>-164.00400000000002</v>
      </c>
      <c r="AY22" s="49">
        <v>-168.959</v>
      </c>
      <c r="AZ22" s="49">
        <v>-161.21100000000001</v>
      </c>
      <c r="BA22" s="49">
        <v>-188.36500000000001</v>
      </c>
      <c r="BB22" s="49">
        <v>-177.68899999999999</v>
      </c>
      <c r="BC22" s="49">
        <v>-158.75399999999999</v>
      </c>
      <c r="BD22" s="49">
        <v>-187.22499999999999</v>
      </c>
      <c r="BE22" s="49">
        <v>-189.744</v>
      </c>
      <c r="BF22" s="49">
        <v>-205.76300000000001</v>
      </c>
      <c r="BG22" s="49">
        <v>-224.79300000000001</v>
      </c>
      <c r="BH22" s="49">
        <v>-233.40700000000001</v>
      </c>
      <c r="BI22" s="49">
        <v>-292.685</v>
      </c>
      <c r="BJ22" s="49">
        <v>-276.21100000000001</v>
      </c>
      <c r="BK22" s="49">
        <v>-258.00299999999999</v>
      </c>
      <c r="BL22" s="49">
        <v>-280.8</v>
      </c>
      <c r="BM22" s="49">
        <v>-292.97399999999999</v>
      </c>
      <c r="BN22" s="49">
        <v>-273.822</v>
      </c>
      <c r="BO22" s="49">
        <v>-248.40899999999999</v>
      </c>
      <c r="BP22" s="49">
        <v>-295.83499999999998</v>
      </c>
      <c r="BQ22" s="49">
        <v>-316.18099999999998</v>
      </c>
      <c r="BR22" s="49">
        <v>-286.65100000000001</v>
      </c>
      <c r="BS22" s="49">
        <v>-295.21400000000017</v>
      </c>
      <c r="BT22" s="49">
        <v>-292.47300000000001</v>
      </c>
      <c r="BU22" s="49">
        <v>-331.774</v>
      </c>
      <c r="BV22" s="49"/>
      <c r="BW22" s="49">
        <f>'P&amp;L'!BW16</f>
        <v>-121.751</v>
      </c>
      <c r="BX22" s="49">
        <f>'P&amp;L'!BX16</f>
        <v>-159.417</v>
      </c>
      <c r="BY22" s="49">
        <f>'P&amp;L'!BY16</f>
        <v>-164.73599999999999</v>
      </c>
      <c r="BZ22" s="49">
        <f>'P&amp;L'!BZ16</f>
        <v>-171.42400000000001</v>
      </c>
      <c r="CA22" s="49">
        <f>'P&amp;L'!CA16</f>
        <v>-243.328</v>
      </c>
      <c r="CB22" s="49">
        <f>'P&amp;L'!CB16</f>
        <v>-317.923</v>
      </c>
      <c r="CC22" s="49">
        <f>'P&amp;L'!CC16</f>
        <v>-413.387</v>
      </c>
      <c r="CD22" s="49">
        <f>'P&amp;L'!CD16</f>
        <v>-402.09899999999999</v>
      </c>
      <c r="CE22" s="49">
        <f>'P&amp;L'!CE16</f>
        <v>-444.43</v>
      </c>
      <c r="CF22" s="49">
        <f>'P&amp;L'!CF16</f>
        <v>-508.654</v>
      </c>
      <c r="CG22" s="49">
        <f>'P&amp;L'!CG16</f>
        <v>-543.6</v>
      </c>
      <c r="CH22" s="49">
        <f>'P&amp;L'!CH16</f>
        <v>-631.1</v>
      </c>
      <c r="CI22" s="49">
        <f>'P&amp;L'!CI16</f>
        <v>-642.93000000000006</v>
      </c>
      <c r="CJ22" s="49">
        <v>-701.22199999999998</v>
      </c>
      <c r="CK22" s="49">
        <v>-807.52499999999998</v>
      </c>
      <c r="CL22" s="49">
        <f>SUM(BH22:BK22)</f>
        <v>-1060.306</v>
      </c>
      <c r="CM22" s="49">
        <f>SUM(BL22:BO22)</f>
        <v>-1096.0050000000001</v>
      </c>
      <c r="CN22" s="49">
        <f>SUM(BP22:BS22)</f>
        <v>-1193.8810000000001</v>
      </c>
    </row>
    <row r="23" spans="1:92" s="18" customFormat="1" x14ac:dyDescent="0.35">
      <c r="A23" s="91"/>
      <c r="B23" s="29" t="str">
        <f>IF(Control!$D$5=1,"G&amp;A Expenses","Despesas Gerais e Administrativas")</f>
        <v>Despesas Gerais e Administrativas</v>
      </c>
      <c r="C23" s="99">
        <v>0</v>
      </c>
      <c r="D23" s="49">
        <f>'P&amp;L'!D17</f>
        <v>-10.295000000000002</v>
      </c>
      <c r="E23" s="49">
        <f>'P&amp;L'!E17</f>
        <v>-10.77</v>
      </c>
      <c r="F23" s="49">
        <f>'P&amp;L'!F17</f>
        <v>-9.9789999999999992</v>
      </c>
      <c r="G23" s="49">
        <f>'P&amp;L'!G17</f>
        <v>-12.001000000000001</v>
      </c>
      <c r="H23" s="49">
        <f>'P&amp;L'!H17</f>
        <v>-10.627000000000001</v>
      </c>
      <c r="I23" s="49">
        <f>'P&amp;L'!I17</f>
        <v>-10.887999999999996</v>
      </c>
      <c r="J23" s="49">
        <f>'P&amp;L'!J17</f>
        <v>-9.7940000000000058</v>
      </c>
      <c r="K23" s="49">
        <f>'P&amp;L'!K17</f>
        <v>-13.263999999999998</v>
      </c>
      <c r="L23" s="49">
        <f>'P&amp;L'!L17</f>
        <v>-13.798999999999999</v>
      </c>
      <c r="M23" s="49">
        <f>'P&amp;L'!M17</f>
        <v>-17.259</v>
      </c>
      <c r="N23" s="49">
        <f>'P&amp;L'!N17</f>
        <v>-16.203000000000003</v>
      </c>
      <c r="O23" s="49">
        <f>'P&amp;L'!O17</f>
        <v>-18.020999999999994</v>
      </c>
      <c r="P23" s="49">
        <f>'P&amp;L'!P17</f>
        <v>-17.122</v>
      </c>
      <c r="Q23" s="49">
        <f>'P&amp;L'!Q17</f>
        <v>-21.324999999999996</v>
      </c>
      <c r="R23" s="49">
        <f>'P&amp;L'!R17</f>
        <v>-23.746000000000009</v>
      </c>
      <c r="S23" s="49">
        <f>'P&amp;L'!S17</f>
        <v>-34.214999999999996</v>
      </c>
      <c r="T23" s="49">
        <f>'P&amp;L'!T17</f>
        <v>-27.692</v>
      </c>
      <c r="U23" s="49">
        <f>'P&amp;L'!U17</f>
        <v>-21.359000000000002</v>
      </c>
      <c r="V23" s="49">
        <f>'P&amp;L'!V17</f>
        <v>-31.296999999999997</v>
      </c>
      <c r="W23" s="49">
        <f>'P&amp;L'!W17</f>
        <v>-44.275999999999989</v>
      </c>
      <c r="X23" s="49">
        <f>'P&amp;L'!X17</f>
        <v>-39.692999999999998</v>
      </c>
      <c r="Y23" s="49">
        <f>'P&amp;L'!Y17</f>
        <v>-46.963999999999999</v>
      </c>
      <c r="Z23" s="49">
        <f>'P&amp;L'!Z17</f>
        <v>-36.890999999999998</v>
      </c>
      <c r="AA23" s="49">
        <f>'P&amp;L'!AA17</f>
        <v>-38.584000000000017</v>
      </c>
      <c r="AB23" s="49">
        <f>'P&amp;L'!AB17</f>
        <v>-47.069000000000003</v>
      </c>
      <c r="AC23" s="49">
        <f>'P&amp;L'!AC17</f>
        <v>-43.893000000000001</v>
      </c>
      <c r="AD23" s="49">
        <f>'P&amp;L'!AD17</f>
        <v>-43.189999999999984</v>
      </c>
      <c r="AE23" s="49">
        <f>'P&amp;L'!AE17</f>
        <v>-39.755000000000038</v>
      </c>
      <c r="AF23" s="49">
        <f>'P&amp;L'!AF17</f>
        <v>-48.15</v>
      </c>
      <c r="AG23" s="49">
        <f>'P&amp;L'!AG17</f>
        <v>-49.991999999999997</v>
      </c>
      <c r="AH23" s="49">
        <f>'P&amp;L'!AH17</f>
        <v>-56.402999999999999</v>
      </c>
      <c r="AI23" s="49">
        <f>'P&amp;L'!AI17</f>
        <v>-72.536000000000001</v>
      </c>
      <c r="AJ23" s="49">
        <f>'P&amp;L'!AJ17</f>
        <v>-53.167000000000002</v>
      </c>
      <c r="AK23" s="49">
        <f>'P&amp;L'!AK17</f>
        <v>-70.959999999999994</v>
      </c>
      <c r="AL23" s="49">
        <f>'P&amp;L'!AL17</f>
        <v>-54.509</v>
      </c>
      <c r="AM23" s="49">
        <f>'P&amp;L'!AM17</f>
        <v>-77.388000000000005</v>
      </c>
      <c r="AN23" s="49">
        <f>'P&amp;L'!AN17</f>
        <v>-61.578000000000003</v>
      </c>
      <c r="AO23" s="49">
        <f>'P&amp;L'!AO17</f>
        <v>-59.019999999999996</v>
      </c>
      <c r="AP23" s="49">
        <f>'P&amp;L'!AP17</f>
        <v>-58.517000000000003</v>
      </c>
      <c r="AQ23" s="49">
        <f>'P&amp;L'!AQ17</f>
        <v>-59.484999999999985</v>
      </c>
      <c r="AR23" s="49">
        <f>'P&amp;L'!AR17</f>
        <v>-68.900000000000006</v>
      </c>
      <c r="AS23" s="49">
        <v>-73.5</v>
      </c>
      <c r="AT23" s="49">
        <v>-71.599999999999994</v>
      </c>
      <c r="AU23" s="49">
        <v>-78.899999999999977</v>
      </c>
      <c r="AV23" s="49">
        <v>-77.3</v>
      </c>
      <c r="AW23" s="49">
        <v>-78.885000000000005</v>
      </c>
      <c r="AX23" s="49">
        <v>-80.273000000000025</v>
      </c>
      <c r="AY23" s="49">
        <v>-75.069999999999993</v>
      </c>
      <c r="AZ23" s="49">
        <v>-75.069999999999993</v>
      </c>
      <c r="BA23" s="49">
        <v>-89.871999999999986</v>
      </c>
      <c r="BB23" s="49">
        <v>-96.757999999999996</v>
      </c>
      <c r="BC23" s="49">
        <v>-90.215999999999994</v>
      </c>
      <c r="BD23" s="49">
        <v>-109.021</v>
      </c>
      <c r="BE23" s="49">
        <v>-97.397999999999996</v>
      </c>
      <c r="BF23" s="49">
        <v>-114.09699999999999</v>
      </c>
      <c r="BG23" s="49">
        <v>-122.681</v>
      </c>
      <c r="BH23" s="49">
        <v>-125.499</v>
      </c>
      <c r="BI23" s="49">
        <v>-127.203</v>
      </c>
      <c r="BJ23" s="49">
        <v>-177.17500000000001</v>
      </c>
      <c r="BK23" s="49">
        <v>-156.727</v>
      </c>
      <c r="BL23" s="49">
        <v>-157.5</v>
      </c>
      <c r="BM23" s="49">
        <v>-138.81299999999999</v>
      </c>
      <c r="BN23" s="49">
        <v>-151.53800000000001</v>
      </c>
      <c r="BO23" s="49">
        <v>-138.33399999999995</v>
      </c>
      <c r="BP23" s="49">
        <v>-143.71799999999999</v>
      </c>
      <c r="BQ23" s="49">
        <v>-161.71299999999999</v>
      </c>
      <c r="BR23" s="49">
        <v>-160.624</v>
      </c>
      <c r="BS23" s="49">
        <v>-143.13800000000003</v>
      </c>
      <c r="BT23" s="49">
        <v>-150.636</v>
      </c>
      <c r="BU23" s="49">
        <v>-166.173</v>
      </c>
      <c r="BV23" s="49"/>
      <c r="BW23" s="49">
        <f>'P&amp;L'!BW17</f>
        <v>-37.097000000000001</v>
      </c>
      <c r="BX23" s="49">
        <f>'P&amp;L'!BX17</f>
        <v>-43.045000000000002</v>
      </c>
      <c r="BY23" s="49">
        <f>'P&amp;L'!BY17</f>
        <v>-44.573</v>
      </c>
      <c r="BZ23" s="49">
        <f>'P&amp;L'!BZ17</f>
        <v>-65.281999999999996</v>
      </c>
      <c r="CA23" s="49">
        <f>'P&amp;L'!CA17</f>
        <v>-96.408000000000001</v>
      </c>
      <c r="CB23" s="49">
        <f>'P&amp;L'!CB17</f>
        <v>-124.624</v>
      </c>
      <c r="CC23" s="49">
        <f>'P&amp;L'!CC17</f>
        <v>-162.13200000000001</v>
      </c>
      <c r="CD23" s="49">
        <f>'P&amp;L'!CD17</f>
        <v>-173.90700000000001</v>
      </c>
      <c r="CE23" s="49">
        <f>'P&amp;L'!CE17</f>
        <v>-227.08099999999999</v>
      </c>
      <c r="CF23" s="49">
        <f>'P&amp;L'!CF17</f>
        <v>-256.024</v>
      </c>
      <c r="CG23" s="49">
        <f>'P&amp;L'!CG17</f>
        <v>-238.6</v>
      </c>
      <c r="CH23" s="49">
        <f>'P&amp;L'!CH17</f>
        <v>-292.89999999999998</v>
      </c>
      <c r="CI23" s="49">
        <f>'P&amp;L'!CI17</f>
        <v>-311.52800000000002</v>
      </c>
      <c r="CJ23" s="49">
        <v>-360.858</v>
      </c>
      <c r="CK23" s="49">
        <v>-443.197</v>
      </c>
      <c r="CL23" s="49">
        <f>SUM(BH23:BK23)</f>
        <v>-586.60400000000004</v>
      </c>
      <c r="CM23" s="49">
        <f>SUM(BL23:BO23)</f>
        <v>-586.18499999999995</v>
      </c>
      <c r="CN23" s="49">
        <f>SUM(BP23:BS23)</f>
        <v>-609.19299999999998</v>
      </c>
    </row>
    <row r="24" spans="1:92" s="18" customFormat="1" x14ac:dyDescent="0.35">
      <c r="B24" s="46"/>
      <c r="C24" s="71"/>
      <c r="D24" s="71"/>
      <c r="E24" s="49"/>
      <c r="F24" s="49"/>
      <c r="G24" s="49"/>
      <c r="H24" s="71"/>
      <c r="I24" s="49"/>
      <c r="J24" s="49"/>
      <c r="K24" s="49"/>
      <c r="L24" s="71"/>
      <c r="M24" s="49"/>
      <c r="N24" s="49"/>
      <c r="O24" s="49"/>
      <c r="P24" s="71"/>
      <c r="Q24" s="49"/>
      <c r="R24" s="49"/>
      <c r="S24" s="49"/>
      <c r="T24" s="71"/>
      <c r="U24" s="49"/>
      <c r="V24" s="49"/>
      <c r="W24" s="49"/>
      <c r="X24" s="71"/>
      <c r="Y24" s="49"/>
      <c r="Z24" s="49"/>
      <c r="AA24" s="49"/>
      <c r="AB24" s="71"/>
      <c r="AC24" s="49"/>
      <c r="AD24" s="49"/>
      <c r="AE24" s="49"/>
      <c r="AF24" s="71"/>
      <c r="AG24" s="49"/>
      <c r="AH24" s="49"/>
      <c r="AI24" s="49"/>
      <c r="AJ24" s="71"/>
      <c r="AK24" s="49"/>
      <c r="AL24" s="49"/>
      <c r="AM24" s="49"/>
      <c r="AN24" s="71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</row>
    <row r="25" spans="1:92" s="18" customFormat="1" x14ac:dyDescent="0.35">
      <c r="A25" s="6"/>
      <c r="B25" s="23" t="str">
        <f>IF(Control!$D$5=1,"Expenses by Nature","Despesas por Natureza")</f>
        <v>Despesas por Natureza</v>
      </c>
      <c r="C25" s="98">
        <f t="shared" ref="C25:BN25" si="24">SUM(C26:C34)</f>
        <v>0</v>
      </c>
      <c r="D25" s="98">
        <f t="shared" si="24"/>
        <v>0</v>
      </c>
      <c r="E25" s="98">
        <f t="shared" si="24"/>
        <v>0</v>
      </c>
      <c r="F25" s="98">
        <f t="shared" si="24"/>
        <v>0</v>
      </c>
      <c r="G25" s="98">
        <f t="shared" si="24"/>
        <v>0</v>
      </c>
      <c r="H25" s="98">
        <f t="shared" si="24"/>
        <v>0</v>
      </c>
      <c r="I25" s="98">
        <f t="shared" si="24"/>
        <v>0</v>
      </c>
      <c r="J25" s="98">
        <f t="shared" si="24"/>
        <v>0</v>
      </c>
      <c r="K25" s="98">
        <f t="shared" si="24"/>
        <v>0</v>
      </c>
      <c r="L25" s="98">
        <f t="shared" si="24"/>
        <v>0</v>
      </c>
      <c r="M25" s="98">
        <f t="shared" si="24"/>
        <v>0</v>
      </c>
      <c r="N25" s="98">
        <f t="shared" si="24"/>
        <v>0</v>
      </c>
      <c r="O25" s="98">
        <f t="shared" si="24"/>
        <v>0</v>
      </c>
      <c r="P25" s="98">
        <f t="shared" si="24"/>
        <v>0</v>
      </c>
      <c r="Q25" s="98">
        <f t="shared" si="24"/>
        <v>0</v>
      </c>
      <c r="R25" s="98">
        <f t="shared" si="24"/>
        <v>0</v>
      </c>
      <c r="S25" s="98">
        <f t="shared" si="24"/>
        <v>0</v>
      </c>
      <c r="T25" s="98">
        <f t="shared" si="24"/>
        <v>0</v>
      </c>
      <c r="U25" s="98">
        <f t="shared" si="24"/>
        <v>0</v>
      </c>
      <c r="V25" s="98">
        <f t="shared" si="24"/>
        <v>0</v>
      </c>
      <c r="W25" s="98">
        <f t="shared" si="24"/>
        <v>0</v>
      </c>
      <c r="X25" s="98">
        <f t="shared" si="24"/>
        <v>0</v>
      </c>
      <c r="Y25" s="98">
        <f t="shared" si="24"/>
        <v>0</v>
      </c>
      <c r="Z25" s="98">
        <f t="shared" si="24"/>
        <v>0</v>
      </c>
      <c r="AA25" s="98">
        <f t="shared" si="24"/>
        <v>0</v>
      </c>
      <c r="AB25" s="98">
        <f t="shared" si="24"/>
        <v>0</v>
      </c>
      <c r="AC25" s="98">
        <f t="shared" si="24"/>
        <v>0</v>
      </c>
      <c r="AD25" s="98">
        <f t="shared" si="24"/>
        <v>0</v>
      </c>
      <c r="AE25" s="98">
        <f t="shared" si="24"/>
        <v>0</v>
      </c>
      <c r="AF25" s="98">
        <f t="shared" si="24"/>
        <v>0</v>
      </c>
      <c r="AG25" s="98">
        <f t="shared" si="24"/>
        <v>0</v>
      </c>
      <c r="AH25" s="98">
        <f t="shared" si="24"/>
        <v>0</v>
      </c>
      <c r="AI25" s="98">
        <f t="shared" si="24"/>
        <v>0</v>
      </c>
      <c r="AJ25" s="98">
        <f t="shared" si="24"/>
        <v>0</v>
      </c>
      <c r="AK25" s="98">
        <f t="shared" si="24"/>
        <v>0</v>
      </c>
      <c r="AL25" s="98">
        <f t="shared" si="24"/>
        <v>0</v>
      </c>
      <c r="AM25" s="98">
        <f t="shared" si="24"/>
        <v>-1195.2</v>
      </c>
      <c r="AN25" s="98">
        <f t="shared" si="24"/>
        <v>-1123.3000000000002</v>
      </c>
      <c r="AO25" s="98">
        <f t="shared" si="24"/>
        <v>-1080.75</v>
      </c>
      <c r="AP25" s="98">
        <f t="shared" si="24"/>
        <v>-1061.3</v>
      </c>
      <c r="AQ25" s="98">
        <f t="shared" si="24"/>
        <v>-1029.5</v>
      </c>
      <c r="AR25" s="98">
        <f t="shared" si="24"/>
        <v>-944.1</v>
      </c>
      <c r="AS25" s="98">
        <f t="shared" si="24"/>
        <v>-1056.4000000000001</v>
      </c>
      <c r="AT25" s="98">
        <f t="shared" si="24"/>
        <v>-1178</v>
      </c>
      <c r="AU25" s="98">
        <f t="shared" si="24"/>
        <v>-1272.5999999999999</v>
      </c>
      <c r="AV25" s="98">
        <f t="shared" si="24"/>
        <v>-1188.8</v>
      </c>
      <c r="AW25" s="98">
        <f t="shared" si="24"/>
        <v>-1167.547</v>
      </c>
      <c r="AX25" s="98">
        <f t="shared" si="24"/>
        <v>-1345.0860000000005</v>
      </c>
      <c r="AY25" s="98">
        <f t="shared" si="24"/>
        <v>-1403.144</v>
      </c>
      <c r="AZ25" s="98">
        <f t="shared" si="24"/>
        <v>-1551.672</v>
      </c>
      <c r="BA25" s="98">
        <f t="shared" si="24"/>
        <v>-1756.375</v>
      </c>
      <c r="BB25" s="98">
        <f t="shared" si="24"/>
        <v>-1799.1650000000002</v>
      </c>
      <c r="BC25" s="98">
        <f t="shared" si="24"/>
        <v>-1735.722</v>
      </c>
      <c r="BD25" s="98">
        <f t="shared" si="24"/>
        <v>-2105.7940000000003</v>
      </c>
      <c r="BE25" s="98">
        <f t="shared" si="24"/>
        <v>-2072.6990000000001</v>
      </c>
      <c r="BF25" s="98">
        <f t="shared" si="24"/>
        <v>-2121.1099999999997</v>
      </c>
      <c r="BG25" s="98">
        <f t="shared" si="24"/>
        <v>-2188.8220000000001</v>
      </c>
      <c r="BH25" s="98">
        <f t="shared" si="24"/>
        <v>-2208.1079406999993</v>
      </c>
      <c r="BI25" s="98">
        <f t="shared" si="24"/>
        <v>-2545.2727873100002</v>
      </c>
      <c r="BJ25" s="98">
        <f t="shared" si="24"/>
        <v>-2532.9182623400002</v>
      </c>
      <c r="BK25" s="98">
        <f t="shared" si="24"/>
        <v>-2446.2330481399999</v>
      </c>
      <c r="BL25" s="98">
        <f t="shared" si="24"/>
        <v>-2542.373</v>
      </c>
      <c r="BM25" s="98">
        <f t="shared" si="24"/>
        <v>-2770.944</v>
      </c>
      <c r="BN25" s="98">
        <f t="shared" si="24"/>
        <v>-2849.1939999999991</v>
      </c>
      <c r="BO25" s="98">
        <f t="shared" ref="BO25:BU25" si="25">SUM(BO26:BO34)</f>
        <v>-2493.3510000000006</v>
      </c>
      <c r="BP25" s="98">
        <f t="shared" si="25"/>
        <v>-2713.1990000000005</v>
      </c>
      <c r="BQ25" s="98">
        <f t="shared" si="25"/>
        <v>-3041.1899999999996</v>
      </c>
      <c r="BR25" s="98">
        <f t="shared" si="25"/>
        <v>-3017.6550000000007</v>
      </c>
      <c r="BS25" s="98">
        <f t="shared" si="25"/>
        <v>-2904.0209999999993</v>
      </c>
      <c r="BT25" s="98">
        <f t="shared" si="25"/>
        <v>-2524.3520000000003</v>
      </c>
      <c r="BU25" s="98">
        <f t="shared" si="25"/>
        <v>-2803.8339999999998</v>
      </c>
      <c r="BV25" s="98"/>
      <c r="BW25" s="98">
        <f t="shared" ref="BW25:CN25" si="26">SUM(BW26:BW33)</f>
        <v>0</v>
      </c>
      <c r="BX25" s="98">
        <f t="shared" si="26"/>
        <v>0</v>
      </c>
      <c r="BY25" s="98">
        <f t="shared" si="26"/>
        <v>0</v>
      </c>
      <c r="BZ25" s="98">
        <f t="shared" si="26"/>
        <v>0</v>
      </c>
      <c r="CA25" s="98">
        <f t="shared" si="26"/>
        <v>0</v>
      </c>
      <c r="CB25" s="98">
        <f t="shared" si="26"/>
        <v>0</v>
      </c>
      <c r="CC25" s="98">
        <f t="shared" si="26"/>
        <v>-3088.7620000000002</v>
      </c>
      <c r="CD25" s="98">
        <f t="shared" si="26"/>
        <v>-3182.4030000000002</v>
      </c>
      <c r="CE25" s="98">
        <f t="shared" si="26"/>
        <v>-3540.3910000000001</v>
      </c>
      <c r="CF25" s="98">
        <f t="shared" si="26"/>
        <v>-4107.3999999999996</v>
      </c>
      <c r="CG25" s="98">
        <f t="shared" si="26"/>
        <v>-3883.4</v>
      </c>
      <c r="CH25" s="98">
        <f t="shared" si="26"/>
        <v>-4190.7529999999997</v>
      </c>
      <c r="CI25" s="98">
        <f t="shared" si="26"/>
        <v>-4780.6289999999999</v>
      </c>
      <c r="CJ25" s="98">
        <f t="shared" si="26"/>
        <v>-6512.7610000000004</v>
      </c>
      <c r="CK25" s="98">
        <f t="shared" si="26"/>
        <v>-8167.7890000000007</v>
      </c>
      <c r="CL25" s="98">
        <f t="shared" si="26"/>
        <v>-9410.9248655899992</v>
      </c>
      <c r="CM25" s="98">
        <f t="shared" si="26"/>
        <v>-10249.358</v>
      </c>
      <c r="CN25" s="98">
        <f t="shared" si="26"/>
        <v>-11308.654</v>
      </c>
    </row>
    <row r="26" spans="1:92" s="18" customFormat="1" x14ac:dyDescent="0.35">
      <c r="B26" s="10" t="str">
        <f>IF(Control!$D$5=1,"Depreciation and Amortization","Depreciação e Amortização")</f>
        <v>Depreciação e Amortização</v>
      </c>
      <c r="C26" s="99">
        <v>0</v>
      </c>
      <c r="D26" s="178" t="s">
        <v>3</v>
      </c>
      <c r="E26" s="178" t="s">
        <v>3</v>
      </c>
      <c r="F26" s="178" t="s">
        <v>3</v>
      </c>
      <c r="G26" s="178" t="s">
        <v>3</v>
      </c>
      <c r="H26" s="178" t="s">
        <v>3</v>
      </c>
      <c r="I26" s="178" t="s">
        <v>3</v>
      </c>
      <c r="J26" s="178" t="s">
        <v>3</v>
      </c>
      <c r="K26" s="178" t="s">
        <v>3</v>
      </c>
      <c r="L26" s="178" t="s">
        <v>3</v>
      </c>
      <c r="M26" s="178" t="s">
        <v>3</v>
      </c>
      <c r="N26" s="178" t="s">
        <v>3</v>
      </c>
      <c r="O26" s="178" t="s">
        <v>3</v>
      </c>
      <c r="P26" s="178" t="s">
        <v>3</v>
      </c>
      <c r="Q26" s="178" t="s">
        <v>3</v>
      </c>
      <c r="R26" s="178" t="s">
        <v>3</v>
      </c>
      <c r="S26" s="178" t="s">
        <v>3</v>
      </c>
      <c r="T26" s="178" t="s">
        <v>3</v>
      </c>
      <c r="U26" s="178" t="s">
        <v>3</v>
      </c>
      <c r="V26" s="178" t="s">
        <v>3</v>
      </c>
      <c r="W26" s="178" t="s">
        <v>3</v>
      </c>
      <c r="X26" s="178" t="s">
        <v>3</v>
      </c>
      <c r="Y26" s="178" t="s">
        <v>3</v>
      </c>
      <c r="Z26" s="178" t="s">
        <v>3</v>
      </c>
      <c r="AA26" s="178" t="s">
        <v>3</v>
      </c>
      <c r="AB26" s="178" t="s">
        <v>3</v>
      </c>
      <c r="AC26" s="178" t="s">
        <v>3</v>
      </c>
      <c r="AD26" s="178" t="s">
        <v>3</v>
      </c>
      <c r="AE26" s="178" t="s">
        <v>3</v>
      </c>
      <c r="AF26" s="178" t="s">
        <v>3</v>
      </c>
      <c r="AG26" s="178" t="s">
        <v>3</v>
      </c>
      <c r="AH26" s="178" t="s">
        <v>3</v>
      </c>
      <c r="AI26" s="178" t="s">
        <v>3</v>
      </c>
      <c r="AJ26" s="178" t="s">
        <v>3</v>
      </c>
      <c r="AK26" s="178" t="s">
        <v>3</v>
      </c>
      <c r="AL26" s="178" t="s">
        <v>3</v>
      </c>
      <c r="AM26" s="178">
        <v>-20.9</v>
      </c>
      <c r="AN26" s="72">
        <v>-21.3</v>
      </c>
      <c r="AO26" s="178">
        <v>-22.5</v>
      </c>
      <c r="AP26" s="178">
        <v>-23.2</v>
      </c>
      <c r="AQ26" s="110">
        <v>-23.2</v>
      </c>
      <c r="AR26" s="110">
        <v>-24.7</v>
      </c>
      <c r="AS26" s="110">
        <v>-25.599999999999998</v>
      </c>
      <c r="AT26" s="110">
        <v>-23.8</v>
      </c>
      <c r="AU26" s="110">
        <f>-101.416-SUM(AR26:AT26)</f>
        <v>-27.316000000000003</v>
      </c>
      <c r="AV26" s="110">
        <v>-33.700000000000003</v>
      </c>
      <c r="AW26" s="110">
        <v>-33.756999999999998</v>
      </c>
      <c r="AX26" s="110">
        <v>-27.783000000000001</v>
      </c>
      <c r="AY26" s="110">
        <v>-31.169</v>
      </c>
      <c r="AZ26" s="110">
        <v>-41</v>
      </c>
      <c r="BA26" s="110">
        <v>-23.418000000000006</v>
      </c>
      <c r="BB26" s="110">
        <v>-32.353999999999999</v>
      </c>
      <c r="BC26" s="110">
        <v>-31.951000000000001</v>
      </c>
      <c r="BD26" s="110">
        <v>-41.125999999999998</v>
      </c>
      <c r="BE26" s="110">
        <v>-40.590000000000003</v>
      </c>
      <c r="BF26" s="110">
        <v>-41.858999999999995</v>
      </c>
      <c r="BG26" s="110">
        <v>-42.823999999999998</v>
      </c>
      <c r="BH26" s="110">
        <v>-54.600940699999995</v>
      </c>
      <c r="BI26" s="110">
        <v>-53.7</v>
      </c>
      <c r="BJ26" s="110">
        <v>-58.941831569999998</v>
      </c>
      <c r="BK26" s="110">
        <v>-66.721000000000004</v>
      </c>
      <c r="BL26" s="58">
        <v>-64.83</v>
      </c>
      <c r="BM26" s="58">
        <f>-55.859-9.372</f>
        <v>-65.230999999999995</v>
      </c>
      <c r="BN26" s="58">
        <v>-66.349999999999994</v>
      </c>
      <c r="BO26" s="58">
        <v>-65.53600000000003</v>
      </c>
      <c r="BP26" s="49">
        <v>-64.861999999999995</v>
      </c>
      <c r="BQ26" s="49">
        <f>-53.142-12.986</f>
        <v>-66.128</v>
      </c>
      <c r="BR26" s="49">
        <v>-68.266999999999996</v>
      </c>
      <c r="BS26" s="49">
        <v>-67.019000000000005</v>
      </c>
      <c r="BT26" s="49">
        <v>-66.87</v>
      </c>
      <c r="BU26" s="49">
        <v>-66.899000000000001</v>
      </c>
      <c r="BV26" s="188"/>
      <c r="BW26" s="69" t="s">
        <v>3</v>
      </c>
      <c r="BX26" s="69" t="s">
        <v>3</v>
      </c>
      <c r="BY26" s="69" t="s">
        <v>3</v>
      </c>
      <c r="BZ26" s="69" t="s">
        <v>3</v>
      </c>
      <c r="CA26" s="69" t="s">
        <v>3</v>
      </c>
      <c r="CB26" s="69" t="s">
        <v>3</v>
      </c>
      <c r="CC26" s="49">
        <f>-'P&amp;L'!CC39</f>
        <v>-76.430000000000007</v>
      </c>
      <c r="CD26" s="49">
        <f>-'P&amp;L'!CD39</f>
        <v>-76.263000000000005</v>
      </c>
      <c r="CE26" s="49">
        <f>-'P&amp;L'!CE39</f>
        <v>-85.75500000000001</v>
      </c>
      <c r="CF26" s="49">
        <v>-86.6</v>
      </c>
      <c r="CG26" s="49">
        <v>-90.2</v>
      </c>
      <c r="CH26" s="110">
        <f>-101.416</f>
        <v>-101.416</v>
      </c>
      <c r="CI26" s="110">
        <v>-126.40899999999999</v>
      </c>
      <c r="CJ26" s="110">
        <v>-128.71700000000001</v>
      </c>
      <c r="CK26" s="110">
        <v>-166.399</v>
      </c>
      <c r="CL26" s="49">
        <f t="shared" ref="CL26:CL33" si="27">SUM(BH26:BK26)</f>
        <v>-233.96377226999999</v>
      </c>
      <c r="CM26" s="49">
        <f t="shared" ref="CM26:CM33" si="28">SUM(BL26:BO26)</f>
        <v>-261.947</v>
      </c>
      <c r="CN26" s="49">
        <f t="shared" ref="CN26:CN33" si="29">SUM(BP26:BS26)</f>
        <v>-266.27600000000001</v>
      </c>
    </row>
    <row r="27" spans="1:92" s="18" customFormat="1" x14ac:dyDescent="0.35">
      <c r="B27" s="29" t="str">
        <f>IF(Control!$D$5=1,"Employee Expenses","Despesas com Pessoal")</f>
        <v>Despesas com Pessoal</v>
      </c>
      <c r="C27" s="99">
        <v>0</v>
      </c>
      <c r="D27" s="72" t="s">
        <v>3</v>
      </c>
      <c r="E27" s="178" t="s">
        <v>3</v>
      </c>
      <c r="F27" s="178" t="s">
        <v>3</v>
      </c>
      <c r="G27" s="178" t="s">
        <v>3</v>
      </c>
      <c r="H27" s="72" t="s">
        <v>3</v>
      </c>
      <c r="I27" s="178" t="s">
        <v>3</v>
      </c>
      <c r="J27" s="178" t="s">
        <v>3</v>
      </c>
      <c r="K27" s="178" t="s">
        <v>3</v>
      </c>
      <c r="L27" s="72" t="s">
        <v>3</v>
      </c>
      <c r="M27" s="178" t="s">
        <v>3</v>
      </c>
      <c r="N27" s="178" t="s">
        <v>3</v>
      </c>
      <c r="O27" s="178" t="s">
        <v>3</v>
      </c>
      <c r="P27" s="72" t="s">
        <v>3</v>
      </c>
      <c r="Q27" s="178" t="s">
        <v>3</v>
      </c>
      <c r="R27" s="178" t="s">
        <v>3</v>
      </c>
      <c r="S27" s="178" t="s">
        <v>3</v>
      </c>
      <c r="T27" s="72" t="s">
        <v>3</v>
      </c>
      <c r="U27" s="178" t="s">
        <v>3</v>
      </c>
      <c r="V27" s="178" t="s">
        <v>3</v>
      </c>
      <c r="W27" s="178" t="s">
        <v>3</v>
      </c>
      <c r="X27" s="72" t="s">
        <v>3</v>
      </c>
      <c r="Y27" s="178" t="s">
        <v>3</v>
      </c>
      <c r="Z27" s="178" t="s">
        <v>3</v>
      </c>
      <c r="AA27" s="178" t="s">
        <v>3</v>
      </c>
      <c r="AB27" s="72" t="s">
        <v>3</v>
      </c>
      <c r="AC27" s="178" t="s">
        <v>3</v>
      </c>
      <c r="AD27" s="178" t="s">
        <v>3</v>
      </c>
      <c r="AE27" s="178" t="s">
        <v>3</v>
      </c>
      <c r="AF27" s="72" t="s">
        <v>3</v>
      </c>
      <c r="AG27" s="178" t="s">
        <v>3</v>
      </c>
      <c r="AH27" s="178" t="s">
        <v>3</v>
      </c>
      <c r="AI27" s="178" t="s">
        <v>3</v>
      </c>
      <c r="AJ27" s="72" t="s">
        <v>3</v>
      </c>
      <c r="AK27" s="72" t="s">
        <v>3</v>
      </c>
      <c r="AL27" s="72" t="s">
        <v>3</v>
      </c>
      <c r="AM27" s="72">
        <v>-185.1</v>
      </c>
      <c r="AN27" s="178">
        <v>-120.8</v>
      </c>
      <c r="AO27" s="72">
        <v>-110.8</v>
      </c>
      <c r="AP27" s="72">
        <v>-81.599999999999994</v>
      </c>
      <c r="AQ27" s="110">
        <v>-95.4</v>
      </c>
      <c r="AR27" s="110">
        <v>-116.9</v>
      </c>
      <c r="AS27" s="110">
        <v>-113.9</v>
      </c>
      <c r="AT27" s="110">
        <v>-109.2</v>
      </c>
      <c r="AU27" s="110">
        <v>-112.6</v>
      </c>
      <c r="AV27" s="110">
        <v>-116.7</v>
      </c>
      <c r="AW27" s="110">
        <v>-110.56100000000001</v>
      </c>
      <c r="AX27" s="110">
        <v>-110.667</v>
      </c>
      <c r="AY27" s="110">
        <v>-119.423</v>
      </c>
      <c r="AZ27" s="110">
        <v>-136.834</v>
      </c>
      <c r="BA27" s="110">
        <v>-133.53199999999998</v>
      </c>
      <c r="BB27" s="110">
        <v>-132.262</v>
      </c>
      <c r="BC27" s="110">
        <v>-126.6</v>
      </c>
      <c r="BD27" s="110">
        <v>-154.697</v>
      </c>
      <c r="BE27" s="110">
        <v>-136.99600000000001</v>
      </c>
      <c r="BF27" s="110">
        <v>-148.964</v>
      </c>
      <c r="BG27" s="110">
        <v>-145.82</v>
      </c>
      <c r="BH27" s="110">
        <v>-194.37</v>
      </c>
      <c r="BI27" s="110">
        <v>-187.05799999999999</v>
      </c>
      <c r="BJ27" s="110">
        <v>-192.13879365</v>
      </c>
      <c r="BK27" s="110">
        <v>-202.73720634999998</v>
      </c>
      <c r="BL27" s="58">
        <v>-230.71</v>
      </c>
      <c r="BM27" s="58">
        <v>-213.25899999999999</v>
      </c>
      <c r="BN27" s="58">
        <v>-210.50200000000001</v>
      </c>
      <c r="BO27" s="58">
        <v>-197.24099999999999</v>
      </c>
      <c r="BP27" s="49">
        <v>-226.363</v>
      </c>
      <c r="BQ27" s="49">
        <v>-227.04900000000001</v>
      </c>
      <c r="BR27" s="49">
        <v>-226.399</v>
      </c>
      <c r="BS27" s="49">
        <v>-219.28699999999992</v>
      </c>
      <c r="BT27" s="49">
        <v>-260.66899999999998</v>
      </c>
      <c r="BU27" s="49">
        <v>-237.827</v>
      </c>
      <c r="BV27" s="187"/>
      <c r="BW27" s="69" t="s">
        <v>3</v>
      </c>
      <c r="BX27" s="69" t="s">
        <v>3</v>
      </c>
      <c r="BY27" s="69" t="s">
        <v>3</v>
      </c>
      <c r="BZ27" s="69" t="s">
        <v>3</v>
      </c>
      <c r="CA27" s="69" t="s">
        <v>3</v>
      </c>
      <c r="CB27" s="69" t="s">
        <v>3</v>
      </c>
      <c r="CC27" s="49">
        <v>-289.52499999999998</v>
      </c>
      <c r="CD27" s="49">
        <v>-315.28399999999999</v>
      </c>
      <c r="CE27" s="49">
        <v>-392.44799999999998</v>
      </c>
      <c r="CF27" s="49">
        <v>-427.7</v>
      </c>
      <c r="CG27" s="49">
        <v>-420.9</v>
      </c>
      <c r="CH27" s="110">
        <f>-450.738</f>
        <v>-450.738</v>
      </c>
      <c r="CI27" s="110">
        <v>-457.351</v>
      </c>
      <c r="CJ27" s="110">
        <v>-529.17999999999995</v>
      </c>
      <c r="CK27" s="110">
        <v>-586.47699999999998</v>
      </c>
      <c r="CL27" s="49">
        <f t="shared" si="27"/>
        <v>-776.30399999999997</v>
      </c>
      <c r="CM27" s="49">
        <f t="shared" si="28"/>
        <v>-851.71199999999999</v>
      </c>
      <c r="CN27" s="49">
        <f t="shared" si="29"/>
        <v>-899.09799999999996</v>
      </c>
    </row>
    <row r="28" spans="1:92" s="18" customFormat="1" x14ac:dyDescent="0.35">
      <c r="B28" s="29" t="str">
        <f>IF(Control!$D$5=1,"Raw Materials","Matéria Prima e Materiais")</f>
        <v>Matéria Prima e Materiais</v>
      </c>
      <c r="C28" s="99">
        <v>0</v>
      </c>
      <c r="D28" s="72" t="s">
        <v>3</v>
      </c>
      <c r="E28" s="178" t="s">
        <v>3</v>
      </c>
      <c r="F28" s="178" t="s">
        <v>3</v>
      </c>
      <c r="G28" s="178" t="s">
        <v>3</v>
      </c>
      <c r="H28" s="72" t="s">
        <v>3</v>
      </c>
      <c r="I28" s="178" t="s">
        <v>3</v>
      </c>
      <c r="J28" s="178" t="s">
        <v>3</v>
      </c>
      <c r="K28" s="178" t="s">
        <v>3</v>
      </c>
      <c r="L28" s="72" t="s">
        <v>3</v>
      </c>
      <c r="M28" s="178" t="s">
        <v>3</v>
      </c>
      <c r="N28" s="178" t="s">
        <v>3</v>
      </c>
      <c r="O28" s="178" t="s">
        <v>3</v>
      </c>
      <c r="P28" s="72" t="s">
        <v>3</v>
      </c>
      <c r="Q28" s="178" t="s">
        <v>3</v>
      </c>
      <c r="R28" s="178" t="s">
        <v>3</v>
      </c>
      <c r="S28" s="178" t="s">
        <v>3</v>
      </c>
      <c r="T28" s="72" t="s">
        <v>3</v>
      </c>
      <c r="U28" s="178" t="s">
        <v>3</v>
      </c>
      <c r="V28" s="178" t="s">
        <v>3</v>
      </c>
      <c r="W28" s="178" t="s">
        <v>3</v>
      </c>
      <c r="X28" s="72" t="s">
        <v>3</v>
      </c>
      <c r="Y28" s="178" t="s">
        <v>3</v>
      </c>
      <c r="Z28" s="178" t="s">
        <v>3</v>
      </c>
      <c r="AA28" s="178" t="s">
        <v>3</v>
      </c>
      <c r="AB28" s="72" t="s">
        <v>3</v>
      </c>
      <c r="AC28" s="178" t="s">
        <v>3</v>
      </c>
      <c r="AD28" s="178" t="s">
        <v>3</v>
      </c>
      <c r="AE28" s="178" t="s">
        <v>3</v>
      </c>
      <c r="AF28" s="72" t="s">
        <v>3</v>
      </c>
      <c r="AG28" s="178" t="s">
        <v>3</v>
      </c>
      <c r="AH28" s="178" t="s">
        <v>3</v>
      </c>
      <c r="AI28" s="178" t="s">
        <v>3</v>
      </c>
      <c r="AJ28" s="72" t="s">
        <v>3</v>
      </c>
      <c r="AK28" s="72" t="s">
        <v>3</v>
      </c>
      <c r="AL28" s="72" t="s">
        <v>3</v>
      </c>
      <c r="AM28" s="72">
        <v>-698.1</v>
      </c>
      <c r="AN28" s="178">
        <v>-736.7</v>
      </c>
      <c r="AO28" s="190">
        <v>-736.3</v>
      </c>
      <c r="AP28" s="72">
        <v>-763.5</v>
      </c>
      <c r="AQ28" s="110">
        <v>-705</v>
      </c>
      <c r="AR28" s="110">
        <v>-587.9</v>
      </c>
      <c r="AS28" s="110">
        <v>-691.30000000000007</v>
      </c>
      <c r="AT28" s="110">
        <v>-796.7</v>
      </c>
      <c r="AU28" s="110">
        <v>-860.7</v>
      </c>
      <c r="AV28" s="110">
        <v>-785.8</v>
      </c>
      <c r="AW28" s="110">
        <v>-769.68100000000004</v>
      </c>
      <c r="AX28" s="110">
        <v>-898.71800000000007</v>
      </c>
      <c r="AY28" s="110">
        <v>-943.71699999999998</v>
      </c>
      <c r="AZ28" s="110">
        <v>-1122.0119999999999</v>
      </c>
      <c r="BA28" s="110">
        <v>-1290.8509999999999</v>
      </c>
      <c r="BB28" s="110">
        <v>-1307.373</v>
      </c>
      <c r="BC28" s="110">
        <v>-1276.1020000000001</v>
      </c>
      <c r="BD28" s="110">
        <v>-1611.702</v>
      </c>
      <c r="BE28" s="110">
        <v>-1589.364</v>
      </c>
      <c r="BF28" s="110">
        <v>-1549.33</v>
      </c>
      <c r="BG28" s="110">
        <v>-1615.575</v>
      </c>
      <c r="BH28" s="110">
        <v>-1604.9079999999999</v>
      </c>
      <c r="BI28" s="110">
        <v>-1884.2217873100001</v>
      </c>
      <c r="BJ28" s="110">
        <v>-1840.9717661599996</v>
      </c>
      <c r="BK28" s="110">
        <v>-1775.3389999999999</v>
      </c>
      <c r="BL28" s="58">
        <v>-1811.568</v>
      </c>
      <c r="BM28" s="58">
        <v>-2035.854</v>
      </c>
      <c r="BN28" s="58">
        <v>-2082.7559999999999</v>
      </c>
      <c r="BO28" s="58">
        <v>-1821.71</v>
      </c>
      <c r="BP28" s="49">
        <v>-1954.374</v>
      </c>
      <c r="BQ28" s="49">
        <v>-2259.672</v>
      </c>
      <c r="BR28" s="49">
        <v>-2277.5030000000002</v>
      </c>
      <c r="BS28" s="49">
        <v>-2130.7469999999994</v>
      </c>
      <c r="BT28" s="49">
        <v>-1735.346</v>
      </c>
      <c r="BU28" s="49">
        <v>-1992.201</v>
      </c>
      <c r="BV28" s="187"/>
      <c r="BW28" s="69" t="s">
        <v>3</v>
      </c>
      <c r="BX28" s="69" t="s">
        <v>3</v>
      </c>
      <c r="BY28" s="69" t="s">
        <v>3</v>
      </c>
      <c r="BZ28" s="69" t="s">
        <v>3</v>
      </c>
      <c r="CA28" s="69" t="s">
        <v>3</v>
      </c>
      <c r="CB28" s="69" t="s">
        <v>3</v>
      </c>
      <c r="CC28" s="49">
        <v>-2247.0230000000001</v>
      </c>
      <c r="CD28" s="49">
        <v>-2329.8510000000001</v>
      </c>
      <c r="CE28" s="49">
        <v>-2660.694</v>
      </c>
      <c r="CF28" s="49">
        <v>-3175.5</v>
      </c>
      <c r="CG28" s="49">
        <v>-2923</v>
      </c>
      <c r="CH28" s="110">
        <f>-2936.865</f>
        <v>-2936.8649999999998</v>
      </c>
      <c r="CI28" s="110">
        <v>-3397.9160000000002</v>
      </c>
      <c r="CJ28" s="110">
        <v>-4996.09</v>
      </c>
      <c r="CK28" s="110">
        <v>-6365.9709999999995</v>
      </c>
      <c r="CL28" s="49">
        <f t="shared" si="27"/>
        <v>-7105.4405534699999</v>
      </c>
      <c r="CM28" s="49">
        <f t="shared" si="28"/>
        <v>-7751.8879999999999</v>
      </c>
      <c r="CN28" s="49">
        <f t="shared" si="29"/>
        <v>-8622.2960000000003</v>
      </c>
    </row>
    <row r="29" spans="1:92" s="18" customFormat="1" x14ac:dyDescent="0.35">
      <c r="B29" s="29" t="str">
        <f>IF(Control!$D$5=1,"Shipping","Fretes")</f>
        <v>Fretes</v>
      </c>
      <c r="C29" s="99">
        <v>0</v>
      </c>
      <c r="D29" s="72" t="s">
        <v>3</v>
      </c>
      <c r="E29" s="178" t="s">
        <v>3</v>
      </c>
      <c r="F29" s="178" t="s">
        <v>3</v>
      </c>
      <c r="G29" s="178" t="s">
        <v>3</v>
      </c>
      <c r="H29" s="72" t="s">
        <v>3</v>
      </c>
      <c r="I29" s="178" t="s">
        <v>3</v>
      </c>
      <c r="J29" s="178" t="s">
        <v>3</v>
      </c>
      <c r="K29" s="178" t="s">
        <v>3</v>
      </c>
      <c r="L29" s="72" t="s">
        <v>3</v>
      </c>
      <c r="M29" s="178" t="s">
        <v>3</v>
      </c>
      <c r="N29" s="178" t="s">
        <v>3</v>
      </c>
      <c r="O29" s="178" t="s">
        <v>3</v>
      </c>
      <c r="P29" s="72" t="s">
        <v>3</v>
      </c>
      <c r="Q29" s="178" t="s">
        <v>3</v>
      </c>
      <c r="R29" s="178" t="s">
        <v>3</v>
      </c>
      <c r="S29" s="178" t="s">
        <v>3</v>
      </c>
      <c r="T29" s="72" t="s">
        <v>3</v>
      </c>
      <c r="U29" s="178" t="s">
        <v>3</v>
      </c>
      <c r="V29" s="178" t="s">
        <v>3</v>
      </c>
      <c r="W29" s="178" t="s">
        <v>3</v>
      </c>
      <c r="X29" s="72" t="s">
        <v>3</v>
      </c>
      <c r="Y29" s="178" t="s">
        <v>3</v>
      </c>
      <c r="Z29" s="178" t="s">
        <v>3</v>
      </c>
      <c r="AA29" s="178" t="s">
        <v>3</v>
      </c>
      <c r="AB29" s="72" t="s">
        <v>3</v>
      </c>
      <c r="AC29" s="178" t="s">
        <v>3</v>
      </c>
      <c r="AD29" s="178" t="s">
        <v>3</v>
      </c>
      <c r="AE29" s="178" t="s">
        <v>3</v>
      </c>
      <c r="AF29" s="72" t="s">
        <v>3</v>
      </c>
      <c r="AG29" s="178" t="s">
        <v>3</v>
      </c>
      <c r="AH29" s="178" t="s">
        <v>3</v>
      </c>
      <c r="AI29" s="178" t="s">
        <v>3</v>
      </c>
      <c r="AJ29" s="72" t="s">
        <v>3</v>
      </c>
      <c r="AK29" s="72" t="s">
        <v>3</v>
      </c>
      <c r="AL29" s="72" t="s">
        <v>3</v>
      </c>
      <c r="AM29" s="72">
        <v>-82.8</v>
      </c>
      <c r="AN29" s="178">
        <v>-100.3</v>
      </c>
      <c r="AO29" s="72">
        <v>-5.0999999999999996</v>
      </c>
      <c r="AP29" s="72">
        <v>-87.3</v>
      </c>
      <c r="AQ29" s="110">
        <v>-77.400000000000006</v>
      </c>
      <c r="AR29" s="110">
        <v>-84.1</v>
      </c>
      <c r="AS29" s="110">
        <v>-105.4</v>
      </c>
      <c r="AT29" s="110">
        <v>-95.6</v>
      </c>
      <c r="AU29" s="110">
        <v>-122.9</v>
      </c>
      <c r="AV29" s="110">
        <v>-120.3</v>
      </c>
      <c r="AW29" s="110">
        <v>-110.324</v>
      </c>
      <c r="AX29" s="110">
        <v>-112.88999999999999</v>
      </c>
      <c r="AY29" s="110">
        <v>-128.07900000000001</v>
      </c>
      <c r="AZ29" s="110">
        <v>-134.60499999999999</v>
      </c>
      <c r="BA29" s="110">
        <v>-133.11100000000002</v>
      </c>
      <c r="BB29" s="110">
        <v>-126.773</v>
      </c>
      <c r="BC29" s="110">
        <v>-107.18300000000001</v>
      </c>
      <c r="BD29" s="110">
        <v>-147.63800000000001</v>
      </c>
      <c r="BE29" s="110">
        <v>-148.69800000000001</v>
      </c>
      <c r="BF29" s="110">
        <v>-154.816</v>
      </c>
      <c r="BG29" s="110">
        <v>-165.47900000000001</v>
      </c>
      <c r="BH29" s="110">
        <v>-183.553</v>
      </c>
      <c r="BI29" s="110">
        <v>-213.01499999999999</v>
      </c>
      <c r="BJ29" s="110">
        <v>-199.28685505000001</v>
      </c>
      <c r="BK29" s="110">
        <v>-177.45189694999996</v>
      </c>
      <c r="BL29" s="58">
        <v>-211.93799999999999</v>
      </c>
      <c r="BM29" s="58">
        <v>-216.018</v>
      </c>
      <c r="BN29" s="58">
        <v>-185.30699999999999</v>
      </c>
      <c r="BO29" s="58">
        <v>-178.69599999999991</v>
      </c>
      <c r="BP29" s="49">
        <v>-224.315</v>
      </c>
      <c r="BQ29" s="49">
        <v>-240.76499999999999</v>
      </c>
      <c r="BR29" s="49">
        <v>-194.71</v>
      </c>
      <c r="BS29" s="49">
        <v>-204.48599999999999</v>
      </c>
      <c r="BT29" s="49">
        <v>-227.31299999999999</v>
      </c>
      <c r="BU29" s="49">
        <v>-251.596</v>
      </c>
      <c r="BV29" s="187"/>
      <c r="BW29" s="69" t="s">
        <v>3</v>
      </c>
      <c r="BX29" s="69" t="s">
        <v>3</v>
      </c>
      <c r="BY29" s="69" t="s">
        <v>3</v>
      </c>
      <c r="BZ29" s="69" t="s">
        <v>3</v>
      </c>
      <c r="CA29" s="69" t="s">
        <v>3</v>
      </c>
      <c r="CB29" s="69" t="s">
        <v>3</v>
      </c>
      <c r="CC29" s="49">
        <v>-326.78199999999998</v>
      </c>
      <c r="CD29" s="49">
        <v>-314.46899999999999</v>
      </c>
      <c r="CE29" s="49">
        <v>-275.84899999999999</v>
      </c>
      <c r="CF29" s="101">
        <v>-279.2</v>
      </c>
      <c r="CG29" s="101">
        <v>-305.89999999999998</v>
      </c>
      <c r="CH29" s="110">
        <f>-403.643</f>
        <v>-403.64299999999997</v>
      </c>
      <c r="CI29" s="110">
        <v>-471.59300000000002</v>
      </c>
      <c r="CJ29" s="110">
        <v>-501.64</v>
      </c>
      <c r="CK29" s="110">
        <v>-616.63100000000009</v>
      </c>
      <c r="CL29" s="49">
        <f t="shared" si="27"/>
        <v>-773.30675199999996</v>
      </c>
      <c r="CM29" s="49">
        <f t="shared" si="28"/>
        <v>-791.95899999999995</v>
      </c>
      <c r="CN29" s="49">
        <f t="shared" si="29"/>
        <v>-864.27599999999995</v>
      </c>
    </row>
    <row r="30" spans="1:92" s="18" customFormat="1" x14ac:dyDescent="0.35">
      <c r="A30" s="6"/>
      <c r="B30" s="29" t="str">
        <f>IF(Control!$D$5=1,"Sales Comission","Comissoes sobre Vendas")</f>
        <v>Comissoes sobre Vendas</v>
      </c>
      <c r="C30" s="99">
        <v>0</v>
      </c>
      <c r="D30" s="72" t="s">
        <v>3</v>
      </c>
      <c r="E30" s="178" t="s">
        <v>3</v>
      </c>
      <c r="F30" s="178" t="s">
        <v>3</v>
      </c>
      <c r="G30" s="178" t="s">
        <v>3</v>
      </c>
      <c r="H30" s="72" t="s">
        <v>3</v>
      </c>
      <c r="I30" s="178" t="s">
        <v>3</v>
      </c>
      <c r="J30" s="178" t="s">
        <v>3</v>
      </c>
      <c r="K30" s="178" t="s">
        <v>3</v>
      </c>
      <c r="L30" s="72" t="s">
        <v>3</v>
      </c>
      <c r="M30" s="178" t="s">
        <v>3</v>
      </c>
      <c r="N30" s="178" t="s">
        <v>3</v>
      </c>
      <c r="O30" s="178" t="s">
        <v>3</v>
      </c>
      <c r="P30" s="72" t="s">
        <v>3</v>
      </c>
      <c r="Q30" s="178" t="s">
        <v>3</v>
      </c>
      <c r="R30" s="178" t="s">
        <v>3</v>
      </c>
      <c r="S30" s="178" t="s">
        <v>3</v>
      </c>
      <c r="T30" s="72" t="s">
        <v>3</v>
      </c>
      <c r="U30" s="178" t="s">
        <v>3</v>
      </c>
      <c r="V30" s="178" t="s">
        <v>3</v>
      </c>
      <c r="W30" s="178" t="s">
        <v>3</v>
      </c>
      <c r="X30" s="72" t="s">
        <v>3</v>
      </c>
      <c r="Y30" s="178" t="s">
        <v>3</v>
      </c>
      <c r="Z30" s="178" t="s">
        <v>3</v>
      </c>
      <c r="AA30" s="178" t="s">
        <v>3</v>
      </c>
      <c r="AB30" s="72" t="s">
        <v>3</v>
      </c>
      <c r="AC30" s="178" t="s">
        <v>3</v>
      </c>
      <c r="AD30" s="178" t="s">
        <v>3</v>
      </c>
      <c r="AE30" s="178" t="s">
        <v>3</v>
      </c>
      <c r="AF30" s="72" t="s">
        <v>3</v>
      </c>
      <c r="AG30" s="178" t="s">
        <v>3</v>
      </c>
      <c r="AH30" s="178" t="s">
        <v>3</v>
      </c>
      <c r="AI30" s="178" t="s">
        <v>3</v>
      </c>
      <c r="AJ30" s="72" t="s">
        <v>3</v>
      </c>
      <c r="AK30" s="72" t="s">
        <v>3</v>
      </c>
      <c r="AL30" s="72" t="s">
        <v>3</v>
      </c>
      <c r="AM30" s="72" t="s">
        <v>3</v>
      </c>
      <c r="AN30" s="72">
        <v>-7.3</v>
      </c>
      <c r="AO30" s="72">
        <v>-4.5999999999999996</v>
      </c>
      <c r="AP30" s="72">
        <v>-6.6</v>
      </c>
      <c r="AQ30" s="110">
        <v>-5.2</v>
      </c>
      <c r="AR30" s="110">
        <v>-4.4000000000000004</v>
      </c>
      <c r="AS30" s="110">
        <v>-5.2999999999999989</v>
      </c>
      <c r="AT30" s="110">
        <v>-6.7</v>
      </c>
      <c r="AU30" s="110">
        <v>-7.4</v>
      </c>
      <c r="AV30" s="110">
        <v>-7.3</v>
      </c>
      <c r="AW30" s="110">
        <v>-6.1989999999999998</v>
      </c>
      <c r="AX30" s="110">
        <v>-9.1129999999999978</v>
      </c>
      <c r="AY30" s="110">
        <v>-7.6989999999999998</v>
      </c>
      <c r="AZ30" s="110">
        <v>-9.7390000000000008</v>
      </c>
      <c r="BA30" s="110">
        <v>-10.788999999999998</v>
      </c>
      <c r="BB30" s="110">
        <v>-13.374000000000001</v>
      </c>
      <c r="BC30" s="110">
        <v>-8.9250000000000007</v>
      </c>
      <c r="BD30" s="110">
        <v>-11.986000000000001</v>
      </c>
      <c r="BE30" s="110">
        <v>-11.092000000000001</v>
      </c>
      <c r="BF30" s="110">
        <v>-16.588999999999999</v>
      </c>
      <c r="BG30" s="110">
        <v>-12.218</v>
      </c>
      <c r="BH30" s="110">
        <v>-15.118</v>
      </c>
      <c r="BI30" s="110">
        <v>-16.951000000000001</v>
      </c>
      <c r="BJ30" s="110">
        <v>-19.768451559999995</v>
      </c>
      <c r="BK30" s="110">
        <v>-11.464548440000005</v>
      </c>
      <c r="BL30" s="58">
        <v>-14.512</v>
      </c>
      <c r="BM30" s="58">
        <v>-17.346</v>
      </c>
      <c r="BN30" s="58">
        <v>-18.850000000000001</v>
      </c>
      <c r="BO30" s="58">
        <v>-14.909999999999997</v>
      </c>
      <c r="BP30" s="49">
        <v>-14.913</v>
      </c>
      <c r="BQ30" s="49">
        <v>-19.324999999999999</v>
      </c>
      <c r="BR30" s="49">
        <v>-20.013000000000002</v>
      </c>
      <c r="BS30" s="49">
        <v>-16.125</v>
      </c>
      <c r="BT30" s="49">
        <v>-15.826000000000001</v>
      </c>
      <c r="BU30" s="49">
        <v>-17.609000000000002</v>
      </c>
      <c r="BV30" s="188"/>
      <c r="BW30" s="69" t="s">
        <v>3</v>
      </c>
      <c r="BX30" s="69" t="s">
        <v>3</v>
      </c>
      <c r="BY30" s="69" t="s">
        <v>3</v>
      </c>
      <c r="BZ30" s="69" t="s">
        <v>3</v>
      </c>
      <c r="CA30" s="69" t="s">
        <v>3</v>
      </c>
      <c r="CB30" s="69" t="s">
        <v>3</v>
      </c>
      <c r="CC30" s="69" t="s">
        <v>3</v>
      </c>
      <c r="CD30" s="69" t="s">
        <v>3</v>
      </c>
      <c r="CE30" s="69" t="s">
        <v>3</v>
      </c>
      <c r="CF30" s="69" t="s">
        <v>3</v>
      </c>
      <c r="CG30" s="69" t="s">
        <v>3</v>
      </c>
      <c r="CH30" s="110">
        <f>-23.762</f>
        <v>-23.762</v>
      </c>
      <c r="CI30" s="110">
        <v>-30.310999999999993</v>
      </c>
      <c r="CJ30" s="110">
        <v>-42.823999999999998</v>
      </c>
      <c r="CK30" s="110">
        <v>-51.885000000000005</v>
      </c>
      <c r="CL30" s="49">
        <f t="shared" si="27"/>
        <v>-63.302000000000007</v>
      </c>
      <c r="CM30" s="49">
        <f t="shared" si="28"/>
        <v>-65.617999999999995</v>
      </c>
      <c r="CN30" s="49">
        <f t="shared" si="29"/>
        <v>-70.376000000000005</v>
      </c>
    </row>
    <row r="31" spans="1:92" s="18" customFormat="1" x14ac:dyDescent="0.35">
      <c r="B31" s="29" t="str">
        <f>IF(Control!$D$5=1,"Maintenance Expenses","Despesas com Manutenção")</f>
        <v>Despesas com Manutenção</v>
      </c>
      <c r="C31" s="99">
        <v>0</v>
      </c>
      <c r="D31" s="72" t="s">
        <v>3</v>
      </c>
      <c r="E31" s="178" t="s">
        <v>3</v>
      </c>
      <c r="F31" s="178" t="s">
        <v>3</v>
      </c>
      <c r="G31" s="178" t="s">
        <v>3</v>
      </c>
      <c r="H31" s="72" t="s">
        <v>3</v>
      </c>
      <c r="I31" s="178" t="s">
        <v>3</v>
      </c>
      <c r="J31" s="178" t="s">
        <v>3</v>
      </c>
      <c r="K31" s="178" t="s">
        <v>3</v>
      </c>
      <c r="L31" s="72" t="s">
        <v>3</v>
      </c>
      <c r="M31" s="178" t="s">
        <v>3</v>
      </c>
      <c r="N31" s="178" t="s">
        <v>3</v>
      </c>
      <c r="O31" s="178" t="s">
        <v>3</v>
      </c>
      <c r="P31" s="72" t="s">
        <v>3</v>
      </c>
      <c r="Q31" s="178" t="s">
        <v>3</v>
      </c>
      <c r="R31" s="178" t="s">
        <v>3</v>
      </c>
      <c r="S31" s="178" t="s">
        <v>3</v>
      </c>
      <c r="T31" s="72" t="s">
        <v>3</v>
      </c>
      <c r="U31" s="178" t="s">
        <v>3</v>
      </c>
      <c r="V31" s="178" t="s">
        <v>3</v>
      </c>
      <c r="W31" s="178" t="s">
        <v>3</v>
      </c>
      <c r="X31" s="72" t="s">
        <v>3</v>
      </c>
      <c r="Y31" s="178" t="s">
        <v>3</v>
      </c>
      <c r="Z31" s="178" t="s">
        <v>3</v>
      </c>
      <c r="AA31" s="178" t="s">
        <v>3</v>
      </c>
      <c r="AB31" s="72" t="s">
        <v>3</v>
      </c>
      <c r="AC31" s="178" t="s">
        <v>3</v>
      </c>
      <c r="AD31" s="178" t="s">
        <v>3</v>
      </c>
      <c r="AE31" s="178" t="s">
        <v>3</v>
      </c>
      <c r="AF31" s="72" t="s">
        <v>3</v>
      </c>
      <c r="AG31" s="178" t="s">
        <v>3</v>
      </c>
      <c r="AH31" s="178" t="s">
        <v>3</v>
      </c>
      <c r="AI31" s="178" t="s">
        <v>3</v>
      </c>
      <c r="AJ31" s="72" t="s">
        <v>3</v>
      </c>
      <c r="AK31" s="72" t="s">
        <v>3</v>
      </c>
      <c r="AL31" s="72" t="s">
        <v>3</v>
      </c>
      <c r="AM31" s="72">
        <v>-38.4</v>
      </c>
      <c r="AN31" s="72">
        <v>-24.1</v>
      </c>
      <c r="AO31" s="72">
        <v>-23</v>
      </c>
      <c r="AP31" s="72">
        <v>-20</v>
      </c>
      <c r="AQ31" s="72">
        <v>-14.9</v>
      </c>
      <c r="AR31" s="72">
        <v>-21.7</v>
      </c>
      <c r="AS31" s="72">
        <v>-22.2</v>
      </c>
      <c r="AT31" s="72">
        <v>-20.2</v>
      </c>
      <c r="AU31" s="110">
        <v>-20</v>
      </c>
      <c r="AV31" s="110">
        <v>-27.1</v>
      </c>
      <c r="AW31" s="110">
        <v>-25.074000000000002</v>
      </c>
      <c r="AX31" s="110">
        <v>-26.333999999999996</v>
      </c>
      <c r="AY31" s="110">
        <v>-31.277000000000001</v>
      </c>
      <c r="AZ31" s="110">
        <v>-31.292000000000002</v>
      </c>
      <c r="BA31" s="110">
        <v>-28.42</v>
      </c>
      <c r="BB31" s="110">
        <v>-28.599</v>
      </c>
      <c r="BC31" s="110">
        <v>-31.748999999999999</v>
      </c>
      <c r="BD31" s="110">
        <v>-35.991</v>
      </c>
      <c r="BE31" s="110">
        <v>-32.042000000000002</v>
      </c>
      <c r="BF31" s="110">
        <v>-34.401000000000003</v>
      </c>
      <c r="BG31" s="110">
        <v>-41.923000000000002</v>
      </c>
      <c r="BH31" s="110">
        <v>-42.508000000000003</v>
      </c>
      <c r="BI31" s="110">
        <v>-44.889000000000003</v>
      </c>
      <c r="BJ31" s="110">
        <v>-45.668787849999994</v>
      </c>
      <c r="BK31" s="110">
        <v>-45.817999999999998</v>
      </c>
      <c r="BL31" s="58">
        <v>-55.628999999999998</v>
      </c>
      <c r="BM31" s="58">
        <v>-57.241999999999997</v>
      </c>
      <c r="BN31" s="58">
        <v>-52.99</v>
      </c>
      <c r="BO31" s="58">
        <v>-56.826999999999998</v>
      </c>
      <c r="BP31" s="49">
        <v>-58.853000000000002</v>
      </c>
      <c r="BQ31" s="49">
        <v>-61.933999999999997</v>
      </c>
      <c r="BR31" s="49">
        <v>-58.53</v>
      </c>
      <c r="BS31" s="49">
        <v>-64.915999999999997</v>
      </c>
      <c r="BT31" s="49">
        <v>-63.890999999999998</v>
      </c>
      <c r="BU31" s="49">
        <v>-65.581999999999994</v>
      </c>
      <c r="BV31" s="72"/>
      <c r="BW31" s="69" t="s">
        <v>3</v>
      </c>
      <c r="BX31" s="69" t="s">
        <v>3</v>
      </c>
      <c r="BY31" s="69" t="s">
        <v>3</v>
      </c>
      <c r="BZ31" s="69" t="s">
        <v>3</v>
      </c>
      <c r="CA31" s="69" t="s">
        <v>3</v>
      </c>
      <c r="CB31" s="69" t="s">
        <v>3</v>
      </c>
      <c r="CC31" s="49">
        <v>-51.253999999999998</v>
      </c>
      <c r="CD31" s="49">
        <v>-65.808000000000007</v>
      </c>
      <c r="CE31" s="49">
        <v>-63.417999999999999</v>
      </c>
      <c r="CF31" s="49">
        <v>-76.7</v>
      </c>
      <c r="CG31" s="49">
        <v>-65.3</v>
      </c>
      <c r="CH31" s="72">
        <f>-83.918</f>
        <v>-83.918000000000006</v>
      </c>
      <c r="CI31" s="110">
        <v>-109.78500000000001</v>
      </c>
      <c r="CJ31" s="110">
        <v>-120.05500000000001</v>
      </c>
      <c r="CK31" s="110">
        <v>-144.357</v>
      </c>
      <c r="CL31" s="49">
        <f t="shared" si="27"/>
        <v>-178.88378784999998</v>
      </c>
      <c r="CM31" s="49">
        <f t="shared" si="28"/>
        <v>-222.68799999999999</v>
      </c>
      <c r="CN31" s="49">
        <f t="shared" si="29"/>
        <v>-244.233</v>
      </c>
    </row>
    <row r="32" spans="1:92" s="18" customFormat="1" x14ac:dyDescent="0.35">
      <c r="A32" s="6"/>
      <c r="B32" s="29" t="str">
        <f>IF(Control!$D$5=1,"Energy Expenses","Despesas com Energia Elétrica")</f>
        <v>Despesas com Energia Elétrica</v>
      </c>
      <c r="C32" s="99">
        <v>0</v>
      </c>
      <c r="D32" s="72" t="s">
        <v>3</v>
      </c>
      <c r="E32" s="178" t="s">
        <v>3</v>
      </c>
      <c r="F32" s="178" t="s">
        <v>3</v>
      </c>
      <c r="G32" s="178" t="s">
        <v>3</v>
      </c>
      <c r="H32" s="72" t="s">
        <v>3</v>
      </c>
      <c r="I32" s="178" t="s">
        <v>3</v>
      </c>
      <c r="J32" s="178" t="s">
        <v>3</v>
      </c>
      <c r="K32" s="178" t="s">
        <v>3</v>
      </c>
      <c r="L32" s="72" t="s">
        <v>3</v>
      </c>
      <c r="M32" s="178" t="s">
        <v>3</v>
      </c>
      <c r="N32" s="178" t="s">
        <v>3</v>
      </c>
      <c r="O32" s="178" t="s">
        <v>3</v>
      </c>
      <c r="P32" s="72" t="s">
        <v>3</v>
      </c>
      <c r="Q32" s="178" t="s">
        <v>3</v>
      </c>
      <c r="R32" s="178" t="s">
        <v>3</v>
      </c>
      <c r="S32" s="178" t="s">
        <v>3</v>
      </c>
      <c r="T32" s="72" t="s">
        <v>3</v>
      </c>
      <c r="U32" s="178" t="s">
        <v>3</v>
      </c>
      <c r="V32" s="178" t="s">
        <v>3</v>
      </c>
      <c r="W32" s="178" t="s">
        <v>3</v>
      </c>
      <c r="X32" s="72" t="s">
        <v>3</v>
      </c>
      <c r="Y32" s="178" t="s">
        <v>3</v>
      </c>
      <c r="Z32" s="178" t="s">
        <v>3</v>
      </c>
      <c r="AA32" s="178" t="s">
        <v>3</v>
      </c>
      <c r="AB32" s="72" t="s">
        <v>3</v>
      </c>
      <c r="AC32" s="178" t="s">
        <v>3</v>
      </c>
      <c r="AD32" s="178" t="s">
        <v>3</v>
      </c>
      <c r="AE32" s="178" t="s">
        <v>3</v>
      </c>
      <c r="AF32" s="72" t="s">
        <v>3</v>
      </c>
      <c r="AG32" s="178" t="s">
        <v>3</v>
      </c>
      <c r="AH32" s="178" t="s">
        <v>3</v>
      </c>
      <c r="AI32" s="178" t="s">
        <v>3</v>
      </c>
      <c r="AJ32" s="72" t="s">
        <v>3</v>
      </c>
      <c r="AK32" s="72" t="s">
        <v>3</v>
      </c>
      <c r="AL32" s="72" t="s">
        <v>3</v>
      </c>
      <c r="AM32" s="72" t="s">
        <v>3</v>
      </c>
      <c r="AN32" s="72">
        <v>-15.2</v>
      </c>
      <c r="AO32" s="72">
        <v>-13.3</v>
      </c>
      <c r="AP32" s="72">
        <v>-9.3000000000000007</v>
      </c>
      <c r="AQ32" s="72">
        <v>-6</v>
      </c>
      <c r="AR32" s="72">
        <v>-12.6</v>
      </c>
      <c r="AS32" s="72">
        <v>-11.9</v>
      </c>
      <c r="AT32" s="72">
        <v>-11.2</v>
      </c>
      <c r="AU32" s="110">
        <v>-11.433999999999997</v>
      </c>
      <c r="AV32" s="110">
        <v>-11.5</v>
      </c>
      <c r="AW32" s="110">
        <v>-12.119</v>
      </c>
      <c r="AX32" s="110">
        <v>-16.385000000000002</v>
      </c>
      <c r="AY32" s="110">
        <v>-16.143999999999998</v>
      </c>
      <c r="AZ32" s="110">
        <v>-18.324999999999999</v>
      </c>
      <c r="BA32" s="110">
        <v>-14.885999999999999</v>
      </c>
      <c r="BB32" s="110">
        <v>-14.089</v>
      </c>
      <c r="BC32" s="110">
        <v>-24.393999999999998</v>
      </c>
      <c r="BD32" s="110">
        <v>-18.585999999999999</v>
      </c>
      <c r="BE32" s="110">
        <v>-16.417999999999999</v>
      </c>
      <c r="BF32" s="110">
        <v>-17.306999999999999</v>
      </c>
      <c r="BG32" s="110">
        <v>-25.341999999999999</v>
      </c>
      <c r="BH32" s="110">
        <v>-24.719000000000001</v>
      </c>
      <c r="BI32" s="110">
        <v>-20.033999999999999</v>
      </c>
      <c r="BJ32" s="110">
        <v>-18.551088759999999</v>
      </c>
      <c r="BK32" s="110">
        <v>-26.725911240000002</v>
      </c>
      <c r="BL32" s="58">
        <v>-24.446999999999999</v>
      </c>
      <c r="BM32" s="58">
        <v>-21.050999999999998</v>
      </c>
      <c r="BN32" s="58">
        <v>-19.777999999999999</v>
      </c>
      <c r="BO32" s="58">
        <v>-24.317999999999998</v>
      </c>
      <c r="BP32" s="49">
        <v>-24.236999999999998</v>
      </c>
      <c r="BQ32" s="49">
        <v>-20.556999999999999</v>
      </c>
      <c r="BR32" s="49">
        <v>-20.178000000000001</v>
      </c>
      <c r="BS32" s="49">
        <v>-28.222999999999999</v>
      </c>
      <c r="BT32" s="49">
        <v>-32.969000000000001</v>
      </c>
      <c r="BU32" s="49">
        <v>-22.282</v>
      </c>
      <c r="BV32" s="72"/>
      <c r="BW32" s="69" t="s">
        <v>3</v>
      </c>
      <c r="BX32" s="69" t="s">
        <v>3</v>
      </c>
      <c r="BY32" s="69" t="s">
        <v>3</v>
      </c>
      <c r="BZ32" s="69" t="s">
        <v>3</v>
      </c>
      <c r="CA32" s="69" t="s">
        <v>3</v>
      </c>
      <c r="CB32" s="69" t="s">
        <v>3</v>
      </c>
      <c r="CC32" s="49">
        <v>-36.296999999999997</v>
      </c>
      <c r="CD32" s="49">
        <v>-30.702999999999999</v>
      </c>
      <c r="CE32" s="49">
        <v>0</v>
      </c>
      <c r="CF32" s="101">
        <v>0</v>
      </c>
      <c r="CG32" s="101">
        <v>0</v>
      </c>
      <c r="CH32" s="72">
        <f>-47.134</f>
        <v>-47.134</v>
      </c>
      <c r="CI32" s="110">
        <v>-56.148000000000003</v>
      </c>
      <c r="CJ32" s="110">
        <v>-71.688999999999993</v>
      </c>
      <c r="CK32" s="110">
        <v>-77.652999999999992</v>
      </c>
      <c r="CL32" s="49">
        <f t="shared" si="27"/>
        <v>-90.03</v>
      </c>
      <c r="CM32" s="49">
        <f t="shared" si="28"/>
        <v>-89.593999999999994</v>
      </c>
      <c r="CN32" s="49">
        <f t="shared" si="29"/>
        <v>-93.194999999999993</v>
      </c>
    </row>
    <row r="33" spans="1:92" s="18" customFormat="1" x14ac:dyDescent="0.35">
      <c r="A33" s="5"/>
      <c r="B33" s="29" t="str">
        <f>IF(Control!$D$5=1,"Third Party Services Expenses","Despesas com Serviços de Terceiros")</f>
        <v>Despesas com Serviços de Terceiros</v>
      </c>
      <c r="C33" s="99">
        <v>0</v>
      </c>
      <c r="D33" s="72" t="s">
        <v>3</v>
      </c>
      <c r="E33" s="178" t="s">
        <v>3</v>
      </c>
      <c r="F33" s="178" t="s">
        <v>3</v>
      </c>
      <c r="G33" s="178" t="s">
        <v>3</v>
      </c>
      <c r="H33" s="72" t="s">
        <v>3</v>
      </c>
      <c r="I33" s="178" t="s">
        <v>3</v>
      </c>
      <c r="J33" s="178" t="s">
        <v>3</v>
      </c>
      <c r="K33" s="178" t="s">
        <v>3</v>
      </c>
      <c r="L33" s="72" t="s">
        <v>3</v>
      </c>
      <c r="M33" s="178" t="s">
        <v>3</v>
      </c>
      <c r="N33" s="178" t="s">
        <v>3</v>
      </c>
      <c r="O33" s="178" t="s">
        <v>3</v>
      </c>
      <c r="P33" s="72" t="s">
        <v>3</v>
      </c>
      <c r="Q33" s="178" t="s">
        <v>3</v>
      </c>
      <c r="R33" s="178" t="s">
        <v>3</v>
      </c>
      <c r="S33" s="178" t="s">
        <v>3</v>
      </c>
      <c r="T33" s="72" t="s">
        <v>3</v>
      </c>
      <c r="U33" s="178" t="s">
        <v>3</v>
      </c>
      <c r="V33" s="178" t="s">
        <v>3</v>
      </c>
      <c r="W33" s="178" t="s">
        <v>3</v>
      </c>
      <c r="X33" s="72" t="s">
        <v>3</v>
      </c>
      <c r="Y33" s="178" t="s">
        <v>3</v>
      </c>
      <c r="Z33" s="178" t="s">
        <v>3</v>
      </c>
      <c r="AA33" s="178" t="s">
        <v>3</v>
      </c>
      <c r="AB33" s="72" t="s">
        <v>3</v>
      </c>
      <c r="AC33" s="178" t="s">
        <v>3</v>
      </c>
      <c r="AD33" s="178" t="s">
        <v>3</v>
      </c>
      <c r="AE33" s="178" t="s">
        <v>3</v>
      </c>
      <c r="AF33" s="72" t="s">
        <v>3</v>
      </c>
      <c r="AG33" s="178" t="s">
        <v>3</v>
      </c>
      <c r="AH33" s="178" t="s">
        <v>3</v>
      </c>
      <c r="AI33" s="178" t="s">
        <v>3</v>
      </c>
      <c r="AJ33" s="72" t="s">
        <v>3</v>
      </c>
      <c r="AK33" s="72" t="s">
        <v>3</v>
      </c>
      <c r="AL33" s="72" t="s">
        <v>3</v>
      </c>
      <c r="AM33" s="72">
        <v>15</v>
      </c>
      <c r="AN33" s="72">
        <v>-34.799999999999997</v>
      </c>
      <c r="AO33" s="72">
        <v>-10.199999999999999</v>
      </c>
      <c r="AP33" s="72">
        <v>-31</v>
      </c>
      <c r="AQ33" s="72">
        <v>-35.200000000000003</v>
      </c>
      <c r="AR33" s="72">
        <v>-34.4</v>
      </c>
      <c r="AS33" s="72">
        <v>-32.6</v>
      </c>
      <c r="AT33" s="72">
        <v>-32</v>
      </c>
      <c r="AU33" s="110">
        <v>-39</v>
      </c>
      <c r="AV33" s="110">
        <v>-36.799999999999997</v>
      </c>
      <c r="AW33" s="110">
        <v>-35.363</v>
      </c>
      <c r="AX33" s="110">
        <v>-26.552999999999997</v>
      </c>
      <c r="AY33" s="110">
        <v>-32.4</v>
      </c>
      <c r="AZ33" s="110">
        <v>-30.196000000000002</v>
      </c>
      <c r="BA33" s="110">
        <v>-31.294</v>
      </c>
      <c r="BB33" s="110">
        <v>-29.789000000000001</v>
      </c>
      <c r="BC33" s="110">
        <v>-31.295999999999999</v>
      </c>
      <c r="BD33" s="110">
        <v>-36</v>
      </c>
      <c r="BE33" s="110">
        <v>-32.6</v>
      </c>
      <c r="BF33" s="110">
        <v>-37.087000000000003</v>
      </c>
      <c r="BG33" s="110">
        <v>-52.728999999999999</v>
      </c>
      <c r="BH33" s="110">
        <v>-29.882999999999999</v>
      </c>
      <c r="BI33" s="110">
        <v>-57.158000000000001</v>
      </c>
      <c r="BJ33" s="110">
        <v>-50.199687740000023</v>
      </c>
      <c r="BK33" s="110">
        <v>-52.453312259999976</v>
      </c>
      <c r="BL33" s="58">
        <v>-52.865000000000002</v>
      </c>
      <c r="BM33" s="58">
        <v>-49.484000000000002</v>
      </c>
      <c r="BN33" s="58">
        <v>-59.435000000000002</v>
      </c>
      <c r="BO33" s="58">
        <v>-52.168000000000006</v>
      </c>
      <c r="BP33" s="49">
        <v>-51.040999999999997</v>
      </c>
      <c r="BQ33" s="49">
        <v>-67.713999999999999</v>
      </c>
      <c r="BR33" s="49">
        <v>-73.400000000000006</v>
      </c>
      <c r="BS33" s="49">
        <v>-56.748999999999995</v>
      </c>
      <c r="BT33" s="49">
        <v>-56.536999999999999</v>
      </c>
      <c r="BU33" s="49">
        <v>-63.487000000000002</v>
      </c>
      <c r="BV33" s="72"/>
      <c r="BW33" s="69" t="s">
        <v>3</v>
      </c>
      <c r="BX33" s="69" t="s">
        <v>3</v>
      </c>
      <c r="BY33" s="69" t="s">
        <v>3</v>
      </c>
      <c r="BZ33" s="69" t="s">
        <v>3</v>
      </c>
      <c r="CA33" s="69" t="s">
        <v>3</v>
      </c>
      <c r="CB33" s="69" t="s">
        <v>3</v>
      </c>
      <c r="CC33" s="49">
        <v>-61.451000000000001</v>
      </c>
      <c r="CD33" s="49">
        <v>-50.024999999999999</v>
      </c>
      <c r="CE33" s="49">
        <v>-62.226999999999997</v>
      </c>
      <c r="CF33" s="49">
        <v>-61.7</v>
      </c>
      <c r="CG33" s="49">
        <v>-78.099999999999994</v>
      </c>
      <c r="CH33" s="72">
        <f>-143.277</f>
        <v>-143.27699999999999</v>
      </c>
      <c r="CI33" s="110">
        <v>-131.11599999999999</v>
      </c>
      <c r="CJ33" s="110">
        <v>-122.566</v>
      </c>
      <c r="CK33" s="110">
        <v>-158.416</v>
      </c>
      <c r="CL33" s="49">
        <f t="shared" si="27"/>
        <v>-189.69400000000002</v>
      </c>
      <c r="CM33" s="49">
        <f t="shared" si="28"/>
        <v>-213.952</v>
      </c>
      <c r="CN33" s="49">
        <f t="shared" si="29"/>
        <v>-248.904</v>
      </c>
    </row>
    <row r="34" spans="1:92" s="18" customFormat="1" x14ac:dyDescent="0.35">
      <c r="A34" s="5"/>
      <c r="B34" s="29" t="str">
        <f>IF(Control!$D$5=1,"Other Expenses","Outras Despesas")</f>
        <v>Outras Despesas</v>
      </c>
      <c r="C34" s="58">
        <v>0</v>
      </c>
      <c r="D34" s="58" t="s">
        <v>3</v>
      </c>
      <c r="E34" s="58" t="s">
        <v>3</v>
      </c>
      <c r="F34" s="58" t="s">
        <v>3</v>
      </c>
      <c r="G34" s="58" t="s">
        <v>3</v>
      </c>
      <c r="H34" s="58" t="s">
        <v>3</v>
      </c>
      <c r="I34" s="58" t="s">
        <v>3</v>
      </c>
      <c r="J34" s="58" t="s">
        <v>3</v>
      </c>
      <c r="K34" s="58" t="s">
        <v>3</v>
      </c>
      <c r="L34" s="58" t="s">
        <v>3</v>
      </c>
      <c r="M34" s="58" t="s">
        <v>3</v>
      </c>
      <c r="N34" s="58" t="s">
        <v>3</v>
      </c>
      <c r="O34" s="58" t="s">
        <v>3</v>
      </c>
      <c r="P34" s="58" t="s">
        <v>3</v>
      </c>
      <c r="Q34" s="58" t="s">
        <v>3</v>
      </c>
      <c r="R34" s="58" t="s">
        <v>3</v>
      </c>
      <c r="S34" s="58" t="s">
        <v>3</v>
      </c>
      <c r="T34" s="58" t="s">
        <v>3</v>
      </c>
      <c r="U34" s="58" t="s">
        <v>3</v>
      </c>
      <c r="V34" s="58" t="s">
        <v>3</v>
      </c>
      <c r="W34" s="58" t="s">
        <v>3</v>
      </c>
      <c r="X34" s="58" t="s">
        <v>3</v>
      </c>
      <c r="Y34" s="58" t="s">
        <v>3</v>
      </c>
      <c r="Z34" s="58" t="s">
        <v>3</v>
      </c>
      <c r="AA34" s="58" t="s">
        <v>3</v>
      </c>
      <c r="AB34" s="58" t="s">
        <v>3</v>
      </c>
      <c r="AC34" s="58" t="s">
        <v>3</v>
      </c>
      <c r="AD34" s="58" t="s">
        <v>3</v>
      </c>
      <c r="AE34" s="58" t="s">
        <v>3</v>
      </c>
      <c r="AF34" s="58" t="s">
        <v>3</v>
      </c>
      <c r="AG34" s="58" t="s">
        <v>3</v>
      </c>
      <c r="AH34" s="58" t="s">
        <v>3</v>
      </c>
      <c r="AI34" s="58" t="s">
        <v>3</v>
      </c>
      <c r="AJ34" s="58" t="s">
        <v>3</v>
      </c>
      <c r="AK34" s="58" t="s">
        <v>3</v>
      </c>
      <c r="AL34" s="58" t="s">
        <v>3</v>
      </c>
      <c r="AM34" s="58">
        <v>-184.9</v>
      </c>
      <c r="AN34" s="58">
        <v>-62.80000000000009</v>
      </c>
      <c r="AO34" s="58">
        <v>-154.95000000000002</v>
      </c>
      <c r="AP34" s="58">
        <v>-38.80000000000009</v>
      </c>
      <c r="AQ34" s="58">
        <v>-67.199999999999889</v>
      </c>
      <c r="AR34" s="58">
        <v>-57.399999999999977</v>
      </c>
      <c r="AS34" s="58">
        <v>-48.2</v>
      </c>
      <c r="AT34" s="58">
        <v>-82.599999999999909</v>
      </c>
      <c r="AU34" s="58">
        <v>-71.249999999999773</v>
      </c>
      <c r="AV34" s="58">
        <v>-49.600000000000136</v>
      </c>
      <c r="AW34" s="58">
        <v>-64.468999999999824</v>
      </c>
      <c r="AX34" s="58">
        <v>-116.64300000000033</v>
      </c>
      <c r="AY34" s="58">
        <v>-93.235999999999876</v>
      </c>
      <c r="AZ34" s="58">
        <v>-27.669000000000199</v>
      </c>
      <c r="BA34" s="58">
        <v>-90.073999999999842</v>
      </c>
      <c r="BB34" s="58">
        <v>-114.55200000000036</v>
      </c>
      <c r="BC34" s="58">
        <v>-97.521999999999991</v>
      </c>
      <c r="BD34" s="58">
        <v>-48.068000000000005</v>
      </c>
      <c r="BE34" s="58">
        <v>-64.899000000000001</v>
      </c>
      <c r="BF34" s="58">
        <v>-120.75700000000001</v>
      </c>
      <c r="BG34" s="58">
        <v>-86.912000000000134</v>
      </c>
      <c r="BH34" s="58">
        <v>-58.448</v>
      </c>
      <c r="BI34" s="58">
        <v>-68.245999999999995</v>
      </c>
      <c r="BJ34" s="58">
        <v>-107.39100000000001</v>
      </c>
      <c r="BK34" s="58">
        <v>-87.522172900000001</v>
      </c>
      <c r="BL34" s="58">
        <v>-75.873999999999995</v>
      </c>
      <c r="BM34" s="58">
        <v>-95.459000000000003</v>
      </c>
      <c r="BN34" s="58">
        <v>-153.226</v>
      </c>
      <c r="BO34" s="58">
        <v>-81.944999999999936</v>
      </c>
      <c r="BP34" s="58">
        <v>-94.241</v>
      </c>
      <c r="BQ34" s="58">
        <v>-78.046000000000006</v>
      </c>
      <c r="BR34" s="49">
        <v>-78.655000000000001</v>
      </c>
      <c r="BS34" s="49">
        <v>-116.46899999999999</v>
      </c>
      <c r="BT34" s="49">
        <v>-64.931000000000012</v>
      </c>
      <c r="BU34" s="49">
        <v>-86.350999999999658</v>
      </c>
      <c r="BV34" s="69"/>
      <c r="BW34" s="69"/>
      <c r="BX34" s="69"/>
      <c r="BY34" s="69"/>
      <c r="BZ34" s="69"/>
      <c r="CA34" s="69"/>
      <c r="CB34" s="69"/>
      <c r="CC34" s="49"/>
      <c r="CD34" s="49"/>
      <c r="CE34" s="49"/>
      <c r="CF34" s="49"/>
      <c r="CG34" s="49"/>
      <c r="CH34" s="178"/>
      <c r="CI34" s="110"/>
      <c r="CJ34" s="110"/>
      <c r="CK34" s="110"/>
      <c r="CL34" s="49"/>
      <c r="CM34" s="49"/>
      <c r="CN34" s="49"/>
    </row>
    <row r="35" spans="1:92" s="18" customFormat="1" x14ac:dyDescent="0.35">
      <c r="A35" s="6"/>
      <c r="B35" s="47" t="str">
        <f>IF(Control!$D$5=1,"check","controle")</f>
        <v>controle</v>
      </c>
      <c r="C35" s="103"/>
      <c r="D35" s="103"/>
      <c r="E35" s="102"/>
      <c r="F35" s="102"/>
      <c r="G35" s="102"/>
      <c r="H35" s="103"/>
      <c r="I35" s="102"/>
      <c r="J35" s="102"/>
      <c r="K35" s="102"/>
      <c r="L35" s="103"/>
      <c r="M35" s="102"/>
      <c r="N35" s="102"/>
      <c r="O35" s="102"/>
      <c r="P35" s="103"/>
      <c r="Q35" s="102"/>
      <c r="R35" s="102"/>
      <c r="S35" s="102"/>
      <c r="T35" s="103"/>
      <c r="U35" s="102"/>
      <c r="V35" s="102"/>
      <c r="W35" s="102"/>
      <c r="X35" s="104"/>
      <c r="Y35" s="102"/>
      <c r="Z35" s="102"/>
      <c r="AA35" s="102"/>
      <c r="AB35" s="104"/>
      <c r="AC35" s="102"/>
      <c r="AD35" s="102"/>
      <c r="AE35" s="102"/>
      <c r="AF35" s="104"/>
      <c r="AG35" s="102"/>
      <c r="AH35" s="102"/>
      <c r="AI35" s="102"/>
      <c r="AJ35" s="104"/>
      <c r="AK35" s="102"/>
      <c r="AL35" s="102"/>
      <c r="AM35" s="102"/>
      <c r="AN35" s="104"/>
      <c r="AO35" s="104"/>
      <c r="AP35" s="102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202"/>
      <c r="BL35" s="202"/>
      <c r="BM35" s="202"/>
      <c r="BN35" s="202"/>
      <c r="BO35" s="202"/>
      <c r="BP35" s="202"/>
      <c r="BQ35" s="202"/>
      <c r="BR35" s="202"/>
      <c r="BS35" s="202"/>
      <c r="BT35" s="202"/>
      <c r="BU35" s="202"/>
      <c r="BV35" s="104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4"/>
      <c r="CH35" s="104"/>
      <c r="CI35" s="104"/>
      <c r="CJ35" s="104"/>
      <c r="CK35" s="104"/>
      <c r="CL35" s="104"/>
      <c r="CM35" s="104"/>
      <c r="CN35" s="104"/>
    </row>
    <row r="36" spans="1:92" s="18" customFormat="1" x14ac:dyDescent="0.35">
      <c r="A36" s="5"/>
      <c r="B36" s="23" t="str">
        <f>IF(Control!$D$5=1,"Financial Income and Expenses","Despesas e Receitas Financeiras")</f>
        <v>Despesas e Receitas Financeiras</v>
      </c>
      <c r="C36" s="99">
        <v>0</v>
      </c>
      <c r="D36" s="70">
        <f>+D38+D47</f>
        <v>-3.8090000000000011</v>
      </c>
      <c r="E36" s="99">
        <v>-7.4</v>
      </c>
      <c r="F36" s="98">
        <f>+F38+F47</f>
        <v>0</v>
      </c>
      <c r="G36" s="98">
        <f t="shared" ref="G36:AN36" si="30">+G38+G47</f>
        <v>0</v>
      </c>
      <c r="H36" s="98">
        <f t="shared" si="30"/>
        <v>1.4419999999999984</v>
      </c>
      <c r="I36" s="98">
        <f t="shared" si="30"/>
        <v>0</v>
      </c>
      <c r="J36" s="98">
        <f t="shared" si="30"/>
        <v>0</v>
      </c>
      <c r="K36" s="98">
        <f t="shared" si="30"/>
        <v>0</v>
      </c>
      <c r="L36" s="98">
        <f t="shared" si="30"/>
        <v>-6.4509999999999987</v>
      </c>
      <c r="M36" s="98">
        <f t="shared" si="30"/>
        <v>0</v>
      </c>
      <c r="N36" s="98">
        <f t="shared" si="30"/>
        <v>0</v>
      </c>
      <c r="O36" s="98"/>
      <c r="P36" s="98">
        <f t="shared" si="30"/>
        <v>-8.5830000000000037</v>
      </c>
      <c r="Q36" s="98">
        <f t="shared" si="30"/>
        <v>-33.030999999999999</v>
      </c>
      <c r="R36" s="98">
        <f t="shared" si="30"/>
        <v>-53.401999999999987</v>
      </c>
      <c r="S36" s="98">
        <f t="shared" si="30"/>
        <v>0</v>
      </c>
      <c r="T36" s="98">
        <f t="shared" si="30"/>
        <v>-19.710000000000008</v>
      </c>
      <c r="U36" s="98">
        <f t="shared" si="30"/>
        <v>0</v>
      </c>
      <c r="V36" s="98">
        <f t="shared" si="30"/>
        <v>0</v>
      </c>
      <c r="W36" s="98">
        <f t="shared" si="30"/>
        <v>0</v>
      </c>
      <c r="X36" s="98">
        <f t="shared" si="30"/>
        <v>-21.225000000000005</v>
      </c>
      <c r="Y36" s="98">
        <f t="shared" si="30"/>
        <v>-33.998999999999995</v>
      </c>
      <c r="Z36" s="98">
        <f>+Z38+Z47</f>
        <v>-32.290000000000013</v>
      </c>
      <c r="AA36" s="98">
        <f t="shared" si="30"/>
        <v>-32.077999999999996</v>
      </c>
      <c r="AB36" s="98">
        <f t="shared" si="30"/>
        <v>-29.665000000000013</v>
      </c>
      <c r="AC36" s="98">
        <f t="shared" si="30"/>
        <v>-32.956999999999994</v>
      </c>
      <c r="AD36" s="98">
        <f t="shared" si="30"/>
        <v>-34.654000000000011</v>
      </c>
      <c r="AE36" s="98">
        <f>+AE38+AE47</f>
        <v>-30.936999999999983</v>
      </c>
      <c r="AF36" s="98">
        <f t="shared" si="30"/>
        <v>-27.275000000000009</v>
      </c>
      <c r="AG36" s="98">
        <f t="shared" si="30"/>
        <v>-42.407999999999987</v>
      </c>
      <c r="AH36" s="98">
        <f t="shared" si="30"/>
        <v>-44.309999999999995</v>
      </c>
      <c r="AI36" s="98">
        <f t="shared" si="30"/>
        <v>-41.951999999999998</v>
      </c>
      <c r="AJ36" s="98">
        <f t="shared" si="30"/>
        <v>-32.712999999999994</v>
      </c>
      <c r="AK36" s="98">
        <f t="shared" si="30"/>
        <v>-52.656000000000006</v>
      </c>
      <c r="AL36" s="98">
        <f t="shared" si="30"/>
        <v>-33.315999999999988</v>
      </c>
      <c r="AM36" s="98">
        <f t="shared" si="30"/>
        <v>-36.400000000000006</v>
      </c>
      <c r="AN36" s="98">
        <f t="shared" si="30"/>
        <v>-22.797000000000001</v>
      </c>
      <c r="AO36" s="98">
        <f>+AO38+AO47</f>
        <v>-26.027999999999992</v>
      </c>
      <c r="AP36" s="98">
        <f>+AP38+AP47</f>
        <v>-12.557000000000013</v>
      </c>
      <c r="AQ36" s="98">
        <f>+AQ38+AQ47</f>
        <v>-13.017999999999997</v>
      </c>
      <c r="AR36" s="98">
        <f t="shared" ref="AR36:AW36" si="31">+AR38+AR47</f>
        <v>-12.099999999999994</v>
      </c>
      <c r="AS36" s="98">
        <f t="shared" si="31"/>
        <v>-6.1999999999999886</v>
      </c>
      <c r="AT36" s="98">
        <f t="shared" si="31"/>
        <v>18.799999999999997</v>
      </c>
      <c r="AU36" s="98">
        <f t="shared" si="31"/>
        <v>-16.469000000000001</v>
      </c>
      <c r="AV36" s="98">
        <f t="shared" si="31"/>
        <v>-10.790000000000006</v>
      </c>
      <c r="AW36" s="98">
        <f t="shared" si="31"/>
        <v>-18.206</v>
      </c>
      <c r="AX36" s="98">
        <f t="shared" ref="AX36:BK36" si="32">+AX38+AX47</f>
        <v>-19.404999999999994</v>
      </c>
      <c r="AY36" s="98">
        <f t="shared" si="32"/>
        <v>-12.334000000000003</v>
      </c>
      <c r="AZ36" s="98">
        <f t="shared" si="32"/>
        <v>-16.959000000000017</v>
      </c>
      <c r="BA36" s="98">
        <f t="shared" si="32"/>
        <v>-14.315000000000012</v>
      </c>
      <c r="BB36" s="98">
        <f t="shared" si="32"/>
        <v>-29.381000000000014</v>
      </c>
      <c r="BC36" s="98">
        <f t="shared" si="32"/>
        <v>-24.428999999999988</v>
      </c>
      <c r="BD36" s="98">
        <f t="shared" si="32"/>
        <v>-25.023000000000003</v>
      </c>
      <c r="BE36" s="98">
        <f t="shared" si="32"/>
        <v>-29.551999999999992</v>
      </c>
      <c r="BF36" s="98">
        <f t="shared" si="32"/>
        <v>-25.398000000000025</v>
      </c>
      <c r="BG36" s="98">
        <f t="shared" si="32"/>
        <v>-41.601000000000013</v>
      </c>
      <c r="BH36" s="98">
        <f t="shared" si="32"/>
        <v>-84.921000000000021</v>
      </c>
      <c r="BI36" s="98">
        <f t="shared" si="32"/>
        <v>-51.536999999999992</v>
      </c>
      <c r="BJ36" s="98">
        <f t="shared" si="32"/>
        <v>-73.833999999999989</v>
      </c>
      <c r="BK36" s="98">
        <f t="shared" si="32"/>
        <v>-80.275000000000006</v>
      </c>
      <c r="BL36" s="98">
        <f t="shared" ref="BL36:BU36" si="33">+BL38+BL47</f>
        <v>-105.18200000000002</v>
      </c>
      <c r="BM36" s="98">
        <f t="shared" si="33"/>
        <v>-107.91199999999999</v>
      </c>
      <c r="BN36" s="98">
        <f t="shared" si="33"/>
        <v>-110.01899999999998</v>
      </c>
      <c r="BO36" s="98">
        <f t="shared" si="33"/>
        <v>-100.59900000000003</v>
      </c>
      <c r="BP36" s="98">
        <f t="shared" si="33"/>
        <v>-98.625999999999991</v>
      </c>
      <c r="BQ36" s="98">
        <f t="shared" si="33"/>
        <v>-89.452999999999975</v>
      </c>
      <c r="BR36" s="98">
        <f t="shared" si="33"/>
        <v>-115.23899999999998</v>
      </c>
      <c r="BS36" s="98">
        <f t="shared" si="33"/>
        <v>-207.8230150200001</v>
      </c>
      <c r="BT36" s="98">
        <f t="shared" si="33"/>
        <v>-118.36200000000002</v>
      </c>
      <c r="BU36" s="98">
        <f t="shared" si="33"/>
        <v>-141.58199999999997</v>
      </c>
      <c r="BV36" s="98"/>
      <c r="BW36" s="98">
        <f>+BW38+BW47</f>
        <v>-26.641999999999996</v>
      </c>
      <c r="BX36" s="98">
        <f>+BX38+BX47</f>
        <v>-57.014999999999993</v>
      </c>
      <c r="BY36" s="98">
        <f>+BY38+BY47</f>
        <v>-15.509999999999991</v>
      </c>
      <c r="BZ36" s="98">
        <v>-35.700000000000003</v>
      </c>
      <c r="CA36" s="98">
        <v>-66</v>
      </c>
      <c r="CB36" s="98">
        <v>-67.7</v>
      </c>
      <c r="CC36" s="98">
        <f t="shared" ref="CC36:CH36" si="34">+CC38+CC47</f>
        <v>-119.59200000000001</v>
      </c>
      <c r="CD36" s="98">
        <f t="shared" si="34"/>
        <v>-128.26900000000001</v>
      </c>
      <c r="CE36" s="98">
        <f t="shared" si="34"/>
        <v>-155.94499999999999</v>
      </c>
      <c r="CF36" s="98">
        <f t="shared" si="34"/>
        <v>-158.08599999999996</v>
      </c>
      <c r="CG36" s="98">
        <f t="shared" si="34"/>
        <v>-74.400000000000034</v>
      </c>
      <c r="CH36" s="98">
        <f t="shared" si="34"/>
        <v>-15.969000000000023</v>
      </c>
      <c r="CI36" s="98">
        <f t="shared" ref="CI36:CN36" si="35">+CI38+CI47</f>
        <v>-60.735000000000014</v>
      </c>
      <c r="CJ36" s="98">
        <f t="shared" si="35"/>
        <v>-84.928000000000054</v>
      </c>
      <c r="CK36" s="98">
        <f t="shared" si="35"/>
        <v>-127.59000000000006</v>
      </c>
      <c r="CL36" s="98">
        <f t="shared" si="35"/>
        <v>-290.56699999999995</v>
      </c>
      <c r="CM36" s="98">
        <f t="shared" si="35"/>
        <v>-423.71199999999999</v>
      </c>
      <c r="CN36" s="98">
        <f t="shared" si="35"/>
        <v>-511.14101502000005</v>
      </c>
    </row>
    <row r="37" spans="1:92" x14ac:dyDescent="0.35">
      <c r="A37" s="6"/>
      <c r="B37" s="23"/>
      <c r="C37" s="23"/>
      <c r="D37" s="23"/>
      <c r="H37" s="23"/>
      <c r="L37" s="23"/>
      <c r="P37" s="23"/>
      <c r="T37" s="23"/>
      <c r="Y37" s="193"/>
      <c r="AC37" s="193"/>
      <c r="AD37" s="193"/>
      <c r="AE37" s="193"/>
      <c r="AO37" s="10"/>
      <c r="CG37" s="60"/>
      <c r="CH37" s="60"/>
      <c r="CI37" s="60"/>
      <c r="CJ37" s="60"/>
      <c r="CK37" s="60"/>
      <c r="CL37" s="60"/>
      <c r="CM37" s="60"/>
      <c r="CN37" s="60"/>
    </row>
    <row r="38" spans="1:92" x14ac:dyDescent="0.35">
      <c r="A38" s="20"/>
      <c r="B38" s="28" t="str">
        <f>IF(Control!$D$5=1,"Finacial Expenses","Despesas Financeiras")</f>
        <v>Despesas Financeiras</v>
      </c>
      <c r="C38" s="99">
        <v>0</v>
      </c>
      <c r="D38" s="70">
        <f t="shared" ref="D38:AQ38" si="36">SUM(D39:D45)</f>
        <v>-7.0590000000000011</v>
      </c>
      <c r="E38" s="99">
        <f t="shared" si="36"/>
        <v>0</v>
      </c>
      <c r="F38" s="98">
        <f t="shared" si="36"/>
        <v>0</v>
      </c>
      <c r="G38" s="98">
        <f t="shared" si="36"/>
        <v>0</v>
      </c>
      <c r="H38" s="70">
        <f t="shared" si="36"/>
        <v>-10.111000000000001</v>
      </c>
      <c r="I38" s="98">
        <f t="shared" si="36"/>
        <v>0</v>
      </c>
      <c r="J38" s="98">
        <f t="shared" si="36"/>
        <v>0</v>
      </c>
      <c r="K38" s="98">
        <f t="shared" si="36"/>
        <v>0</v>
      </c>
      <c r="L38" s="70">
        <f t="shared" si="36"/>
        <v>-14.254999999999999</v>
      </c>
      <c r="M38" s="98">
        <f t="shared" si="36"/>
        <v>0</v>
      </c>
      <c r="N38" s="98">
        <f t="shared" si="36"/>
        <v>0</v>
      </c>
      <c r="O38" s="98">
        <f t="shared" si="36"/>
        <v>0</v>
      </c>
      <c r="P38" s="70">
        <f t="shared" si="36"/>
        <v>-18.163000000000004</v>
      </c>
      <c r="Q38" s="99">
        <f t="shared" si="36"/>
        <v>-93.637</v>
      </c>
      <c r="R38" s="98">
        <f t="shared" si="36"/>
        <v>-81.98599999999999</v>
      </c>
      <c r="S38" s="98">
        <f t="shared" si="36"/>
        <v>0</v>
      </c>
      <c r="T38" s="70">
        <f t="shared" si="36"/>
        <v>-65.225000000000009</v>
      </c>
      <c r="U38" s="98">
        <f t="shared" si="36"/>
        <v>0</v>
      </c>
      <c r="V38" s="98">
        <f t="shared" si="36"/>
        <v>0</v>
      </c>
      <c r="W38" s="98">
        <f t="shared" si="36"/>
        <v>0</v>
      </c>
      <c r="X38" s="70">
        <f t="shared" si="36"/>
        <v>-43.486000000000004</v>
      </c>
      <c r="Y38" s="99">
        <f t="shared" si="36"/>
        <v>-52.998999999999995</v>
      </c>
      <c r="Z38" s="98">
        <f t="shared" si="36"/>
        <v>-44.410000000000011</v>
      </c>
      <c r="AA38" s="98">
        <f t="shared" si="36"/>
        <v>-44.558999999999997</v>
      </c>
      <c r="AB38" s="70">
        <f t="shared" si="36"/>
        <v>-43.765000000000015</v>
      </c>
      <c r="AC38" s="99">
        <f t="shared" si="36"/>
        <v>-95.662999999999997</v>
      </c>
      <c r="AD38" s="98">
        <f t="shared" si="36"/>
        <v>-60.688000000000009</v>
      </c>
      <c r="AE38" s="98">
        <f t="shared" si="36"/>
        <v>-61.650999999999989</v>
      </c>
      <c r="AF38" s="70">
        <f t="shared" si="36"/>
        <v>-54.411000000000008</v>
      </c>
      <c r="AG38" s="99">
        <f t="shared" si="36"/>
        <v>-58.217999999999989</v>
      </c>
      <c r="AH38" s="98">
        <f t="shared" si="36"/>
        <v>-57.445999999999998</v>
      </c>
      <c r="AI38" s="98">
        <f t="shared" si="36"/>
        <v>-57.83</v>
      </c>
      <c r="AJ38" s="70">
        <f t="shared" si="36"/>
        <v>-49.48599999999999</v>
      </c>
      <c r="AK38" s="99">
        <f t="shared" si="36"/>
        <v>-67.465000000000003</v>
      </c>
      <c r="AL38" s="98">
        <f t="shared" si="36"/>
        <v>-44.964999999999989</v>
      </c>
      <c r="AM38" s="98">
        <f t="shared" si="36"/>
        <v>-60.000000000000007</v>
      </c>
      <c r="AN38" s="70">
        <f t="shared" si="36"/>
        <v>-54.692</v>
      </c>
      <c r="AO38" s="99">
        <f t="shared" si="36"/>
        <v>-52.356999999999992</v>
      </c>
      <c r="AP38" s="98">
        <f t="shared" si="36"/>
        <v>-40.432000000000009</v>
      </c>
      <c r="AQ38" s="99">
        <f t="shared" si="36"/>
        <v>-33.618999999999993</v>
      </c>
      <c r="AR38" s="99">
        <f t="shared" ref="AR38:AW38" si="37">SUM(AR39:AR45)</f>
        <v>-42.699999999999996</v>
      </c>
      <c r="AS38" s="99">
        <f t="shared" si="37"/>
        <v>-64.599999999999994</v>
      </c>
      <c r="AT38" s="99">
        <f t="shared" si="37"/>
        <v>-63.5</v>
      </c>
      <c r="AU38" s="99">
        <f t="shared" si="37"/>
        <v>-47.078000000000003</v>
      </c>
      <c r="AV38" s="99">
        <f t="shared" si="37"/>
        <v>-50.6</v>
      </c>
      <c r="AW38" s="99">
        <f t="shared" si="37"/>
        <v>-49.181999999999995</v>
      </c>
      <c r="AX38" s="99">
        <f t="shared" ref="AX38:BD38" si="38">SUM(AX39:AX45)</f>
        <v>-43.346999999999994</v>
      </c>
      <c r="AY38" s="99">
        <f t="shared" si="38"/>
        <v>-44.864000000000004</v>
      </c>
      <c r="AZ38" s="99">
        <f t="shared" si="38"/>
        <v>-89.162000000000006</v>
      </c>
      <c r="BA38" s="99">
        <f t="shared" si="38"/>
        <v>-79.068000000000012</v>
      </c>
      <c r="BB38" s="99">
        <f t="shared" si="38"/>
        <v>-110.70500000000001</v>
      </c>
      <c r="BC38" s="99">
        <f t="shared" si="38"/>
        <v>-84.260999999999996</v>
      </c>
      <c r="BD38" s="99">
        <f t="shared" si="38"/>
        <v>-64.376000000000005</v>
      </c>
      <c r="BE38" s="99">
        <f t="shared" ref="BE38:BK38" si="39">SUM(BE39:BE45)</f>
        <v>-76.709999999999994</v>
      </c>
      <c r="BF38" s="99">
        <f t="shared" si="39"/>
        <v>-88.095000000000027</v>
      </c>
      <c r="BG38" s="99">
        <f t="shared" si="39"/>
        <v>-116.72800000000002</v>
      </c>
      <c r="BH38" s="99">
        <f t="shared" si="39"/>
        <v>-153.50800000000001</v>
      </c>
      <c r="BI38" s="99">
        <f t="shared" si="39"/>
        <v>-138.02799999999999</v>
      </c>
      <c r="BJ38" s="99">
        <f t="shared" si="39"/>
        <v>-160.26599999999999</v>
      </c>
      <c r="BK38" s="99">
        <f t="shared" si="39"/>
        <v>-140.74200000000002</v>
      </c>
      <c r="BL38" s="99">
        <f t="shared" ref="BL38:BU38" si="40">SUM(BL39:BL45)</f>
        <v>-164.43600000000001</v>
      </c>
      <c r="BM38" s="99">
        <f t="shared" si="40"/>
        <v>-190.55499999999998</v>
      </c>
      <c r="BN38" s="99">
        <f t="shared" si="40"/>
        <v>-200.58299999999997</v>
      </c>
      <c r="BO38" s="99">
        <f t="shared" si="40"/>
        <v>-200.99500000000003</v>
      </c>
      <c r="BP38" s="99">
        <f t="shared" si="40"/>
        <v>-190.209</v>
      </c>
      <c r="BQ38" s="99">
        <f t="shared" si="40"/>
        <v>-231.75399999999996</v>
      </c>
      <c r="BR38" s="99">
        <f t="shared" si="40"/>
        <v>-240.86599999999999</v>
      </c>
      <c r="BS38" s="99">
        <f t="shared" si="40"/>
        <v>-279.96700075000007</v>
      </c>
      <c r="BT38" s="99">
        <f t="shared" si="40"/>
        <v>-179.79800000000003</v>
      </c>
      <c r="BU38" s="99">
        <f t="shared" si="40"/>
        <v>-172.84499999999997</v>
      </c>
      <c r="BV38" s="99"/>
      <c r="BW38" s="98">
        <f>SUM(BW39:BW45)</f>
        <v>-45.174999999999997</v>
      </c>
      <c r="BX38" s="98">
        <f>SUM(BX39:BX45)</f>
        <v>-79.61399999999999</v>
      </c>
      <c r="BY38" s="98">
        <f>SUM(BY39:BY45)</f>
        <v>-44.783999999999992</v>
      </c>
      <c r="BZ38" s="98">
        <f t="shared" ref="BZ38:CE38" si="41">SUM(BZ39:BZ45)</f>
        <v>0</v>
      </c>
      <c r="CA38" s="98">
        <f t="shared" si="41"/>
        <v>0</v>
      </c>
      <c r="CB38" s="98">
        <f t="shared" si="41"/>
        <v>0</v>
      </c>
      <c r="CC38" s="98">
        <f t="shared" si="41"/>
        <v>-185.45400000000001</v>
      </c>
      <c r="CD38" s="98">
        <f t="shared" si="41"/>
        <v>-204.06700000000001</v>
      </c>
      <c r="CE38" s="98">
        <f t="shared" si="41"/>
        <v>-227.90499999999997</v>
      </c>
      <c r="CF38" s="98">
        <f t="shared" ref="CF38:CK38" si="42">SUM(CF39:CF45)</f>
        <v>-224.88599999999997</v>
      </c>
      <c r="CG38" s="98">
        <f t="shared" si="42"/>
        <v>-181.10000000000002</v>
      </c>
      <c r="CH38" s="98">
        <f t="shared" si="42"/>
        <v>-217.87800000000001</v>
      </c>
      <c r="CI38" s="98">
        <f t="shared" si="42"/>
        <v>-187.99300000000002</v>
      </c>
      <c r="CJ38" s="98">
        <f t="shared" si="42"/>
        <v>-363.13400000000001</v>
      </c>
      <c r="CK38" s="98">
        <f t="shared" si="42"/>
        <v>-345.90900000000005</v>
      </c>
      <c r="CL38" s="98">
        <f>SUM(CL39:CL45)</f>
        <v>-592.54399999999998</v>
      </c>
      <c r="CM38" s="98">
        <f>SUM(CM39:CM45)</f>
        <v>-756.56899999999996</v>
      </c>
      <c r="CN38" s="98">
        <f>SUM(CN39:CN45)</f>
        <v>-942.79600075000008</v>
      </c>
    </row>
    <row r="39" spans="1:92" x14ac:dyDescent="0.35">
      <c r="B39" s="29" t="str">
        <f>IF(Control!$D$5=1,"Interest Expenses","Juros sobre Empréstimos")</f>
        <v>Juros sobre Empréstimos</v>
      </c>
      <c r="C39" s="99">
        <v>0</v>
      </c>
      <c r="D39" s="71">
        <v>-7.44</v>
      </c>
      <c r="E39" s="178" t="s">
        <v>3</v>
      </c>
      <c r="F39" s="178" t="s">
        <v>3</v>
      </c>
      <c r="G39" s="178" t="s">
        <v>3</v>
      </c>
      <c r="H39" s="71">
        <v>-8.4380000000000006</v>
      </c>
      <c r="I39" s="178" t="s">
        <v>3</v>
      </c>
      <c r="J39" s="178" t="s">
        <v>3</v>
      </c>
      <c r="K39" s="178" t="s">
        <v>3</v>
      </c>
      <c r="L39" s="71">
        <v>-12.811999999999999</v>
      </c>
      <c r="M39" s="178" t="s">
        <v>3</v>
      </c>
      <c r="N39" s="178" t="s">
        <v>3</v>
      </c>
      <c r="O39" s="178" t="s">
        <v>3</v>
      </c>
      <c r="P39" s="71">
        <v>-16.138000000000002</v>
      </c>
      <c r="Q39" s="105">
        <v>-40.768999999999998</v>
      </c>
      <c r="R39" s="49">
        <v>-71.638999999999996</v>
      </c>
      <c r="S39" s="178" t="s">
        <v>3</v>
      </c>
      <c r="T39" s="71">
        <v>-20.574000000000002</v>
      </c>
      <c r="U39" s="178" t="s">
        <v>3</v>
      </c>
      <c r="V39" s="178" t="s">
        <v>3</v>
      </c>
      <c r="W39" s="178" t="s">
        <v>3</v>
      </c>
      <c r="X39" s="71">
        <v>-26.818000000000001</v>
      </c>
      <c r="Y39" s="43">
        <v>-26.959999999999997</v>
      </c>
      <c r="Z39" s="49">
        <v>-31.550000000000008</v>
      </c>
      <c r="AA39" s="49">
        <f t="shared" ref="AA39:AA45" si="43">CC39-Z39-Y39-X39</f>
        <v>-35.463999999999999</v>
      </c>
      <c r="AB39" s="71">
        <v>-36.548999999999999</v>
      </c>
      <c r="AC39" s="43">
        <v>-75.960999999999999</v>
      </c>
      <c r="AD39" s="49">
        <v>-9.6660000000000039</v>
      </c>
      <c r="AE39" s="49">
        <v>-41.054999999999993</v>
      </c>
      <c r="AF39" s="71">
        <v>-39.755000000000003</v>
      </c>
      <c r="AG39" s="43">
        <v>-48.648999999999994</v>
      </c>
      <c r="AH39" s="49">
        <v>-47.903999999999996</v>
      </c>
      <c r="AI39" s="49">
        <v>-44.820999999999998</v>
      </c>
      <c r="AJ39" s="71">
        <v>-40.735999999999997</v>
      </c>
      <c r="AK39" s="43">
        <v>-44.455000000000005</v>
      </c>
      <c r="AL39" s="49">
        <v>-40.159999999999997</v>
      </c>
      <c r="AM39" s="49">
        <v>-46</v>
      </c>
      <c r="AN39" s="71">
        <v>-37.411999999999999</v>
      </c>
      <c r="AO39" s="43">
        <v>-32.678999999999995</v>
      </c>
      <c r="AP39" s="49">
        <v>-24.811000000000007</v>
      </c>
      <c r="AQ39" s="71">
        <v>-19.397999999999996</v>
      </c>
      <c r="AR39" s="71">
        <v>-19.399999999999999</v>
      </c>
      <c r="AS39" s="71">
        <v>-21.200000000000003</v>
      </c>
      <c r="AT39" s="71">
        <v>-19.399999999999999</v>
      </c>
      <c r="AU39" s="71">
        <v>-22.070999999999998</v>
      </c>
      <c r="AV39" s="71">
        <v>-27.099999999999998</v>
      </c>
      <c r="AW39" s="71">
        <v>-30.402999999999999</v>
      </c>
      <c r="AX39" s="71">
        <v>-27.235999999999997</v>
      </c>
      <c r="AY39" s="71">
        <v>-18.170999999999999</v>
      </c>
      <c r="AZ39" s="71">
        <v>-23.927</v>
      </c>
      <c r="BA39" s="71">
        <v>-23.457999999999998</v>
      </c>
      <c r="BB39" s="71">
        <v>-23.065999999999999</v>
      </c>
      <c r="BC39" s="71">
        <v>-19.34</v>
      </c>
      <c r="BD39" s="71">
        <v>-22.295999999999999</v>
      </c>
      <c r="BE39" s="71">
        <v>-33.603000000000002</v>
      </c>
      <c r="BF39" s="71">
        <v>-44.140999999999998</v>
      </c>
      <c r="BG39" s="71">
        <v>-79.13900000000001</v>
      </c>
      <c r="BH39" s="71">
        <v>-86.251000000000005</v>
      </c>
      <c r="BI39" s="71">
        <v>-102.407</v>
      </c>
      <c r="BJ39" s="71">
        <v>-101.599</v>
      </c>
      <c r="BK39" s="71">
        <v>-98.858000000000004</v>
      </c>
      <c r="BL39" s="71">
        <v>-124.58499999999999</v>
      </c>
      <c r="BM39" s="71">
        <v>-145.46299999999999</v>
      </c>
      <c r="BN39" s="71">
        <v>-141.36799999999999</v>
      </c>
      <c r="BO39" s="71">
        <v>-153.14900000000006</v>
      </c>
      <c r="BP39" s="71">
        <v>-152.08000000000001</v>
      </c>
      <c r="BQ39" s="226">
        <v>-153.636</v>
      </c>
      <c r="BR39" s="226">
        <v>-153.88999999999999</v>
      </c>
      <c r="BS39" s="226">
        <f>-621.368-SUM(BP39:BR39)</f>
        <v>-161.76200000000006</v>
      </c>
      <c r="BT39" s="226">
        <v>-157.417</v>
      </c>
      <c r="BU39" s="71">
        <v>-155.04499999999999</v>
      </c>
      <c r="BV39" s="71"/>
      <c r="BW39" s="49">
        <v>-31.17</v>
      </c>
      <c r="BX39" s="49">
        <v>-45.716999999999999</v>
      </c>
      <c r="BY39" s="49">
        <v>-35.796999999999997</v>
      </c>
      <c r="BZ39" s="69" t="s">
        <v>3</v>
      </c>
      <c r="CA39" s="69" t="s">
        <v>3</v>
      </c>
      <c r="CB39" s="69" t="s">
        <v>3</v>
      </c>
      <c r="CC39" s="49">
        <v>-120.792</v>
      </c>
      <c r="CD39" s="49">
        <v>-163.23099999999999</v>
      </c>
      <c r="CE39" s="49">
        <v>-181.12899999999999</v>
      </c>
      <c r="CF39" s="49">
        <v>-171.38499999999999</v>
      </c>
      <c r="CG39" s="71">
        <v>-114.3</v>
      </c>
      <c r="CH39" s="71">
        <v>-82.070999999999998</v>
      </c>
      <c r="CI39" s="71">
        <v>-102.91</v>
      </c>
      <c r="CJ39" s="71">
        <v>-89.789000000000001</v>
      </c>
      <c r="CK39" s="71">
        <f>-172.625-6.554</f>
        <v>-179.179</v>
      </c>
      <c r="CL39" s="49">
        <f t="shared" ref="CL39:CL45" si="44">SUM(BH39:BK39)</f>
        <v>-389.11500000000001</v>
      </c>
      <c r="CM39" s="49">
        <f>SUM(BL39:BO39)</f>
        <v>-564.56500000000005</v>
      </c>
      <c r="CN39" s="49">
        <f t="shared" ref="CN39:CN45" si="45">SUM(BP39:BS39)</f>
        <v>-621.36800000000005</v>
      </c>
    </row>
    <row r="40" spans="1:92" x14ac:dyDescent="0.35">
      <c r="B40" s="29" t="str">
        <f>IF(Control!$D$5=1,"Derivatives","Derivativos")</f>
        <v>Derivativos</v>
      </c>
      <c r="C40" s="99">
        <v>0</v>
      </c>
      <c r="D40" s="71">
        <v>0</v>
      </c>
      <c r="E40" s="178" t="s">
        <v>3</v>
      </c>
      <c r="F40" s="178" t="s">
        <v>3</v>
      </c>
      <c r="G40" s="178" t="s">
        <v>3</v>
      </c>
      <c r="H40" s="71">
        <v>0</v>
      </c>
      <c r="I40" s="178" t="s">
        <v>3</v>
      </c>
      <c r="J40" s="178" t="s">
        <v>3</v>
      </c>
      <c r="K40" s="178" t="s">
        <v>3</v>
      </c>
      <c r="L40" s="71">
        <v>0</v>
      </c>
      <c r="M40" s="178" t="s">
        <v>3</v>
      </c>
      <c r="N40" s="178" t="s">
        <v>3</v>
      </c>
      <c r="O40" s="178" t="s">
        <v>3</v>
      </c>
      <c r="P40" s="71">
        <v>0</v>
      </c>
      <c r="Q40" s="105">
        <v>0</v>
      </c>
      <c r="R40" s="49">
        <v>0</v>
      </c>
      <c r="S40" s="178" t="s">
        <v>3</v>
      </c>
      <c r="T40" s="71">
        <v>0</v>
      </c>
      <c r="U40" s="178" t="s">
        <v>3</v>
      </c>
      <c r="V40" s="178" t="s">
        <v>3</v>
      </c>
      <c r="W40" s="178" t="s">
        <v>3</v>
      </c>
      <c r="X40" s="71">
        <v>0</v>
      </c>
      <c r="Y40" s="43">
        <v>0</v>
      </c>
      <c r="Z40" s="49">
        <v>0</v>
      </c>
      <c r="AA40" s="49">
        <f t="shared" si="43"/>
        <v>0</v>
      </c>
      <c r="AB40" s="71">
        <v>0</v>
      </c>
      <c r="AC40" s="43">
        <v>0</v>
      </c>
      <c r="AD40" s="49">
        <v>0</v>
      </c>
      <c r="AE40" s="49">
        <v>0</v>
      </c>
      <c r="AF40" s="71">
        <v>0</v>
      </c>
      <c r="AG40" s="43">
        <v>0</v>
      </c>
      <c r="AH40" s="49">
        <v>0</v>
      </c>
      <c r="AI40" s="49">
        <v>0</v>
      </c>
      <c r="AJ40" s="71">
        <v>0</v>
      </c>
      <c r="AK40" s="43">
        <v>0</v>
      </c>
      <c r="AL40" s="49">
        <v>-9.5679999999999996</v>
      </c>
      <c r="AM40" s="49">
        <v>-9.6999999999999993</v>
      </c>
      <c r="AN40" s="71">
        <v>-11.920999999999999</v>
      </c>
      <c r="AO40" s="43">
        <v>-13.125</v>
      </c>
      <c r="AP40" s="49">
        <v>-9.2830000000000013</v>
      </c>
      <c r="AQ40" s="71">
        <v>-6.9709999999999965</v>
      </c>
      <c r="AR40" s="71">
        <v>-6.7</v>
      </c>
      <c r="AS40" s="71">
        <v>-27.500000000000004</v>
      </c>
      <c r="AT40" s="71">
        <v>-35.700000000000003</v>
      </c>
      <c r="AU40" s="71">
        <v>-18.350999999999999</v>
      </c>
      <c r="AV40" s="71">
        <v>-15.3</v>
      </c>
      <c r="AW40" s="71">
        <v>-7.8840000000000003</v>
      </c>
      <c r="AX40" s="71">
        <v>-6.1649999999999991</v>
      </c>
      <c r="AY40" s="71">
        <v>-7.9720000000000004</v>
      </c>
      <c r="AZ40" s="71">
        <v>-32.74</v>
      </c>
      <c r="BA40" s="71">
        <v>-38.116999999999997</v>
      </c>
      <c r="BB40" s="71">
        <v>-71.313000000000002</v>
      </c>
      <c r="BC40" s="71">
        <v>-43.046999999999997</v>
      </c>
      <c r="BD40" s="71">
        <v>-30.03</v>
      </c>
      <c r="BE40" s="71">
        <v>-29.143000000000001</v>
      </c>
      <c r="BF40" s="71">
        <v>-23.753</v>
      </c>
      <c r="BG40" s="71">
        <v>-28.67</v>
      </c>
      <c r="BH40" s="71">
        <v>-29.927</v>
      </c>
      <c r="BI40" s="71">
        <v>-25.849</v>
      </c>
      <c r="BJ40" s="71">
        <v>-40.81</v>
      </c>
      <c r="BK40" s="71">
        <v>-27.024999999999999</v>
      </c>
      <c r="BL40" s="71">
        <v>-22.984999999999999</v>
      </c>
      <c r="BM40" s="71">
        <v>-25.234999999999999</v>
      </c>
      <c r="BN40" s="71">
        <v>-34.292000000000002</v>
      </c>
      <c r="BO40" s="71">
        <v>-26.551000000000002</v>
      </c>
      <c r="BP40" s="71">
        <v>-11.611000000000001</v>
      </c>
      <c r="BQ40" s="226">
        <v>-44.573999999999998</v>
      </c>
      <c r="BR40" s="226">
        <v>-37.100999999999999</v>
      </c>
      <c r="BS40" s="226">
        <f>-117.956-SUM(BP40:BR40)</f>
        <v>-24.67</v>
      </c>
      <c r="BT40" s="71">
        <v>-3.97</v>
      </c>
      <c r="BU40" s="71">
        <v>0</v>
      </c>
      <c r="BV40" s="71"/>
      <c r="BW40" s="49">
        <v>0</v>
      </c>
      <c r="BX40" s="49">
        <v>0</v>
      </c>
      <c r="BY40" s="49">
        <v>0</v>
      </c>
      <c r="BZ40" s="69" t="s">
        <v>3</v>
      </c>
      <c r="CA40" s="69" t="s">
        <v>3</v>
      </c>
      <c r="CB40" s="69" t="s">
        <v>3</v>
      </c>
      <c r="CC40" s="49">
        <v>0</v>
      </c>
      <c r="CD40" s="49">
        <v>0</v>
      </c>
      <c r="CE40" s="49">
        <v>0</v>
      </c>
      <c r="CF40" s="49">
        <v>-19.306999999999999</v>
      </c>
      <c r="CG40" s="71">
        <v>-41.3</v>
      </c>
      <c r="CH40" s="71">
        <v>-88.251000000000005</v>
      </c>
      <c r="CI40" s="71">
        <v>-37.320999999999998</v>
      </c>
      <c r="CJ40" s="71">
        <v>-185.21700000000001</v>
      </c>
      <c r="CK40" s="71">
        <v>-111.596</v>
      </c>
      <c r="CL40" s="49">
        <f t="shared" si="44"/>
        <v>-123.61099999999999</v>
      </c>
      <c r="CM40" s="49">
        <f>SUM(BL40:BO40)</f>
        <v>-109.063</v>
      </c>
      <c r="CN40" s="49">
        <f t="shared" si="45"/>
        <v>-117.956</v>
      </c>
    </row>
    <row r="41" spans="1:92" x14ac:dyDescent="0.35">
      <c r="B41" s="29" t="str">
        <f>IF(Control!$D$5=1,"Tax on Financial Transactions (IOF)","IOF")</f>
        <v>IOF</v>
      </c>
      <c r="C41" s="99">
        <v>0</v>
      </c>
      <c r="D41" s="71">
        <v>-0.15</v>
      </c>
      <c r="E41" s="178" t="s">
        <v>3</v>
      </c>
      <c r="F41" s="178" t="s">
        <v>3</v>
      </c>
      <c r="G41" s="178" t="s">
        <v>3</v>
      </c>
      <c r="H41" s="71">
        <v>-0.16200000000000001</v>
      </c>
      <c r="I41" s="178" t="s">
        <v>3</v>
      </c>
      <c r="J41" s="178" t="s">
        <v>3</v>
      </c>
      <c r="K41" s="178" t="s">
        <v>3</v>
      </c>
      <c r="L41" s="71">
        <v>-9.6000000000000002E-2</v>
      </c>
      <c r="M41" s="178" t="s">
        <v>3</v>
      </c>
      <c r="N41" s="178" t="s">
        <v>3</v>
      </c>
      <c r="O41" s="178" t="s">
        <v>3</v>
      </c>
      <c r="P41" s="71">
        <v>-0.254</v>
      </c>
      <c r="Q41" s="105">
        <v>-0.17299999999999999</v>
      </c>
      <c r="R41" s="49">
        <v>0</v>
      </c>
      <c r="S41" s="178" t="s">
        <v>3</v>
      </c>
      <c r="T41" s="71">
        <v>-0.13400000000000001</v>
      </c>
      <c r="U41" s="178" t="s">
        <v>3</v>
      </c>
      <c r="V41" s="178" t="s">
        <v>3</v>
      </c>
      <c r="W41" s="178" t="s">
        <v>3</v>
      </c>
      <c r="X41" s="71">
        <v>-0.16500000000000001</v>
      </c>
      <c r="Y41" s="43">
        <v>-2.16</v>
      </c>
      <c r="Z41" s="49">
        <v>-2.9999999999996974E-3</v>
      </c>
      <c r="AA41" s="49">
        <f t="shared" si="43"/>
        <v>-9.6000000000000113E-2</v>
      </c>
      <c r="AB41" s="71">
        <v>-8.1000000000000003E-2</v>
      </c>
      <c r="AC41" s="43">
        <v>-0.23499999999999999</v>
      </c>
      <c r="AD41" s="49">
        <v>-0.2</v>
      </c>
      <c r="AE41" s="49">
        <v>-6.1999999999999944E-2</v>
      </c>
      <c r="AF41" s="71">
        <v>-0.02</v>
      </c>
      <c r="AG41" s="43">
        <v>0.02</v>
      </c>
      <c r="AH41" s="49">
        <v>0</v>
      </c>
      <c r="AI41" s="49">
        <v>0</v>
      </c>
      <c r="AJ41" s="71">
        <v>0</v>
      </c>
      <c r="AK41" s="43">
        <v>0</v>
      </c>
      <c r="AL41" s="49">
        <v>0</v>
      </c>
      <c r="AM41" s="49">
        <v>0</v>
      </c>
      <c r="AN41" s="71">
        <v>0</v>
      </c>
      <c r="AO41" s="43">
        <v>0</v>
      </c>
      <c r="AP41" s="49">
        <v>0</v>
      </c>
      <c r="AQ41" s="71">
        <v>0</v>
      </c>
      <c r="AR41" s="71">
        <v>0</v>
      </c>
      <c r="AS41" s="71">
        <v>0</v>
      </c>
      <c r="AT41" s="71">
        <v>0</v>
      </c>
      <c r="AU41" s="71">
        <v>0</v>
      </c>
      <c r="AV41" s="71">
        <v>0</v>
      </c>
      <c r="AW41" s="71">
        <v>0</v>
      </c>
      <c r="AX41" s="71">
        <v>0</v>
      </c>
      <c r="AY41" s="71">
        <v>0</v>
      </c>
      <c r="AZ41" s="71">
        <v>0</v>
      </c>
      <c r="BA41" s="71">
        <v>0</v>
      </c>
      <c r="BB41" s="71">
        <v>0</v>
      </c>
      <c r="BC41" s="71">
        <v>0</v>
      </c>
      <c r="BD41" s="71">
        <v>0</v>
      </c>
      <c r="BE41" s="71">
        <v>0</v>
      </c>
      <c r="BF41" s="71">
        <v>0</v>
      </c>
      <c r="BG41" s="71">
        <v>0</v>
      </c>
      <c r="BH41" s="71">
        <v>0</v>
      </c>
      <c r="BI41" s="71">
        <v>0</v>
      </c>
      <c r="BJ41" s="71">
        <v>0</v>
      </c>
      <c r="BK41" s="71">
        <v>0</v>
      </c>
      <c r="BL41" s="71">
        <v>0</v>
      </c>
      <c r="BM41" s="71">
        <v>0</v>
      </c>
      <c r="BN41" s="71">
        <v>0</v>
      </c>
      <c r="BO41" s="71"/>
      <c r="BP41" s="71">
        <v>0</v>
      </c>
      <c r="BQ41" s="226">
        <v>0</v>
      </c>
      <c r="BR41" s="226">
        <v>0</v>
      </c>
      <c r="BS41" s="226">
        <v>0</v>
      </c>
      <c r="BT41" s="226">
        <v>0</v>
      </c>
      <c r="BU41" s="71">
        <v>0</v>
      </c>
      <c r="BV41" s="71"/>
      <c r="BW41" s="49">
        <v>-0.12</v>
      </c>
      <c r="BX41" s="49">
        <v>-0.41299999999999998</v>
      </c>
      <c r="BY41" s="49">
        <v>-1.1739999999999999</v>
      </c>
      <c r="BZ41" s="69" t="s">
        <v>3</v>
      </c>
      <c r="CA41" s="69" t="s">
        <v>3</v>
      </c>
      <c r="CB41" s="69" t="s">
        <v>3</v>
      </c>
      <c r="CC41" s="49">
        <v>-2.4239999999999999</v>
      </c>
      <c r="CD41" s="49">
        <v>-0.57799999999999996</v>
      </c>
      <c r="CE41" s="49">
        <v>0</v>
      </c>
      <c r="CF41" s="49">
        <v>0</v>
      </c>
      <c r="CG41" s="71">
        <v>0</v>
      </c>
      <c r="CH41" s="71">
        <v>0</v>
      </c>
      <c r="CI41" s="71">
        <v>0</v>
      </c>
      <c r="CJ41" s="71">
        <v>0</v>
      </c>
      <c r="CK41" s="71">
        <v>0</v>
      </c>
      <c r="CL41" s="49">
        <f t="shared" si="44"/>
        <v>0</v>
      </c>
      <c r="CM41" s="49">
        <f>SUM(BI41:BL41)</f>
        <v>0</v>
      </c>
      <c r="CN41" s="49">
        <f t="shared" si="45"/>
        <v>0</v>
      </c>
    </row>
    <row r="42" spans="1:92" x14ac:dyDescent="0.35">
      <c r="B42" s="29" t="str">
        <f>IF(Control!$D$5=1,"Foreign Exchange Variation","Variação Cambial")</f>
        <v>Variação Cambial</v>
      </c>
      <c r="C42" s="99">
        <v>0</v>
      </c>
      <c r="D42" s="71">
        <v>1.23</v>
      </c>
      <c r="E42" s="178" t="s">
        <v>3</v>
      </c>
      <c r="F42" s="178" t="s">
        <v>3</v>
      </c>
      <c r="G42" s="178" t="s">
        <v>3</v>
      </c>
      <c r="H42" s="71">
        <v>0</v>
      </c>
      <c r="I42" s="178" t="s">
        <v>3</v>
      </c>
      <c r="J42" s="178" t="s">
        <v>3</v>
      </c>
      <c r="K42" s="178" t="s">
        <v>3</v>
      </c>
      <c r="L42" s="71">
        <v>-0.15</v>
      </c>
      <c r="M42" s="178" t="s">
        <v>3</v>
      </c>
      <c r="N42" s="178" t="s">
        <v>3</v>
      </c>
      <c r="O42" s="178" t="s">
        <v>3</v>
      </c>
      <c r="P42" s="71">
        <v>-0.33900000000000002</v>
      </c>
      <c r="Q42" s="105">
        <v>-36.956000000000003</v>
      </c>
      <c r="R42" s="49">
        <v>-1.3180000000000001</v>
      </c>
      <c r="S42" s="178" t="s">
        <v>3</v>
      </c>
      <c r="T42" s="71">
        <v>-30.939</v>
      </c>
      <c r="U42" s="178" t="s">
        <v>3</v>
      </c>
      <c r="V42" s="178" t="s">
        <v>3</v>
      </c>
      <c r="W42" s="178" t="s">
        <v>3</v>
      </c>
      <c r="X42" s="71">
        <v>-12.09</v>
      </c>
      <c r="Y42" s="43">
        <v>-14.876999999999999</v>
      </c>
      <c r="Z42" s="49">
        <v>1.0189999999999984</v>
      </c>
      <c r="AA42" s="49">
        <f t="shared" si="43"/>
        <v>-2.472999999999999</v>
      </c>
      <c r="AB42" s="71">
        <v>-1.401</v>
      </c>
      <c r="AC42" s="43">
        <v>-3.9089999999999998</v>
      </c>
      <c r="AD42" s="49">
        <v>-33.076000000000001</v>
      </c>
      <c r="AE42" s="49">
        <v>-3.2869999999999995</v>
      </c>
      <c r="AF42" s="71">
        <v>-4.8540000000000001</v>
      </c>
      <c r="AG42" s="43">
        <v>-4.6789999999999994</v>
      </c>
      <c r="AH42" s="49">
        <v>-4.2370000000000001</v>
      </c>
      <c r="AI42" s="49">
        <v>-7.4439999999999991</v>
      </c>
      <c r="AJ42" s="71">
        <v>-3.8029999999999999</v>
      </c>
      <c r="AK42" s="43">
        <v>-4.0759999999999996</v>
      </c>
      <c r="AL42" s="49">
        <v>-1.3030000000000008</v>
      </c>
      <c r="AM42" s="49">
        <v>-1.9</v>
      </c>
      <c r="AN42" s="71">
        <v>-0.93500000000000005</v>
      </c>
      <c r="AO42" s="43">
        <v>-0.97399999999999998</v>
      </c>
      <c r="AP42" s="49">
        <v>-0.82000000000000006</v>
      </c>
      <c r="AQ42" s="71">
        <v>-2.6710000000000003</v>
      </c>
      <c r="AR42" s="71">
        <v>-6.1</v>
      </c>
      <c r="AS42" s="71">
        <v>-11.500000000000002</v>
      </c>
      <c r="AT42" s="71">
        <v>-2.6</v>
      </c>
      <c r="AU42" s="71">
        <v>-1.1289999999999978</v>
      </c>
      <c r="AV42" s="71">
        <v>-1.6</v>
      </c>
      <c r="AW42" s="71">
        <v>-1.496</v>
      </c>
      <c r="AX42" s="71">
        <v>-0.81099999999999994</v>
      </c>
      <c r="AY42" s="71">
        <v>-9.09</v>
      </c>
      <c r="AZ42" s="71">
        <v>-22.824999999999999</v>
      </c>
      <c r="BA42" s="71">
        <v>-9.6449999999999996</v>
      </c>
      <c r="BB42" s="71">
        <v>-6.1040000000000001</v>
      </c>
      <c r="BC42" s="71">
        <v>-9.0500000000000007</v>
      </c>
      <c r="BD42" s="71">
        <v>-4.7709999999999999</v>
      </c>
      <c r="BE42" s="71">
        <v>-6.1429999999999998</v>
      </c>
      <c r="BF42" s="71">
        <v>-12.68</v>
      </c>
      <c r="BG42" s="71">
        <v>-4.9940000000000007</v>
      </c>
      <c r="BH42" s="71">
        <v>-25.645</v>
      </c>
      <c r="BI42" s="71">
        <v>5.7190000000000003</v>
      </c>
      <c r="BJ42" s="71">
        <v>-5.6509999999999998</v>
      </c>
      <c r="BK42" s="71">
        <v>0.183</v>
      </c>
      <c r="BL42" s="225">
        <v>-4.1660000000000004</v>
      </c>
      <c r="BM42" s="225">
        <v>-4.9649999999999999</v>
      </c>
      <c r="BN42" s="225">
        <v>-10.696</v>
      </c>
      <c r="BO42" s="225">
        <v>-4.3520000000000003</v>
      </c>
      <c r="BP42" s="225">
        <v>-6.2949999999999999</v>
      </c>
      <c r="BQ42" s="229">
        <v>-15.141</v>
      </c>
      <c r="BR42" s="229">
        <v>-24.28</v>
      </c>
      <c r="BS42" s="226">
        <f>-55.12400075-SUM(BP42:BR42)</f>
        <v>-9.4080007499999994</v>
      </c>
      <c r="BT42" s="226">
        <v>0.253</v>
      </c>
      <c r="BU42" s="71">
        <v>0</v>
      </c>
      <c r="BV42" s="71"/>
      <c r="BW42" s="49">
        <v>-1.633</v>
      </c>
      <c r="BX42" s="49">
        <v>-25.170999999999999</v>
      </c>
      <c r="BY42" s="49">
        <v>0</v>
      </c>
      <c r="BZ42" s="69" t="s">
        <v>3</v>
      </c>
      <c r="CA42" s="69" t="s">
        <v>3</v>
      </c>
      <c r="CB42" s="69" t="s">
        <v>3</v>
      </c>
      <c r="CC42" s="49">
        <v>-28.420999999999999</v>
      </c>
      <c r="CD42" s="49">
        <v>-7.0069999999999997</v>
      </c>
      <c r="CE42" s="49">
        <v>-21.213999999999999</v>
      </c>
      <c r="CF42" s="49">
        <v>-11.099</v>
      </c>
      <c r="CG42" s="71">
        <v>-5.4</v>
      </c>
      <c r="CH42" s="71">
        <v>-21.329000000000001</v>
      </c>
      <c r="CI42" s="71">
        <v>-12.997</v>
      </c>
      <c r="CJ42" s="71">
        <v>-47.622999999999998</v>
      </c>
      <c r="CK42" s="71">
        <v>-28.588000000000001</v>
      </c>
      <c r="CL42" s="49">
        <f t="shared" si="44"/>
        <v>-25.393999999999998</v>
      </c>
      <c r="CM42" s="49">
        <f>SUM(BL42:BO42)</f>
        <v>-24.178999999999998</v>
      </c>
      <c r="CN42" s="49">
        <f t="shared" si="45"/>
        <v>-55.12400075</v>
      </c>
    </row>
    <row r="43" spans="1:92" x14ac:dyDescent="0.35">
      <c r="B43" s="29" t="str">
        <f>IF(Control!$D$5=1,"Monetary Variation","Variação Monetária")</f>
        <v>Variação Monetária</v>
      </c>
      <c r="C43" s="99">
        <v>0</v>
      </c>
      <c r="D43" s="71">
        <v>0</v>
      </c>
      <c r="E43" s="178" t="s">
        <v>3</v>
      </c>
      <c r="F43" s="178" t="s">
        <v>3</v>
      </c>
      <c r="G43" s="178" t="s">
        <v>3</v>
      </c>
      <c r="H43" s="71">
        <v>0</v>
      </c>
      <c r="I43" s="178" t="s">
        <v>3</v>
      </c>
      <c r="J43" s="178" t="s">
        <v>3</v>
      </c>
      <c r="K43" s="178" t="s">
        <v>3</v>
      </c>
      <c r="L43" s="71">
        <v>0</v>
      </c>
      <c r="M43" s="178" t="s">
        <v>3</v>
      </c>
      <c r="N43" s="178" t="s">
        <v>3</v>
      </c>
      <c r="O43" s="178" t="s">
        <v>3</v>
      </c>
      <c r="P43" s="71">
        <v>0</v>
      </c>
      <c r="Q43" s="105">
        <v>-8.81</v>
      </c>
      <c r="R43" s="49">
        <v>-0.51700000000000002</v>
      </c>
      <c r="S43" s="178" t="s">
        <v>3</v>
      </c>
      <c r="T43" s="71">
        <v>0</v>
      </c>
      <c r="U43" s="178" t="s">
        <v>3</v>
      </c>
      <c r="V43" s="178" t="s">
        <v>3</v>
      </c>
      <c r="W43" s="178" t="s">
        <v>3</v>
      </c>
      <c r="X43" s="71">
        <v>-1.661</v>
      </c>
      <c r="Y43" s="43">
        <v>-4.3569999999999993</v>
      </c>
      <c r="Z43" s="49">
        <v>-9.6870000000000012</v>
      </c>
      <c r="AA43" s="49">
        <f t="shared" si="43"/>
        <v>-0.83599999999999985</v>
      </c>
      <c r="AB43" s="71">
        <v>-2.0659999999999998</v>
      </c>
      <c r="AC43" s="43">
        <v>-4.2610000000000001</v>
      </c>
      <c r="AD43" s="49">
        <v>-10.336000000000002</v>
      </c>
      <c r="AE43" s="49">
        <v>-2.1890000000000001</v>
      </c>
      <c r="AF43" s="71">
        <v>-5.0789999999999997</v>
      </c>
      <c r="AG43" s="43">
        <v>-1.351</v>
      </c>
      <c r="AH43" s="49">
        <v>-3.7560000000000002</v>
      </c>
      <c r="AI43" s="49">
        <v>-1.5380000000000003</v>
      </c>
      <c r="AJ43" s="71">
        <v>-1.1990000000000001</v>
      </c>
      <c r="AK43" s="43">
        <v>-1.2350000000000001</v>
      </c>
      <c r="AL43" s="49">
        <v>-1.6559999999999997</v>
      </c>
      <c r="AM43" s="49">
        <v>-1.2</v>
      </c>
      <c r="AN43" s="71">
        <v>-0.76</v>
      </c>
      <c r="AO43" s="43">
        <v>-0.76600000000000001</v>
      </c>
      <c r="AP43" s="49">
        <v>-0.7739999999999998</v>
      </c>
      <c r="AQ43" s="71">
        <v>0</v>
      </c>
      <c r="AR43" s="71">
        <v>-7</v>
      </c>
      <c r="AS43" s="71">
        <v>0.20000000000000018</v>
      </c>
      <c r="AT43" s="71">
        <v>0</v>
      </c>
      <c r="AU43" s="71">
        <v>-1.2060000000000004</v>
      </c>
      <c r="AV43" s="71">
        <v>-2.7</v>
      </c>
      <c r="AW43" s="71">
        <v>-2.6440000000000001</v>
      </c>
      <c r="AX43" s="71">
        <v>-2.8359999999999994</v>
      </c>
      <c r="AY43" s="71">
        <v>-4.8280000000000003</v>
      </c>
      <c r="AZ43" s="71">
        <v>-1.7350000000000001</v>
      </c>
      <c r="BA43" s="71">
        <v>1.5760000000000001</v>
      </c>
      <c r="BB43" s="71">
        <v>-0.92300000000000004</v>
      </c>
      <c r="BC43" s="71">
        <v>-1.2310000000000001</v>
      </c>
      <c r="BD43" s="71">
        <v>-0.53800000000000003</v>
      </c>
      <c r="BE43" s="71">
        <v>-0.26500000000000001</v>
      </c>
      <c r="BF43" s="71">
        <v>-1.3879999999999999</v>
      </c>
      <c r="BG43" s="71">
        <v>-2.5460000000000003</v>
      </c>
      <c r="BH43" s="71">
        <v>-2.7850000000000001</v>
      </c>
      <c r="BI43" s="71">
        <v>-3.347</v>
      </c>
      <c r="BJ43" s="71">
        <v>-2.5569999999999999</v>
      </c>
      <c r="BK43" s="71">
        <v>-2.996</v>
      </c>
      <c r="BL43" s="71">
        <v>-3.137</v>
      </c>
      <c r="BM43" s="71">
        <v>-3.0449999999999999</v>
      </c>
      <c r="BN43" s="71">
        <v>-1.5029999999999999</v>
      </c>
      <c r="BO43" s="71">
        <v>-1.8789999999999996</v>
      </c>
      <c r="BP43" s="71">
        <v>-1.8120000000000001</v>
      </c>
      <c r="BQ43" s="226">
        <v>-1.8169999999999999</v>
      </c>
      <c r="BR43" s="226">
        <v>-1.7749999999999999</v>
      </c>
      <c r="BS43" s="226">
        <f>-6.993-SUM(BP43:BR43)</f>
        <v>-1.5890000000000004</v>
      </c>
      <c r="BT43" s="226">
        <v>-1.6870000000000001</v>
      </c>
      <c r="BU43" s="71">
        <v>-1.994</v>
      </c>
      <c r="BV43" s="71"/>
      <c r="BW43" s="49">
        <v>0</v>
      </c>
      <c r="BX43" s="49">
        <v>0</v>
      </c>
      <c r="BY43" s="49">
        <v>0</v>
      </c>
      <c r="BZ43" s="69" t="s">
        <v>3</v>
      </c>
      <c r="CA43" s="69" t="s">
        <v>3</v>
      </c>
      <c r="CB43" s="69" t="s">
        <v>3</v>
      </c>
      <c r="CC43" s="49">
        <v>-16.541</v>
      </c>
      <c r="CD43" s="49">
        <v>-18.852</v>
      </c>
      <c r="CE43" s="49">
        <v>-11.724</v>
      </c>
      <c r="CF43" s="49">
        <v>-5.3380000000000001</v>
      </c>
      <c r="CG43" s="71">
        <v>-2.2999999999999998</v>
      </c>
      <c r="CH43" s="71">
        <v>-8.0060000000000002</v>
      </c>
      <c r="CI43" s="71">
        <v>-13.007999999999999</v>
      </c>
      <c r="CJ43" s="71">
        <v>-2.3140000000000001</v>
      </c>
      <c r="CK43" s="71">
        <v>-4.7370000000000001</v>
      </c>
      <c r="CL43" s="49">
        <f t="shared" si="44"/>
        <v>-11.685</v>
      </c>
      <c r="CM43" s="49">
        <f>SUM(BL43:BO43)</f>
        <v>-9.5640000000000001</v>
      </c>
      <c r="CN43" s="49">
        <f t="shared" si="45"/>
        <v>-6.9930000000000003</v>
      </c>
    </row>
    <row r="44" spans="1:92" x14ac:dyDescent="0.35">
      <c r="B44" s="29" t="str">
        <f>IF(Control!$D$5=1,"Rentals Interest","Juros sob Arrendamentos")</f>
        <v>Juros sob Arrendamentos</v>
      </c>
      <c r="C44" s="99">
        <v>0</v>
      </c>
      <c r="D44" s="71">
        <v>-0.34200000000000003</v>
      </c>
      <c r="E44" s="178" t="s">
        <v>3</v>
      </c>
      <c r="F44" s="178" t="s">
        <v>3</v>
      </c>
      <c r="G44" s="178" t="s">
        <v>3</v>
      </c>
      <c r="H44" s="71">
        <v>-1.216</v>
      </c>
      <c r="I44" s="178" t="s">
        <v>3</v>
      </c>
      <c r="J44" s="178" t="s">
        <v>3</v>
      </c>
      <c r="K44" s="178" t="s">
        <v>3</v>
      </c>
      <c r="L44" s="71">
        <v>-0.747</v>
      </c>
      <c r="M44" s="178" t="s">
        <v>3</v>
      </c>
      <c r="N44" s="178" t="s">
        <v>3</v>
      </c>
      <c r="O44" s="178" t="s">
        <v>3</v>
      </c>
      <c r="P44" s="71">
        <v>-0.69899999999999995</v>
      </c>
      <c r="Q44" s="105">
        <v>-2.8149999999999999</v>
      </c>
      <c r="R44" s="49">
        <v>-2.915</v>
      </c>
      <c r="S44" s="178" t="s">
        <v>3</v>
      </c>
      <c r="T44" s="71">
        <v>-4.1619999999999999</v>
      </c>
      <c r="U44" s="178" t="s">
        <v>3</v>
      </c>
      <c r="V44" s="178" t="s">
        <v>3</v>
      </c>
      <c r="W44" s="178" t="s">
        <v>3</v>
      </c>
      <c r="X44" s="71">
        <v>-1.494</v>
      </c>
      <c r="Y44" s="43">
        <v>-2.3949999999999996</v>
      </c>
      <c r="Z44" s="49">
        <v>-2.2500000000000009</v>
      </c>
      <c r="AA44" s="49">
        <f t="shared" si="43"/>
        <v>-1.8579999999999994</v>
      </c>
      <c r="AB44" s="71">
        <v>-2.3980000000000001</v>
      </c>
      <c r="AC44" s="43">
        <v>-4.8860000000000001</v>
      </c>
      <c r="AD44" s="49">
        <v>-0.31000000000000005</v>
      </c>
      <c r="AE44" s="49">
        <v>-2.3229999999999995</v>
      </c>
      <c r="AF44" s="71">
        <v>-2.073</v>
      </c>
      <c r="AG44" s="43">
        <v>0</v>
      </c>
      <c r="AH44" s="49">
        <v>2.073</v>
      </c>
      <c r="AI44" s="49">
        <v>0</v>
      </c>
      <c r="AJ44" s="71">
        <v>0</v>
      </c>
      <c r="AK44" s="43">
        <v>0</v>
      </c>
      <c r="AL44" s="49">
        <v>0</v>
      </c>
      <c r="AM44" s="49">
        <v>0</v>
      </c>
      <c r="AN44" s="71">
        <v>0</v>
      </c>
      <c r="AO44" s="43">
        <v>0</v>
      </c>
      <c r="AP44" s="49">
        <v>0</v>
      </c>
      <c r="AQ44" s="71">
        <v>0</v>
      </c>
      <c r="AR44" s="71">
        <v>0</v>
      </c>
      <c r="AS44" s="71">
        <v>0</v>
      </c>
      <c r="AT44" s="71">
        <v>0</v>
      </c>
      <c r="AU44" s="71">
        <v>0</v>
      </c>
      <c r="AV44" s="71">
        <v>0</v>
      </c>
      <c r="AW44" s="71">
        <v>-1.3180000000000001</v>
      </c>
      <c r="AX44" s="71">
        <v>-1.641</v>
      </c>
      <c r="AY44" s="71">
        <v>-1.3879999999999999</v>
      </c>
      <c r="AZ44" s="71">
        <v>-1.274</v>
      </c>
      <c r="BA44" s="71">
        <v>-1.2869999999999999</v>
      </c>
      <c r="BB44" s="71">
        <v>-1.7989999999999999</v>
      </c>
      <c r="BC44" s="71">
        <v>-1.631</v>
      </c>
      <c r="BD44" s="71">
        <v>-1.5580000000000001</v>
      </c>
      <c r="BE44" s="71">
        <v>-1.5780000000000001</v>
      </c>
      <c r="BF44" s="71">
        <v>-1.575</v>
      </c>
      <c r="BG44" s="71">
        <v>4.7110000000000003</v>
      </c>
      <c r="BH44" s="71">
        <v>-2.3719999999999999</v>
      </c>
      <c r="BI44" s="71">
        <v>-2.4380000000000002</v>
      </c>
      <c r="BJ44" s="71">
        <v>-2.8109999999999999</v>
      </c>
      <c r="BK44" s="71">
        <v>-2.7869999999999999</v>
      </c>
      <c r="BL44" s="71">
        <v>-2.9129999999999998</v>
      </c>
      <c r="BM44" s="71">
        <v>-3.2349999999999999</v>
      </c>
      <c r="BN44" s="71">
        <v>-3.67</v>
      </c>
      <c r="BO44" s="71">
        <v>-4.3250000000000011</v>
      </c>
      <c r="BP44" s="71">
        <v>-4.0279999999999996</v>
      </c>
      <c r="BQ44" s="226">
        <v>-3.9809999999999999</v>
      </c>
      <c r="BR44" s="226">
        <v>-4.0339999999999998</v>
      </c>
      <c r="BS44" s="226">
        <f>-16.372-SUM(BP44:BR44)</f>
        <v>-4.3290000000000006</v>
      </c>
      <c r="BT44" s="226">
        <v>-4.1970000000000001</v>
      </c>
      <c r="BU44" s="71">
        <v>-3.9569999999999999</v>
      </c>
      <c r="BV44" s="71"/>
      <c r="BW44" s="49">
        <v>-5.2839999999999998</v>
      </c>
      <c r="BX44" s="49">
        <v>-5.5220000000000002</v>
      </c>
      <c r="BY44" s="49">
        <v>-5.5279999999999996</v>
      </c>
      <c r="BZ44" s="69" t="s">
        <v>3</v>
      </c>
      <c r="CA44" s="69" t="s">
        <v>3</v>
      </c>
      <c r="CB44" s="69" t="s">
        <v>3</v>
      </c>
      <c r="CC44" s="49">
        <v>-7.9969999999999999</v>
      </c>
      <c r="CD44" s="49">
        <v>-9.9169999999999998</v>
      </c>
      <c r="CE44" s="49">
        <v>0</v>
      </c>
      <c r="CF44" s="49">
        <v>0</v>
      </c>
      <c r="CG44" s="71">
        <v>0</v>
      </c>
      <c r="CH44" s="71">
        <v>0</v>
      </c>
      <c r="CI44" s="71">
        <v>-4.3469999999999995</v>
      </c>
      <c r="CJ44" s="71">
        <v>-5.9909999999999997</v>
      </c>
      <c r="CK44" s="71">
        <v>0</v>
      </c>
      <c r="CL44" s="49">
        <f t="shared" si="44"/>
        <v>-10.408000000000001</v>
      </c>
      <c r="CM44" s="49">
        <f>SUM(BL44:BO44)</f>
        <v>-14.143000000000001</v>
      </c>
      <c r="CN44" s="49">
        <f t="shared" si="45"/>
        <v>-16.372</v>
      </c>
    </row>
    <row r="45" spans="1:92" x14ac:dyDescent="0.35">
      <c r="A45" s="135"/>
      <c r="B45" s="29" t="str">
        <f>IF(Control!$D$5=1,"Others","Outras")</f>
        <v>Outras</v>
      </c>
      <c r="C45" s="99">
        <v>0</v>
      </c>
      <c r="D45" s="71">
        <v>-0.35699999999999998</v>
      </c>
      <c r="E45" s="178" t="s">
        <v>3</v>
      </c>
      <c r="F45" s="178" t="s">
        <v>3</v>
      </c>
      <c r="G45" s="178" t="s">
        <v>3</v>
      </c>
      <c r="H45" s="71">
        <v>-0.29499999999999998</v>
      </c>
      <c r="I45" s="178" t="s">
        <v>3</v>
      </c>
      <c r="J45" s="178" t="s">
        <v>3</v>
      </c>
      <c r="K45" s="178" t="s">
        <v>3</v>
      </c>
      <c r="L45" s="71">
        <v>-0.45</v>
      </c>
      <c r="M45" s="178" t="s">
        <v>3</v>
      </c>
      <c r="N45" s="178" t="s">
        <v>3</v>
      </c>
      <c r="O45" s="178" t="s">
        <v>3</v>
      </c>
      <c r="P45" s="71">
        <v>-0.73299999999999998</v>
      </c>
      <c r="Q45" s="105">
        <v>-4.1139999999999999</v>
      </c>
      <c r="R45" s="49">
        <v>-5.5970000000000004</v>
      </c>
      <c r="S45" s="178" t="s">
        <v>3</v>
      </c>
      <c r="T45" s="71">
        <v>-9.4160000000000004</v>
      </c>
      <c r="U45" s="178" t="s">
        <v>3</v>
      </c>
      <c r="V45" s="178" t="s">
        <v>3</v>
      </c>
      <c r="W45" s="178" t="s">
        <v>3</v>
      </c>
      <c r="X45" s="71">
        <v>-1.258</v>
      </c>
      <c r="Y45" s="43">
        <v>-2.25</v>
      </c>
      <c r="Z45" s="49">
        <v>-1.9390000000000001</v>
      </c>
      <c r="AA45" s="49">
        <f t="shared" si="43"/>
        <v>-3.8319999999999999</v>
      </c>
      <c r="AB45" s="71">
        <v>-1.27</v>
      </c>
      <c r="AC45" s="43">
        <v>-6.4109999999999996</v>
      </c>
      <c r="AD45" s="49">
        <v>-7.1000000000000005</v>
      </c>
      <c r="AE45" s="49">
        <v>-12.734999999999999</v>
      </c>
      <c r="AF45" s="71">
        <v>-2.63</v>
      </c>
      <c r="AG45" s="43">
        <v>-3.5590000000000002</v>
      </c>
      <c r="AH45" s="49">
        <v>-3.6219999999999999</v>
      </c>
      <c r="AI45" s="49">
        <v>-4.0269999999999992</v>
      </c>
      <c r="AJ45" s="71">
        <v>-3.7480000000000002</v>
      </c>
      <c r="AK45" s="43">
        <v>-17.698999999999998</v>
      </c>
      <c r="AL45" s="49">
        <v>7.7219999999999995</v>
      </c>
      <c r="AM45" s="49">
        <v>-1.2</v>
      </c>
      <c r="AN45" s="71">
        <v>-3.6640000000000001</v>
      </c>
      <c r="AO45" s="43">
        <v>-4.8130000000000006</v>
      </c>
      <c r="AP45" s="49">
        <v>-4.7439999999999998</v>
      </c>
      <c r="AQ45" s="71">
        <v>-4.5790000000000006</v>
      </c>
      <c r="AR45" s="71">
        <v>-3.5</v>
      </c>
      <c r="AS45" s="71">
        <v>-4.5999999999999996</v>
      </c>
      <c r="AT45" s="71">
        <v>-5.8</v>
      </c>
      <c r="AU45" s="71">
        <v>-4.3210000000000015</v>
      </c>
      <c r="AV45" s="71">
        <v>-3.9</v>
      </c>
      <c r="AW45" s="71">
        <v>-5.4370000000000003</v>
      </c>
      <c r="AX45" s="71">
        <v>-4.6580000000000013</v>
      </c>
      <c r="AY45" s="71">
        <v>-3.415</v>
      </c>
      <c r="AZ45" s="71">
        <v>-6.6609999999999996</v>
      </c>
      <c r="BA45" s="71">
        <v>-8.1369999999999987</v>
      </c>
      <c r="BB45" s="71">
        <v>-7.5</v>
      </c>
      <c r="BC45" s="71">
        <v>-9.9619999999999997</v>
      </c>
      <c r="BD45" s="71">
        <v>-5.1829999999999998</v>
      </c>
      <c r="BE45" s="71">
        <v>-5.9779999999999998</v>
      </c>
      <c r="BF45" s="71">
        <v>-4.5579999999999998</v>
      </c>
      <c r="BG45" s="71">
        <v>-6.0900000000000016</v>
      </c>
      <c r="BH45" s="71">
        <v>-6.5279999999999996</v>
      </c>
      <c r="BI45" s="71">
        <v>-9.7059999999999995</v>
      </c>
      <c r="BJ45" s="71">
        <v>-6.8380000000000001</v>
      </c>
      <c r="BK45" s="71">
        <v>-9.2590000000000003</v>
      </c>
      <c r="BL45" s="71">
        <v>-6.65</v>
      </c>
      <c r="BM45" s="71">
        <v>-8.6120000000000001</v>
      </c>
      <c r="BN45" s="71">
        <v>-9.0540000000000003</v>
      </c>
      <c r="BO45" s="71">
        <v>-10.738999999999997</v>
      </c>
      <c r="BP45" s="71">
        <v>-14.382999999999999</v>
      </c>
      <c r="BQ45" s="226">
        <v>-12.605</v>
      </c>
      <c r="BR45" s="226">
        <v>-19.786000000000001</v>
      </c>
      <c r="BS45" s="226">
        <v>-78.209000000000003</v>
      </c>
      <c r="BT45" s="226">
        <v>-12.78</v>
      </c>
      <c r="BU45" s="71">
        <v>-11.849</v>
      </c>
      <c r="BV45" s="71"/>
      <c r="BW45" s="49">
        <v>-6.968</v>
      </c>
      <c r="BX45" s="49">
        <v>-2.7909999999999999</v>
      </c>
      <c r="BY45" s="49">
        <v>-2.2850000000000001</v>
      </c>
      <c r="BZ45" s="69" t="s">
        <v>3</v>
      </c>
      <c r="CA45" s="69" t="s">
        <v>3</v>
      </c>
      <c r="CB45" s="69" t="s">
        <v>3</v>
      </c>
      <c r="CC45" s="49">
        <v>-9.2789999999999999</v>
      </c>
      <c r="CD45" s="49">
        <v>-4.4820000000000002</v>
      </c>
      <c r="CE45" s="49">
        <v>-13.837999999999999</v>
      </c>
      <c r="CF45" s="49">
        <v>-17.757000000000001</v>
      </c>
      <c r="CG45" s="71">
        <v>-17.8</v>
      </c>
      <c r="CH45" s="71">
        <v>-18.221</v>
      </c>
      <c r="CI45" s="71">
        <v>-17.41</v>
      </c>
      <c r="CJ45" s="71">
        <v>-32.200000000000003</v>
      </c>
      <c r="CK45" s="71">
        <v>-21.809000000000001</v>
      </c>
      <c r="CL45" s="49">
        <f t="shared" si="44"/>
        <v>-32.331000000000003</v>
      </c>
      <c r="CM45" s="49">
        <f>SUM(BL45:BO45)</f>
        <v>-35.055</v>
      </c>
      <c r="CN45" s="49">
        <f t="shared" si="45"/>
        <v>-124.983</v>
      </c>
    </row>
    <row r="46" spans="1:92" x14ac:dyDescent="0.35">
      <c r="C46" s="59"/>
      <c r="D46" s="59"/>
      <c r="H46" s="59"/>
      <c r="L46" s="59"/>
      <c r="P46" s="59"/>
      <c r="T46" s="59"/>
      <c r="AO46" s="10"/>
      <c r="CG46" s="60"/>
      <c r="CH46" s="60"/>
      <c r="CI46" s="60"/>
      <c r="CJ46" s="60"/>
      <c r="CK46" s="60"/>
      <c r="CL46" s="60"/>
      <c r="CM46" s="60"/>
      <c r="CN46" s="60"/>
    </row>
    <row r="47" spans="1:92" x14ac:dyDescent="0.35">
      <c r="B47" s="28" t="str">
        <f>IF(Control!$D$5=1,"Finacial Income","Receitas Financeiras")</f>
        <v>Receitas Financeiras</v>
      </c>
      <c r="C47" s="99">
        <v>0</v>
      </c>
      <c r="D47" s="70">
        <f t="shared" ref="D47:AL47" si="46">SUM(D48:D55)</f>
        <v>3.25</v>
      </c>
      <c r="E47" s="99">
        <f t="shared" si="46"/>
        <v>0</v>
      </c>
      <c r="F47" s="98">
        <f t="shared" si="46"/>
        <v>0</v>
      </c>
      <c r="G47" s="98">
        <f t="shared" si="46"/>
        <v>0</v>
      </c>
      <c r="H47" s="70">
        <f t="shared" si="46"/>
        <v>11.552999999999999</v>
      </c>
      <c r="I47" s="98">
        <f t="shared" si="46"/>
        <v>0</v>
      </c>
      <c r="J47" s="98">
        <f t="shared" si="46"/>
        <v>0</v>
      </c>
      <c r="K47" s="98">
        <f t="shared" si="46"/>
        <v>0</v>
      </c>
      <c r="L47" s="70">
        <f t="shared" si="46"/>
        <v>7.8040000000000003</v>
      </c>
      <c r="M47" s="98">
        <f t="shared" si="46"/>
        <v>0</v>
      </c>
      <c r="N47" s="98">
        <f t="shared" si="46"/>
        <v>0</v>
      </c>
      <c r="O47" s="98">
        <f t="shared" si="46"/>
        <v>0</v>
      </c>
      <c r="P47" s="70">
        <f t="shared" si="46"/>
        <v>9.58</v>
      </c>
      <c r="Q47" s="99">
        <f t="shared" si="46"/>
        <v>60.606000000000002</v>
      </c>
      <c r="R47" s="98">
        <f t="shared" si="46"/>
        <v>28.584</v>
      </c>
      <c r="S47" s="98">
        <f t="shared" si="46"/>
        <v>0</v>
      </c>
      <c r="T47" s="70">
        <f t="shared" si="46"/>
        <v>45.515000000000001</v>
      </c>
      <c r="U47" s="98">
        <f t="shared" si="46"/>
        <v>0</v>
      </c>
      <c r="V47" s="98">
        <f t="shared" si="46"/>
        <v>0</v>
      </c>
      <c r="W47" s="98">
        <f t="shared" si="46"/>
        <v>0</v>
      </c>
      <c r="X47" s="70">
        <f t="shared" si="46"/>
        <v>22.260999999999999</v>
      </c>
      <c r="Y47" s="99">
        <f t="shared" si="46"/>
        <v>18.999999999999996</v>
      </c>
      <c r="Z47" s="98">
        <f t="shared" si="46"/>
        <v>12.12</v>
      </c>
      <c r="AA47" s="98">
        <f t="shared" si="46"/>
        <v>12.481000000000002</v>
      </c>
      <c r="AB47" s="70">
        <f t="shared" si="46"/>
        <v>14.100000000000001</v>
      </c>
      <c r="AC47" s="99">
        <f t="shared" si="46"/>
        <v>62.706000000000003</v>
      </c>
      <c r="AD47" s="98">
        <f t="shared" si="46"/>
        <v>26.033999999999999</v>
      </c>
      <c r="AE47" s="98">
        <f t="shared" si="46"/>
        <v>30.714000000000006</v>
      </c>
      <c r="AF47" s="70">
        <f t="shared" si="46"/>
        <v>27.135999999999999</v>
      </c>
      <c r="AG47" s="99">
        <f t="shared" si="46"/>
        <v>15.81</v>
      </c>
      <c r="AH47" s="98">
        <f t="shared" si="46"/>
        <v>13.136000000000001</v>
      </c>
      <c r="AI47" s="98">
        <f t="shared" si="46"/>
        <v>15.878</v>
      </c>
      <c r="AJ47" s="70">
        <f t="shared" si="46"/>
        <v>16.773</v>
      </c>
      <c r="AK47" s="99">
        <f t="shared" si="46"/>
        <v>14.808999999999999</v>
      </c>
      <c r="AL47" s="98">
        <f t="shared" si="46"/>
        <v>11.648999999999999</v>
      </c>
      <c r="AM47" s="98">
        <f t="shared" ref="AM47:AS47" si="47">SUM(AM48:AM55)</f>
        <v>23.599999999999998</v>
      </c>
      <c r="AN47" s="70">
        <f t="shared" si="47"/>
        <v>31.895</v>
      </c>
      <c r="AO47" s="99">
        <f t="shared" si="47"/>
        <v>26.329000000000001</v>
      </c>
      <c r="AP47" s="98">
        <f t="shared" si="47"/>
        <v>27.874999999999996</v>
      </c>
      <c r="AQ47" s="99">
        <f t="shared" si="47"/>
        <v>20.600999999999996</v>
      </c>
      <c r="AR47" s="99">
        <f t="shared" si="47"/>
        <v>30.6</v>
      </c>
      <c r="AS47" s="99">
        <f t="shared" si="47"/>
        <v>58.400000000000006</v>
      </c>
      <c r="AT47" s="99">
        <f t="shared" ref="AT47:AY47" si="48">SUM(AT48:AT55)</f>
        <v>82.3</v>
      </c>
      <c r="AU47" s="99">
        <f t="shared" si="48"/>
        <v>30.609000000000002</v>
      </c>
      <c r="AV47" s="99">
        <f t="shared" si="48"/>
        <v>39.809999999999995</v>
      </c>
      <c r="AW47" s="99">
        <f t="shared" si="48"/>
        <v>30.975999999999996</v>
      </c>
      <c r="AX47" s="99">
        <f t="shared" si="48"/>
        <v>23.942</v>
      </c>
      <c r="AY47" s="99">
        <f t="shared" si="48"/>
        <v>32.53</v>
      </c>
      <c r="AZ47" s="99">
        <f t="shared" ref="AZ47:BF47" si="49">SUM(AZ48:AZ55)</f>
        <v>72.202999999999989</v>
      </c>
      <c r="BA47" s="99">
        <f t="shared" si="49"/>
        <v>64.753</v>
      </c>
      <c r="BB47" s="99">
        <f t="shared" si="49"/>
        <v>81.323999999999998</v>
      </c>
      <c r="BC47" s="99">
        <f t="shared" si="49"/>
        <v>59.832000000000008</v>
      </c>
      <c r="BD47" s="99">
        <f t="shared" si="49"/>
        <v>39.353000000000002</v>
      </c>
      <c r="BE47" s="99">
        <f t="shared" si="49"/>
        <v>47.158000000000001</v>
      </c>
      <c r="BF47" s="99">
        <f t="shared" si="49"/>
        <v>62.697000000000003</v>
      </c>
      <c r="BG47" s="99">
        <f>SUM(BG48:BG55)</f>
        <v>75.12700000000001</v>
      </c>
      <c r="BH47" s="99">
        <f>SUM(BH48:BH55)</f>
        <v>68.586999999999989</v>
      </c>
      <c r="BI47" s="99">
        <f>SUM(BI48:BI55)</f>
        <v>86.491</v>
      </c>
      <c r="BJ47" s="99">
        <f>SUM(BJ48:BJ55)</f>
        <v>86.432000000000002</v>
      </c>
      <c r="BK47" s="99">
        <f>SUM(BK48:BK55)</f>
        <v>60.467000000000006</v>
      </c>
      <c r="BL47" s="99">
        <f t="shared" ref="BL47:BU47" si="50">SUM(BL48:BL55)</f>
        <v>59.253999999999998</v>
      </c>
      <c r="BM47" s="99">
        <f t="shared" si="50"/>
        <v>82.642999999999986</v>
      </c>
      <c r="BN47" s="99">
        <f t="shared" si="50"/>
        <v>90.563999999999993</v>
      </c>
      <c r="BO47" s="99">
        <f t="shared" si="50"/>
        <v>100.396</v>
      </c>
      <c r="BP47" s="99">
        <f t="shared" si="50"/>
        <v>91.583000000000013</v>
      </c>
      <c r="BQ47" s="99">
        <f t="shared" si="50"/>
        <v>142.30099999999999</v>
      </c>
      <c r="BR47" s="99">
        <f t="shared" si="50"/>
        <v>125.62700000000001</v>
      </c>
      <c r="BS47" s="99">
        <f t="shared" si="50"/>
        <v>72.143985729999969</v>
      </c>
      <c r="BT47" s="99">
        <f t="shared" si="50"/>
        <v>61.436</v>
      </c>
      <c r="BU47" s="99">
        <f t="shared" si="50"/>
        <v>31.263000000000002</v>
      </c>
      <c r="BV47" s="99"/>
      <c r="BW47" s="98">
        <f>SUM(BW48:BW55)</f>
        <v>18.533000000000001</v>
      </c>
      <c r="BX47" s="98">
        <f>SUM(BX48:BX55)</f>
        <v>22.598999999999997</v>
      </c>
      <c r="BY47" s="98">
        <f>SUM(BY48:BY55)</f>
        <v>29.274000000000001</v>
      </c>
      <c r="BZ47" s="98">
        <f t="shared" ref="BZ47:CF47" si="51">SUM(BZ48:BZ55)</f>
        <v>0</v>
      </c>
      <c r="CA47" s="98">
        <f t="shared" si="51"/>
        <v>0</v>
      </c>
      <c r="CB47" s="98">
        <f t="shared" si="51"/>
        <v>0</v>
      </c>
      <c r="CC47" s="98">
        <f t="shared" si="51"/>
        <v>65.861999999999995</v>
      </c>
      <c r="CD47" s="98">
        <f t="shared" si="51"/>
        <v>75.798000000000002</v>
      </c>
      <c r="CE47" s="98">
        <f t="shared" si="51"/>
        <v>71.959999999999994</v>
      </c>
      <c r="CF47" s="98">
        <f t="shared" si="51"/>
        <v>66.800000000000011</v>
      </c>
      <c r="CG47" s="98">
        <f t="shared" ref="CG47:CL47" si="52">SUM(CG48:CG55)</f>
        <v>106.69999999999999</v>
      </c>
      <c r="CH47" s="98">
        <f t="shared" si="52"/>
        <v>201.90899999999999</v>
      </c>
      <c r="CI47" s="98">
        <f t="shared" si="52"/>
        <v>127.25800000000001</v>
      </c>
      <c r="CJ47" s="98">
        <f t="shared" si="52"/>
        <v>278.20599999999996</v>
      </c>
      <c r="CK47" s="98">
        <f t="shared" si="52"/>
        <v>218.31899999999999</v>
      </c>
      <c r="CL47" s="98">
        <f t="shared" si="52"/>
        <v>301.97700000000003</v>
      </c>
      <c r="CM47" s="98">
        <f>SUM(CM48:CM55)</f>
        <v>332.85699999999997</v>
      </c>
      <c r="CN47" s="98">
        <f>SUM(CN48:CN55)</f>
        <v>431.65498573000002</v>
      </c>
    </row>
    <row r="48" spans="1:92" x14ac:dyDescent="0.35">
      <c r="B48" s="29" t="str">
        <f>IF(Control!$D$5=1,"Interest","Juros")</f>
        <v>Juros</v>
      </c>
      <c r="C48" s="99">
        <v>0</v>
      </c>
      <c r="D48" s="71">
        <v>1.4590000000000001</v>
      </c>
      <c r="E48" s="178" t="s">
        <v>3</v>
      </c>
      <c r="F48" s="178" t="s">
        <v>3</v>
      </c>
      <c r="G48" s="178" t="s">
        <v>3</v>
      </c>
      <c r="H48" s="71">
        <v>2.323</v>
      </c>
      <c r="I48" s="178" t="s">
        <v>3</v>
      </c>
      <c r="J48" s="178" t="s">
        <v>3</v>
      </c>
      <c r="K48" s="178" t="s">
        <v>3</v>
      </c>
      <c r="L48" s="71">
        <v>2.62</v>
      </c>
      <c r="M48" s="178" t="s">
        <v>3</v>
      </c>
      <c r="N48" s="178" t="s">
        <v>3</v>
      </c>
      <c r="O48" s="178" t="s">
        <v>3</v>
      </c>
      <c r="P48" s="71">
        <v>0.505</v>
      </c>
      <c r="Q48" s="105">
        <v>5.1059999999999999</v>
      </c>
      <c r="R48" s="49">
        <v>5.1070000000000002</v>
      </c>
      <c r="S48" s="178" t="s">
        <v>3</v>
      </c>
      <c r="T48" s="71">
        <v>1.1639999999999999</v>
      </c>
      <c r="U48" s="178" t="s">
        <v>3</v>
      </c>
      <c r="V48" s="178" t="s">
        <v>3</v>
      </c>
      <c r="W48" s="178" t="s">
        <v>3</v>
      </c>
      <c r="X48" s="71">
        <v>1.0129999999999999</v>
      </c>
      <c r="Y48" s="43">
        <v>5.13</v>
      </c>
      <c r="Z48" s="49">
        <v>1.8490000000000002</v>
      </c>
      <c r="AA48" s="49">
        <f t="shared" ref="AA48:AA55" si="53">CC48-Z48-Y48-X48</f>
        <v>3.0959999999999992</v>
      </c>
      <c r="AB48" s="71">
        <v>2.194</v>
      </c>
      <c r="AC48" s="43">
        <v>5.1059999999999999</v>
      </c>
      <c r="AD48" s="49">
        <v>0</v>
      </c>
      <c r="AE48" s="49">
        <v>0</v>
      </c>
      <c r="AF48" s="71">
        <v>2.0619999999999998</v>
      </c>
      <c r="AG48" s="43">
        <v>2.2479999999999998</v>
      </c>
      <c r="AH48" s="49">
        <v>2.6660000000000004</v>
      </c>
      <c r="AI48" s="49">
        <v>1.8470000000000004</v>
      </c>
      <c r="AJ48" s="71">
        <v>2.7509999999999999</v>
      </c>
      <c r="AK48" s="43">
        <v>3.6880000000000002</v>
      </c>
      <c r="AL48" s="49">
        <v>1.5270000000000001</v>
      </c>
      <c r="AM48" s="49">
        <v>1.9</v>
      </c>
      <c r="AN48" s="71">
        <v>2.0299999999999998</v>
      </c>
      <c r="AO48" s="43">
        <v>1.3800000000000003</v>
      </c>
      <c r="AP48" s="49">
        <v>1.0739999999999998</v>
      </c>
      <c r="AQ48" s="71">
        <v>1.4160000000000004</v>
      </c>
      <c r="AR48" s="71">
        <v>3.9</v>
      </c>
      <c r="AS48" s="71">
        <v>-1.6</v>
      </c>
      <c r="AT48" s="71">
        <v>1.4</v>
      </c>
      <c r="AU48" s="71">
        <v>2.1700000000000004</v>
      </c>
      <c r="AV48" s="71">
        <v>5.2</v>
      </c>
      <c r="AW48" s="71">
        <v>-1.6120000000000001</v>
      </c>
      <c r="AX48" s="71">
        <v>0.69000000000000039</v>
      </c>
      <c r="AY48" s="71">
        <v>0.77</v>
      </c>
      <c r="AZ48" s="71">
        <v>7.89</v>
      </c>
      <c r="BA48" s="71">
        <v>3.9810000000000008</v>
      </c>
      <c r="BB48" s="71">
        <v>3.6120000000000001</v>
      </c>
      <c r="BC48" s="71">
        <v>4.3650000000000002</v>
      </c>
      <c r="BD48" s="71">
        <v>6.5140000000000002</v>
      </c>
      <c r="BE48" s="71">
        <v>2.5979999999999999</v>
      </c>
      <c r="BF48" s="71">
        <v>3.76</v>
      </c>
      <c r="BG48" s="71">
        <v>7.903999999999999</v>
      </c>
      <c r="BH48" s="71">
        <v>10.129</v>
      </c>
      <c r="BI48" s="71">
        <v>6.7619999999999996</v>
      </c>
      <c r="BJ48" s="71">
        <v>5.585</v>
      </c>
      <c r="BK48" s="71">
        <v>8.5220000000000002</v>
      </c>
      <c r="BL48" s="71">
        <v>10.17</v>
      </c>
      <c r="BM48" s="71">
        <v>6.2610000000000001</v>
      </c>
      <c r="BN48" s="71">
        <v>3.8159999999999998</v>
      </c>
      <c r="BO48" s="71">
        <v>5.7270000000000003</v>
      </c>
      <c r="BP48" s="71">
        <v>6.915</v>
      </c>
      <c r="BQ48" s="226">
        <v>7.7270000000000003</v>
      </c>
      <c r="BR48" s="226">
        <v>4.2610000000000001</v>
      </c>
      <c r="BS48" s="226">
        <f>23.064-SUM(BP48:BR48)</f>
        <v>4.1610000000000014</v>
      </c>
      <c r="BT48" s="226">
        <v>9.5299999999999994</v>
      </c>
      <c r="BU48" s="71">
        <v>3.625</v>
      </c>
      <c r="BV48" s="71"/>
      <c r="BW48" s="49">
        <v>1.0189999999999999</v>
      </c>
      <c r="BX48" s="49">
        <v>3.1669999999999998</v>
      </c>
      <c r="BY48" s="49">
        <v>2.181</v>
      </c>
      <c r="BZ48" s="69" t="s">
        <v>3</v>
      </c>
      <c r="CA48" s="69" t="s">
        <v>3</v>
      </c>
      <c r="CB48" s="69" t="s">
        <v>3</v>
      </c>
      <c r="CC48" s="49">
        <v>11.087999999999999</v>
      </c>
      <c r="CD48" s="49">
        <v>4.9400000000000004</v>
      </c>
      <c r="CE48" s="49">
        <v>8.8230000000000004</v>
      </c>
      <c r="CF48" s="49">
        <v>9.8000000000000007</v>
      </c>
      <c r="CG48" s="71">
        <v>5.9</v>
      </c>
      <c r="CH48" s="71">
        <v>5.87</v>
      </c>
      <c r="CI48" s="71">
        <v>5.048</v>
      </c>
      <c r="CJ48" s="71">
        <v>19.846</v>
      </c>
      <c r="CK48" s="71">
        <v>20.776</v>
      </c>
      <c r="CL48" s="49">
        <f t="shared" ref="CL48:CL55" si="54">SUM(BH48:BK48)</f>
        <v>30.997999999999998</v>
      </c>
      <c r="CM48" s="49">
        <f t="shared" ref="CM48:CM55" si="55">SUM(BL48:BO48)</f>
        <v>25.974</v>
      </c>
      <c r="CN48" s="49">
        <f t="shared" ref="CN48:CN55" si="56">SUM(BP48:BS48)</f>
        <v>23.064</v>
      </c>
    </row>
    <row r="49" spans="2:92" x14ac:dyDescent="0.35">
      <c r="B49" s="29" t="str">
        <f>IF(Control!$D$5=1,"Discounts","Descontos")</f>
        <v>Descontos</v>
      </c>
      <c r="C49" s="99">
        <v>0</v>
      </c>
      <c r="D49" s="71">
        <v>0.24399999999999999</v>
      </c>
      <c r="E49" s="178" t="s">
        <v>3</v>
      </c>
      <c r="F49" s="178" t="s">
        <v>3</v>
      </c>
      <c r="G49" s="178" t="s">
        <v>3</v>
      </c>
      <c r="H49" s="71">
        <v>0.29899999999999999</v>
      </c>
      <c r="I49" s="178" t="s">
        <v>3</v>
      </c>
      <c r="J49" s="178" t="s">
        <v>3</v>
      </c>
      <c r="K49" s="178" t="s">
        <v>3</v>
      </c>
      <c r="L49" s="71">
        <v>0.29799999999999999</v>
      </c>
      <c r="M49" s="178" t="s">
        <v>3</v>
      </c>
      <c r="N49" s="178" t="s">
        <v>3</v>
      </c>
      <c r="O49" s="178" t="s">
        <v>3</v>
      </c>
      <c r="P49" s="71">
        <v>3.9129999999999998</v>
      </c>
      <c r="Q49" s="105">
        <v>1.0529999999999999</v>
      </c>
      <c r="R49" s="49">
        <v>1.786</v>
      </c>
      <c r="S49" s="178" t="s">
        <v>3</v>
      </c>
      <c r="T49" s="71">
        <v>8.0540000000000003</v>
      </c>
      <c r="U49" s="178" t="s">
        <v>3</v>
      </c>
      <c r="V49" s="178" t="s">
        <v>3</v>
      </c>
      <c r="W49" s="178" t="s">
        <v>3</v>
      </c>
      <c r="X49" s="71">
        <v>0.38900000000000001</v>
      </c>
      <c r="Y49" s="43">
        <v>0.31499999999999995</v>
      </c>
      <c r="Z49" s="49">
        <v>0.84899999999999998</v>
      </c>
      <c r="AA49" s="49">
        <f t="shared" si="53"/>
        <v>1.2520000000000002</v>
      </c>
      <c r="AB49" s="71">
        <v>0.57199999999999995</v>
      </c>
      <c r="AC49" s="43">
        <v>1.0529999999999999</v>
      </c>
      <c r="AD49" s="49">
        <v>0.52300000000000024</v>
      </c>
      <c r="AE49" s="49">
        <v>1.83</v>
      </c>
      <c r="AF49" s="71">
        <v>1.0109999999999999</v>
      </c>
      <c r="AG49" s="43">
        <v>0.74500000000000011</v>
      </c>
      <c r="AH49" s="49">
        <v>0.95600000000000018</v>
      </c>
      <c r="AI49" s="49">
        <v>0.85599999999999987</v>
      </c>
      <c r="AJ49" s="71">
        <v>0.99399999999999999</v>
      </c>
      <c r="AK49" s="43">
        <v>1.0290000000000001</v>
      </c>
      <c r="AL49" s="49">
        <v>1.2359999999999998</v>
      </c>
      <c r="AM49" s="49">
        <v>0.6</v>
      </c>
      <c r="AN49" s="71">
        <v>1.8580000000000001</v>
      </c>
      <c r="AO49" s="43">
        <v>0.41799999999999971</v>
      </c>
      <c r="AP49" s="49">
        <v>0.77900000000000036</v>
      </c>
      <c r="AQ49" s="71">
        <v>0.84499999999999975</v>
      </c>
      <c r="AR49" s="71">
        <v>1</v>
      </c>
      <c r="AS49" s="71">
        <v>1.1000000000000001</v>
      </c>
      <c r="AT49" s="71">
        <v>1.5</v>
      </c>
      <c r="AU49" s="71">
        <v>0.71099999999999985</v>
      </c>
      <c r="AV49" s="71">
        <v>2</v>
      </c>
      <c r="AW49" s="71">
        <v>1.58</v>
      </c>
      <c r="AX49" s="71">
        <v>1.48</v>
      </c>
      <c r="AY49" s="71">
        <v>1.6619999999999999</v>
      </c>
      <c r="AZ49" s="71">
        <v>0.64800000000000002</v>
      </c>
      <c r="BA49" s="71">
        <v>0.49299999999999999</v>
      </c>
      <c r="BB49" s="71">
        <v>0.501</v>
      </c>
      <c r="BC49" s="71">
        <v>0.36699999999999999</v>
      </c>
      <c r="BD49" s="71">
        <v>0.67800000000000005</v>
      </c>
      <c r="BE49" s="71">
        <v>0.59799999999999998</v>
      </c>
      <c r="BF49" s="71">
        <v>0.56599999999999995</v>
      </c>
      <c r="BG49" s="71">
        <v>0.61700000000000033</v>
      </c>
      <c r="BH49" s="71">
        <v>0.58699999999999997</v>
      </c>
      <c r="BI49" s="71">
        <v>0.57999999999999996</v>
      </c>
      <c r="BJ49" s="71">
        <v>0.73399999999999999</v>
      </c>
      <c r="BK49" s="71">
        <v>0.86</v>
      </c>
      <c r="BL49" s="71">
        <v>0.75900000000000001</v>
      </c>
      <c r="BM49" s="71">
        <v>0.441</v>
      </c>
      <c r="BN49" s="71">
        <v>0.40500000000000003</v>
      </c>
      <c r="BO49" s="71">
        <v>0.25900000000000012</v>
      </c>
      <c r="BP49" s="71">
        <v>0.34499999999999997</v>
      </c>
      <c r="BQ49" s="226">
        <v>1.02</v>
      </c>
      <c r="BR49" s="226">
        <v>0.35599999999999998</v>
      </c>
      <c r="BS49" s="226">
        <f>1.993-SUM(BP49:BR49)</f>
        <v>0.27200000000000002</v>
      </c>
      <c r="BT49" s="226">
        <v>1.1040000000000001</v>
      </c>
      <c r="BU49" s="71">
        <v>0.78200000000000003</v>
      </c>
      <c r="BV49" s="71"/>
      <c r="BW49" s="49">
        <v>1.129</v>
      </c>
      <c r="BX49" s="49">
        <v>1.224</v>
      </c>
      <c r="BY49" s="49">
        <v>1.127</v>
      </c>
      <c r="BZ49" s="69" t="s">
        <v>3</v>
      </c>
      <c r="CA49" s="69" t="s">
        <v>3</v>
      </c>
      <c r="CB49" s="69" t="s">
        <v>3</v>
      </c>
      <c r="CC49" s="49">
        <v>2.8050000000000002</v>
      </c>
      <c r="CD49" s="49">
        <v>3.9780000000000002</v>
      </c>
      <c r="CE49" s="49">
        <v>3.5680000000000001</v>
      </c>
      <c r="CF49" s="49">
        <v>3.8</v>
      </c>
      <c r="CG49" s="71">
        <v>3.9</v>
      </c>
      <c r="CH49" s="71">
        <v>4.3109999999999999</v>
      </c>
      <c r="CI49" s="71">
        <v>6.7220000000000004</v>
      </c>
      <c r="CJ49" s="71">
        <v>2.0089999999999999</v>
      </c>
      <c r="CK49" s="71">
        <v>2.4590000000000001</v>
      </c>
      <c r="CL49" s="49">
        <f t="shared" si="54"/>
        <v>2.7609999999999997</v>
      </c>
      <c r="CM49" s="49">
        <f t="shared" si="55"/>
        <v>1.8640000000000001</v>
      </c>
      <c r="CN49" s="49">
        <f t="shared" si="56"/>
        <v>1.9930000000000001</v>
      </c>
    </row>
    <row r="50" spans="2:92" x14ac:dyDescent="0.35">
      <c r="B50" s="29" t="str">
        <f>IF(Control!$D$5=1,"Short-term Investments","Aplicações Financeiras")</f>
        <v>Aplicações Financeiras</v>
      </c>
      <c r="C50" s="99">
        <v>0</v>
      </c>
      <c r="D50" s="71">
        <v>0</v>
      </c>
      <c r="E50" s="178" t="s">
        <v>3</v>
      </c>
      <c r="F50" s="178" t="s">
        <v>3</v>
      </c>
      <c r="G50" s="178" t="s">
        <v>3</v>
      </c>
      <c r="H50" s="71">
        <v>0.46400000000000002</v>
      </c>
      <c r="I50" s="178" t="s">
        <v>3</v>
      </c>
      <c r="J50" s="178" t="s">
        <v>3</v>
      </c>
      <c r="K50" s="178" t="s">
        <v>3</v>
      </c>
      <c r="L50" s="71">
        <v>3.048</v>
      </c>
      <c r="M50" s="178" t="s">
        <v>3</v>
      </c>
      <c r="N50" s="178" t="s">
        <v>3</v>
      </c>
      <c r="O50" s="178" t="s">
        <v>3</v>
      </c>
      <c r="P50" s="71">
        <v>1.429</v>
      </c>
      <c r="Q50" s="105">
        <v>14.353999999999999</v>
      </c>
      <c r="R50" s="49">
        <v>10.36</v>
      </c>
      <c r="S50" s="178" t="s">
        <v>3</v>
      </c>
      <c r="T50" s="71">
        <v>2.5169999999999999</v>
      </c>
      <c r="U50" s="178" t="s">
        <v>3</v>
      </c>
      <c r="V50" s="178" t="s">
        <v>3</v>
      </c>
      <c r="W50" s="178" t="s">
        <v>3</v>
      </c>
      <c r="X50" s="71">
        <v>7.2880000000000003</v>
      </c>
      <c r="Y50" s="43">
        <v>3.2959999999999994</v>
      </c>
      <c r="Z50" s="49">
        <v>4.6820000000000004</v>
      </c>
      <c r="AA50" s="49">
        <f t="shared" si="53"/>
        <v>3.3770000000000007</v>
      </c>
      <c r="AB50" s="71">
        <v>6.3230000000000004</v>
      </c>
      <c r="AC50" s="43">
        <v>14.353999999999999</v>
      </c>
      <c r="AD50" s="49">
        <v>9.4720000000000013</v>
      </c>
      <c r="AE50" s="49">
        <v>8.7590000000000003</v>
      </c>
      <c r="AF50" s="71">
        <v>8.1479999999999997</v>
      </c>
      <c r="AG50" s="43">
        <v>10.535</v>
      </c>
      <c r="AH50" s="49">
        <v>9.1660000000000004</v>
      </c>
      <c r="AI50" s="49">
        <v>7.8949999999999996</v>
      </c>
      <c r="AJ50" s="71">
        <v>10.217000000000001</v>
      </c>
      <c r="AK50" s="43">
        <v>9.197000000000001</v>
      </c>
      <c r="AL50" s="49">
        <v>6.9059999999999988</v>
      </c>
      <c r="AM50" s="49">
        <v>16.899999999999999</v>
      </c>
      <c r="AN50" s="71">
        <v>11.667999999999999</v>
      </c>
      <c r="AO50" s="43">
        <v>8.2089999999999996</v>
      </c>
      <c r="AP50" s="49">
        <v>8.0779999999999994</v>
      </c>
      <c r="AQ50" s="71">
        <v>9.8449999999999989</v>
      </c>
      <c r="AR50" s="71">
        <v>9.9</v>
      </c>
      <c r="AS50" s="71">
        <v>15.1</v>
      </c>
      <c r="AT50" s="71">
        <v>8.6999999999999993</v>
      </c>
      <c r="AU50" s="71">
        <v>5.8299999999999983</v>
      </c>
      <c r="AV50" s="71">
        <v>8.8000000000000007</v>
      </c>
      <c r="AW50" s="71">
        <v>17.960999999999999</v>
      </c>
      <c r="AX50" s="71">
        <v>10.925000000000004</v>
      </c>
      <c r="AY50" s="71">
        <v>5.65</v>
      </c>
      <c r="AZ50" s="71">
        <v>5.4290000000000003</v>
      </c>
      <c r="BA50" s="71">
        <v>4.9580000000000002</v>
      </c>
      <c r="BB50" s="71">
        <v>3.3570000000000002</v>
      </c>
      <c r="BC50" s="71">
        <v>2.1269999999999998</v>
      </c>
      <c r="BD50" s="71">
        <v>5.032</v>
      </c>
      <c r="BE50" s="71">
        <v>11.683</v>
      </c>
      <c r="BF50" s="71">
        <v>16.010000000000002</v>
      </c>
      <c r="BG50" s="71">
        <v>26.402000000000005</v>
      </c>
      <c r="BH50" s="71">
        <v>23.266999999999999</v>
      </c>
      <c r="BI50" s="71">
        <v>33.735999999999997</v>
      </c>
      <c r="BJ50" s="71">
        <v>27.407</v>
      </c>
      <c r="BK50" s="71">
        <v>15.3</v>
      </c>
      <c r="BL50" s="71">
        <v>20.125</v>
      </c>
      <c r="BM50" s="71">
        <v>39.509</v>
      </c>
      <c r="BN50" s="71">
        <v>42.423999999999999</v>
      </c>
      <c r="BO50" s="71">
        <v>54.792000000000002</v>
      </c>
      <c r="BP50" s="71">
        <v>57.143999999999998</v>
      </c>
      <c r="BQ50" s="226">
        <v>53.752000000000002</v>
      </c>
      <c r="BR50" s="226">
        <v>45.439</v>
      </c>
      <c r="BS50" s="226">
        <f>202.423-SUM(BP50:BR50)</f>
        <v>46.087999999999994</v>
      </c>
      <c r="BT50" s="226">
        <v>49.917999999999999</v>
      </c>
      <c r="BU50" s="71">
        <v>40.732999999999997</v>
      </c>
      <c r="BV50" s="71"/>
      <c r="BW50" s="49">
        <v>1.341</v>
      </c>
      <c r="BX50" s="49">
        <v>4.8579999999999997</v>
      </c>
      <c r="BY50" s="49">
        <v>8.3849999999999998</v>
      </c>
      <c r="BZ50" s="69" t="s">
        <v>3</v>
      </c>
      <c r="CA50" s="69" t="s">
        <v>3</v>
      </c>
      <c r="CB50" s="69" t="s">
        <v>3</v>
      </c>
      <c r="CC50" s="49">
        <v>18.643000000000001</v>
      </c>
      <c r="CD50" s="49">
        <v>38.908000000000001</v>
      </c>
      <c r="CE50" s="49">
        <v>35.744</v>
      </c>
      <c r="CF50" s="49">
        <v>43.2</v>
      </c>
      <c r="CG50" s="71">
        <v>37.799999999999997</v>
      </c>
      <c r="CH50" s="71">
        <v>39.53</v>
      </c>
      <c r="CI50" s="71">
        <v>43.336000000000006</v>
      </c>
      <c r="CJ50" s="71">
        <v>15.871</v>
      </c>
      <c r="CK50" s="71">
        <v>59.127000000000002</v>
      </c>
      <c r="CL50" s="49">
        <f t="shared" si="54"/>
        <v>99.71</v>
      </c>
      <c r="CM50" s="49">
        <f t="shared" si="55"/>
        <v>156.85</v>
      </c>
      <c r="CN50" s="49">
        <f t="shared" si="56"/>
        <v>202.423</v>
      </c>
    </row>
    <row r="51" spans="2:92" x14ac:dyDescent="0.35">
      <c r="B51" s="29" t="str">
        <f>IF(Control!$D$5=1,"Derivatives","Derivativos")</f>
        <v>Derivativos</v>
      </c>
      <c r="C51" s="99">
        <v>0</v>
      </c>
      <c r="D51" s="71">
        <v>0</v>
      </c>
      <c r="E51" s="178" t="s">
        <v>3</v>
      </c>
      <c r="F51" s="178" t="s">
        <v>3</v>
      </c>
      <c r="G51" s="178" t="s">
        <v>3</v>
      </c>
      <c r="H51" s="71">
        <v>0</v>
      </c>
      <c r="I51" s="178" t="s">
        <v>3</v>
      </c>
      <c r="J51" s="178" t="s">
        <v>3</v>
      </c>
      <c r="K51" s="178" t="s">
        <v>3</v>
      </c>
      <c r="L51" s="71">
        <v>0</v>
      </c>
      <c r="M51" s="178" t="s">
        <v>3</v>
      </c>
      <c r="N51" s="178" t="s">
        <v>3</v>
      </c>
      <c r="O51" s="178" t="s">
        <v>3</v>
      </c>
      <c r="P51" s="71">
        <v>0</v>
      </c>
      <c r="Q51" s="105">
        <v>4.9109999999999996</v>
      </c>
      <c r="R51" s="49">
        <v>0</v>
      </c>
      <c r="S51" s="178" t="s">
        <v>3</v>
      </c>
      <c r="T51" s="71">
        <v>0</v>
      </c>
      <c r="U51" s="178" t="s">
        <v>3</v>
      </c>
      <c r="V51" s="178" t="s">
        <v>3</v>
      </c>
      <c r="W51" s="178" t="s">
        <v>3</v>
      </c>
      <c r="X51" s="71">
        <v>2.9830000000000001</v>
      </c>
      <c r="Y51" s="43">
        <v>3.2929999999999997</v>
      </c>
      <c r="Z51" s="49">
        <v>-6.2759999999999998</v>
      </c>
      <c r="AA51" s="49">
        <f t="shared" si="53"/>
        <v>0</v>
      </c>
      <c r="AB51" s="71">
        <v>0</v>
      </c>
      <c r="AC51" s="43">
        <v>4.9109999999999996</v>
      </c>
      <c r="AD51" s="49">
        <v>0</v>
      </c>
      <c r="AE51" s="49">
        <v>0</v>
      </c>
      <c r="AF51" s="71">
        <v>0</v>
      </c>
      <c r="AG51" s="43">
        <v>0</v>
      </c>
      <c r="AH51" s="49">
        <v>0</v>
      </c>
      <c r="AI51" s="49">
        <v>0</v>
      </c>
      <c r="AJ51" s="71">
        <v>0</v>
      </c>
      <c r="AK51" s="43">
        <v>0</v>
      </c>
      <c r="AL51" s="49">
        <v>0</v>
      </c>
      <c r="AM51" s="49">
        <v>0</v>
      </c>
      <c r="AN51" s="71">
        <v>13.856999999999999</v>
      </c>
      <c r="AO51" s="43">
        <v>9.2680000000000007</v>
      </c>
      <c r="AP51" s="49">
        <v>11.055</v>
      </c>
      <c r="AQ51" s="71">
        <v>6.1199999999999974</v>
      </c>
      <c r="AR51" s="71">
        <v>12</v>
      </c>
      <c r="AS51" s="71">
        <v>34.700000000000003</v>
      </c>
      <c r="AT51" s="71">
        <v>26.5</v>
      </c>
      <c r="AU51" s="71">
        <v>15.826999999999998</v>
      </c>
      <c r="AV51" s="71">
        <v>18.100000000000001</v>
      </c>
      <c r="AW51" s="71">
        <v>8.3569999999999993</v>
      </c>
      <c r="AX51" s="71">
        <v>6.9539999999999971</v>
      </c>
      <c r="AY51" s="71">
        <v>14.403</v>
      </c>
      <c r="AZ51" s="71">
        <v>46.69</v>
      </c>
      <c r="BA51" s="71">
        <v>40.863</v>
      </c>
      <c r="BB51" s="71">
        <v>66.340999999999994</v>
      </c>
      <c r="BC51" s="71">
        <v>43.459000000000003</v>
      </c>
      <c r="BD51" s="71">
        <v>23.09</v>
      </c>
      <c r="BE51" s="71">
        <v>26.213999999999999</v>
      </c>
      <c r="BF51" s="71">
        <v>32.802999999999997</v>
      </c>
      <c r="BG51" s="71">
        <v>17.817000000000011</v>
      </c>
      <c r="BH51" s="71">
        <v>20.943999999999999</v>
      </c>
      <c r="BI51" s="71">
        <v>30.137</v>
      </c>
      <c r="BJ51" s="71">
        <v>39.381</v>
      </c>
      <c r="BK51" s="71">
        <v>25.117000000000001</v>
      </c>
      <c r="BL51" s="71">
        <v>19.756</v>
      </c>
      <c r="BM51" s="71">
        <v>22.085000000000001</v>
      </c>
      <c r="BN51" s="71">
        <v>30.462</v>
      </c>
      <c r="BO51" s="71">
        <v>26.244</v>
      </c>
      <c r="BP51" s="71">
        <v>18.966000000000001</v>
      </c>
      <c r="BQ51" s="226">
        <v>57.304000000000002</v>
      </c>
      <c r="BR51" s="226">
        <v>48.523000000000003</v>
      </c>
      <c r="BS51" s="226">
        <f>145.938-SUM(BP51:BR51)</f>
        <v>21.144999999999982</v>
      </c>
      <c r="BT51" s="71">
        <v>0</v>
      </c>
      <c r="BU51" s="71">
        <v>-24.777000000000001</v>
      </c>
      <c r="BV51" s="71"/>
      <c r="BW51" s="49">
        <v>0</v>
      </c>
      <c r="BX51" s="49">
        <v>0</v>
      </c>
      <c r="BY51" s="49">
        <v>0</v>
      </c>
      <c r="BZ51" s="69" t="s">
        <v>3</v>
      </c>
      <c r="CA51" s="69" t="s">
        <v>3</v>
      </c>
      <c r="CB51" s="69" t="s">
        <v>3</v>
      </c>
      <c r="CC51" s="49">
        <v>0</v>
      </c>
      <c r="CD51" s="49">
        <v>0</v>
      </c>
      <c r="CE51" s="49">
        <v>0</v>
      </c>
      <c r="CF51" s="49">
        <v>0</v>
      </c>
      <c r="CG51" s="71">
        <v>40.299999999999997</v>
      </c>
      <c r="CH51" s="71">
        <v>89.027000000000001</v>
      </c>
      <c r="CI51" s="71">
        <v>47.814</v>
      </c>
      <c r="CJ51" s="71">
        <v>197.35300000000001</v>
      </c>
      <c r="CK51" s="71">
        <v>99.924000000000007</v>
      </c>
      <c r="CL51" s="49">
        <f t="shared" si="54"/>
        <v>115.57900000000001</v>
      </c>
      <c r="CM51" s="49">
        <f t="shared" si="55"/>
        <v>98.546999999999997</v>
      </c>
      <c r="CN51" s="49">
        <f t="shared" si="56"/>
        <v>145.93799999999999</v>
      </c>
    </row>
    <row r="52" spans="2:92" x14ac:dyDescent="0.35">
      <c r="B52" s="29" t="str">
        <f>IF(Control!$D$5=1,"Foreign Exchange Variation","Variação Cambial")</f>
        <v>Variação Cambial</v>
      </c>
      <c r="C52" s="99">
        <v>0</v>
      </c>
      <c r="D52" s="71">
        <v>0</v>
      </c>
      <c r="E52" s="178" t="s">
        <v>3</v>
      </c>
      <c r="F52" s="178" t="s">
        <v>3</v>
      </c>
      <c r="G52" s="178" t="s">
        <v>3</v>
      </c>
      <c r="H52" s="71">
        <v>5.0110000000000001</v>
      </c>
      <c r="I52" s="178" t="s">
        <v>3</v>
      </c>
      <c r="J52" s="178" t="s">
        <v>3</v>
      </c>
      <c r="K52" s="178" t="s">
        <v>3</v>
      </c>
      <c r="L52" s="71">
        <v>0.64200000000000002</v>
      </c>
      <c r="M52" s="178" t="s">
        <v>3</v>
      </c>
      <c r="N52" s="178" t="s">
        <v>3</v>
      </c>
      <c r="O52" s="178" t="s">
        <v>3</v>
      </c>
      <c r="P52" s="71">
        <v>0</v>
      </c>
      <c r="Q52" s="105">
        <v>34.773000000000003</v>
      </c>
      <c r="R52" s="49">
        <v>5.7549999999999999</v>
      </c>
      <c r="S52" s="178" t="s">
        <v>3</v>
      </c>
      <c r="T52" s="71">
        <v>29.646000000000001</v>
      </c>
      <c r="U52" s="178" t="s">
        <v>3</v>
      </c>
      <c r="V52" s="178" t="s">
        <v>3</v>
      </c>
      <c r="W52" s="178" t="s">
        <v>3</v>
      </c>
      <c r="X52" s="71">
        <v>0.66500000000000004</v>
      </c>
      <c r="Y52" s="43">
        <v>0.51899999999999991</v>
      </c>
      <c r="Z52" s="49">
        <v>8.8009999999999984</v>
      </c>
      <c r="AA52" s="49">
        <f t="shared" si="53"/>
        <v>4.0010000000000021</v>
      </c>
      <c r="AB52" s="71">
        <v>0.50900000000000001</v>
      </c>
      <c r="AC52" s="43">
        <v>34.773000000000003</v>
      </c>
      <c r="AD52" s="43">
        <v>1.6</v>
      </c>
      <c r="AE52" s="49">
        <v>14.757000000000001</v>
      </c>
      <c r="AF52" s="71">
        <v>1.4930000000000001</v>
      </c>
      <c r="AG52" s="43">
        <v>2.0720000000000001</v>
      </c>
      <c r="AH52" s="49">
        <v>1.8770000000000002</v>
      </c>
      <c r="AI52" s="49">
        <v>5.0120000000000005</v>
      </c>
      <c r="AJ52" s="71">
        <v>2.419</v>
      </c>
      <c r="AK52" s="43">
        <v>1.2869999999999999</v>
      </c>
      <c r="AL52" s="49">
        <v>1.5400000000000005</v>
      </c>
      <c r="AM52" s="49">
        <v>3.2</v>
      </c>
      <c r="AN52" s="71">
        <v>1.4490000000000001</v>
      </c>
      <c r="AO52" s="43">
        <v>0.46299999999999986</v>
      </c>
      <c r="AP52" s="49">
        <v>1.5569999999999997</v>
      </c>
      <c r="AQ52" s="71">
        <v>2.0310000000000001</v>
      </c>
      <c r="AR52" s="71">
        <v>3.7</v>
      </c>
      <c r="AS52" s="71">
        <v>7.3999999999999995</v>
      </c>
      <c r="AT52" s="71">
        <v>0.4</v>
      </c>
      <c r="AU52" s="71">
        <v>1.5280000000000005</v>
      </c>
      <c r="AV52" s="71">
        <v>0.91</v>
      </c>
      <c r="AW52" s="71">
        <v>2.1850000000000001</v>
      </c>
      <c r="AX52" s="71">
        <v>1.4860000000000002</v>
      </c>
      <c r="AY52" s="71">
        <v>8.0350000000000001</v>
      </c>
      <c r="AZ52" s="71">
        <v>10.746</v>
      </c>
      <c r="BA52" s="71">
        <v>9.4659999999999993</v>
      </c>
      <c r="BB52" s="71">
        <v>4.226</v>
      </c>
      <c r="BC52" s="71">
        <v>7.5030000000000001</v>
      </c>
      <c r="BD52" s="71">
        <v>3.456</v>
      </c>
      <c r="BE52" s="71">
        <v>4.6239999999999997</v>
      </c>
      <c r="BF52" s="71">
        <v>4.0170000000000003</v>
      </c>
      <c r="BG52" s="71">
        <v>11.579000000000001</v>
      </c>
      <c r="BH52" s="71">
        <v>11.29</v>
      </c>
      <c r="BI52" s="71">
        <v>13.086</v>
      </c>
      <c r="BJ52" s="71">
        <v>10.728999999999999</v>
      </c>
      <c r="BK52" s="71">
        <v>5.7859999999999996</v>
      </c>
      <c r="BL52" s="71">
        <v>6.6189999999999998</v>
      </c>
      <c r="BM52" s="71">
        <v>9.4220000000000006</v>
      </c>
      <c r="BN52" s="71">
        <v>12.433999999999999</v>
      </c>
      <c r="BO52" s="71">
        <v>5.1640000000000015</v>
      </c>
      <c r="BP52" s="71">
        <v>7.0990000000000002</v>
      </c>
      <c r="BQ52" s="226">
        <v>16.585000000000001</v>
      </c>
      <c r="BR52" s="226">
        <v>25.242000000000001</v>
      </c>
      <c r="BS52" s="226">
        <f>48.95198573-SUM(BP52:BR52)</f>
        <v>2.5985729999995044E-2</v>
      </c>
      <c r="BT52" s="226">
        <v>0</v>
      </c>
      <c r="BU52" s="226">
        <v>10.095000000000001</v>
      </c>
      <c r="BV52" s="71"/>
      <c r="BW52" s="49">
        <v>0</v>
      </c>
      <c r="BX52" s="49">
        <v>1.5740000000000001</v>
      </c>
      <c r="BY52" s="49">
        <v>6.4770000000000003</v>
      </c>
      <c r="BZ52" s="69" t="s">
        <v>3</v>
      </c>
      <c r="CA52" s="69" t="s">
        <v>3</v>
      </c>
      <c r="CB52" s="69" t="s">
        <v>3</v>
      </c>
      <c r="CC52" s="49">
        <v>13.986000000000001</v>
      </c>
      <c r="CD52" s="49">
        <v>16.963000000000001</v>
      </c>
      <c r="CE52" s="49">
        <v>10.454000000000001</v>
      </c>
      <c r="CF52" s="49">
        <v>8.5</v>
      </c>
      <c r="CG52" s="71">
        <v>5.5</v>
      </c>
      <c r="CH52" s="71">
        <v>13.028</v>
      </c>
      <c r="CI52" s="71">
        <v>12.616</v>
      </c>
      <c r="CJ52" s="71">
        <v>31.940999999999999</v>
      </c>
      <c r="CK52" s="71">
        <v>23.675999999999998</v>
      </c>
      <c r="CL52" s="49">
        <f t="shared" si="54"/>
        <v>40.890999999999998</v>
      </c>
      <c r="CM52" s="49">
        <f t="shared" si="55"/>
        <v>33.639000000000003</v>
      </c>
      <c r="CN52" s="49">
        <f t="shared" si="56"/>
        <v>48.951985729999997</v>
      </c>
    </row>
    <row r="53" spans="2:92" x14ac:dyDescent="0.35">
      <c r="B53" s="29" t="str">
        <f>IF(Control!$D$5=1,"Monetary Variation","Variação Monetária")</f>
        <v>Variação Monetária</v>
      </c>
      <c r="C53" s="99">
        <v>0</v>
      </c>
      <c r="D53" s="71">
        <v>0</v>
      </c>
      <c r="E53" s="178" t="s">
        <v>3</v>
      </c>
      <c r="F53" s="178" t="s">
        <v>3</v>
      </c>
      <c r="G53" s="178" t="s">
        <v>3</v>
      </c>
      <c r="H53" s="71">
        <v>0</v>
      </c>
      <c r="I53" s="178" t="s">
        <v>3</v>
      </c>
      <c r="J53" s="178" t="s">
        <v>3</v>
      </c>
      <c r="K53" s="178" t="s">
        <v>3</v>
      </c>
      <c r="L53" s="71">
        <v>0</v>
      </c>
      <c r="M53" s="178" t="s">
        <v>3</v>
      </c>
      <c r="N53" s="178" t="s">
        <v>3</v>
      </c>
      <c r="O53" s="178" t="s">
        <v>3</v>
      </c>
      <c r="P53" s="71">
        <v>0</v>
      </c>
      <c r="Q53" s="105">
        <v>0</v>
      </c>
      <c r="R53" s="49">
        <v>0</v>
      </c>
      <c r="S53" s="178" t="s">
        <v>3</v>
      </c>
      <c r="T53" s="71">
        <v>0</v>
      </c>
      <c r="U53" s="178" t="s">
        <v>3</v>
      </c>
      <c r="V53" s="178" t="s">
        <v>3</v>
      </c>
      <c r="W53" s="178" t="s">
        <v>3</v>
      </c>
      <c r="X53" s="71">
        <v>0</v>
      </c>
      <c r="Y53" s="43">
        <v>0</v>
      </c>
      <c r="Z53" s="49">
        <v>2.2629999999999999</v>
      </c>
      <c r="AA53" s="49">
        <f t="shared" si="53"/>
        <v>0.86000000000000032</v>
      </c>
      <c r="AB53" s="71">
        <v>4.0000000000000001E-3</v>
      </c>
      <c r="AC53" s="43">
        <v>0</v>
      </c>
      <c r="AD53" s="49">
        <v>0</v>
      </c>
      <c r="AE53" s="49">
        <v>5.3680000000000003</v>
      </c>
      <c r="AF53" s="71">
        <v>10.804</v>
      </c>
      <c r="AG53" s="43">
        <v>0.25699999999999967</v>
      </c>
      <c r="AH53" s="49">
        <v>0.28299999999999947</v>
      </c>
      <c r="AI53" s="49">
        <v>0.26800000000000068</v>
      </c>
      <c r="AJ53" s="71">
        <v>0.28399999999999997</v>
      </c>
      <c r="AK53" s="43">
        <v>-0.28399999999999997</v>
      </c>
      <c r="AL53" s="49">
        <v>0.44</v>
      </c>
      <c r="AM53" s="49">
        <v>1</v>
      </c>
      <c r="AN53" s="71">
        <v>1.0329999999999999</v>
      </c>
      <c r="AO53" s="43">
        <v>6.5909999999999993</v>
      </c>
      <c r="AP53" s="49">
        <v>5.3320000000000007</v>
      </c>
      <c r="AQ53" s="71">
        <v>0.34400000000000119</v>
      </c>
      <c r="AR53" s="71">
        <v>0.1</v>
      </c>
      <c r="AS53" s="71">
        <v>1.7</v>
      </c>
      <c r="AT53" s="71">
        <v>43.8</v>
      </c>
      <c r="AU53" s="71">
        <v>-34.224999999999994</v>
      </c>
      <c r="AV53" s="71">
        <v>0</v>
      </c>
      <c r="AW53" s="71">
        <v>0</v>
      </c>
      <c r="AX53" s="71">
        <v>0</v>
      </c>
      <c r="AY53" s="71">
        <v>0</v>
      </c>
      <c r="AZ53" s="71">
        <v>0</v>
      </c>
      <c r="BA53" s="71">
        <v>0</v>
      </c>
      <c r="BB53" s="71">
        <v>0</v>
      </c>
      <c r="BC53" s="71">
        <v>0</v>
      </c>
      <c r="BD53" s="71">
        <v>0</v>
      </c>
      <c r="BE53" s="71">
        <v>0</v>
      </c>
      <c r="BF53" s="71">
        <v>0</v>
      </c>
      <c r="BG53" s="71">
        <v>10.808</v>
      </c>
      <c r="BH53" s="71">
        <v>0</v>
      </c>
      <c r="BI53" s="71">
        <v>0</v>
      </c>
      <c r="BJ53" s="71">
        <v>2.15</v>
      </c>
      <c r="BK53" s="71">
        <v>2.742</v>
      </c>
      <c r="BL53" s="71">
        <v>1.242</v>
      </c>
      <c r="BM53" s="71">
        <v>4.5540000000000003</v>
      </c>
      <c r="BN53" s="71">
        <v>0.65100000000000002</v>
      </c>
      <c r="BO53" s="71">
        <v>7.9340000000000002</v>
      </c>
      <c r="BP53" s="71">
        <v>0.49399999999999999</v>
      </c>
      <c r="BQ53" s="226">
        <v>5.516</v>
      </c>
      <c r="BR53" s="226">
        <v>1.31</v>
      </c>
      <c r="BS53" s="226">
        <f>7.064-SUM(BP53:BR53)</f>
        <v>-0.25600000000000023</v>
      </c>
      <c r="BT53" s="226">
        <v>0.85099999999999998</v>
      </c>
      <c r="BU53" s="71">
        <v>0.76</v>
      </c>
      <c r="BV53" s="71"/>
      <c r="BW53" s="49">
        <v>0</v>
      </c>
      <c r="BX53" s="49">
        <v>0</v>
      </c>
      <c r="BY53" s="49">
        <v>0</v>
      </c>
      <c r="BZ53" s="69" t="s">
        <v>3</v>
      </c>
      <c r="CA53" s="69" t="s">
        <v>3</v>
      </c>
      <c r="CB53" s="69" t="s">
        <v>3</v>
      </c>
      <c r="CC53" s="49">
        <v>3.1230000000000002</v>
      </c>
      <c r="CD53" s="49">
        <v>5.3680000000000003</v>
      </c>
      <c r="CE53" s="49">
        <v>11.612</v>
      </c>
      <c r="CF53" s="49">
        <v>1.5</v>
      </c>
      <c r="CG53" s="71">
        <v>13.3</v>
      </c>
      <c r="CH53" s="71">
        <v>11.375</v>
      </c>
      <c r="CI53" s="71">
        <v>0</v>
      </c>
      <c r="CJ53" s="71">
        <v>0</v>
      </c>
      <c r="CK53" s="71">
        <v>10.808</v>
      </c>
      <c r="CL53" s="49">
        <f t="shared" si="54"/>
        <v>4.8919999999999995</v>
      </c>
      <c r="CM53" s="49">
        <f t="shared" si="55"/>
        <v>14.381</v>
      </c>
      <c r="CN53" s="49">
        <f t="shared" si="56"/>
        <v>7.0640000000000001</v>
      </c>
    </row>
    <row r="54" spans="2:92" x14ac:dyDescent="0.35">
      <c r="B54" s="29" t="str">
        <f>IF(Control!$D$5=1,"Swap Revenues","Receitas de Swap")</f>
        <v>Receitas de Swap</v>
      </c>
      <c r="C54" s="99">
        <v>0</v>
      </c>
      <c r="D54" s="71">
        <v>0</v>
      </c>
      <c r="E54" s="178" t="s">
        <v>3</v>
      </c>
      <c r="F54" s="178" t="s">
        <v>3</v>
      </c>
      <c r="G54" s="178" t="s">
        <v>3</v>
      </c>
      <c r="H54" s="71">
        <f>3.144+0.312</f>
        <v>3.456</v>
      </c>
      <c r="I54" s="178" t="s">
        <v>3</v>
      </c>
      <c r="J54" s="178" t="s">
        <v>3</v>
      </c>
      <c r="K54" s="178" t="s">
        <v>3</v>
      </c>
      <c r="L54" s="71">
        <v>1.196</v>
      </c>
      <c r="M54" s="178" t="s">
        <v>3</v>
      </c>
      <c r="N54" s="178" t="s">
        <v>3</v>
      </c>
      <c r="O54" s="178" t="s">
        <v>3</v>
      </c>
      <c r="P54" s="71">
        <v>0</v>
      </c>
      <c r="Q54" s="105">
        <v>0</v>
      </c>
      <c r="R54" s="49">
        <v>0</v>
      </c>
      <c r="S54" s="178" t="s">
        <v>3</v>
      </c>
      <c r="T54" s="71">
        <v>0</v>
      </c>
      <c r="U54" s="178" t="s">
        <v>3</v>
      </c>
      <c r="V54" s="178" t="s">
        <v>3</v>
      </c>
      <c r="W54" s="178" t="s">
        <v>3</v>
      </c>
      <c r="X54" s="71">
        <v>9.7780000000000005</v>
      </c>
      <c r="Y54" s="43">
        <v>6.1069999999999993</v>
      </c>
      <c r="Z54" s="49">
        <v>-9.9999999999944578E-4</v>
      </c>
      <c r="AA54" s="49">
        <f t="shared" si="53"/>
        <v>0</v>
      </c>
      <c r="AB54" s="71">
        <v>0</v>
      </c>
      <c r="AC54" s="43">
        <v>0</v>
      </c>
      <c r="AD54" s="49">
        <v>0</v>
      </c>
      <c r="AE54" s="49">
        <v>0</v>
      </c>
      <c r="AF54" s="71">
        <v>0</v>
      </c>
      <c r="AG54" s="43">
        <v>0</v>
      </c>
      <c r="AH54" s="49">
        <v>0</v>
      </c>
      <c r="AI54" s="49">
        <v>0</v>
      </c>
      <c r="AJ54" s="71">
        <v>0</v>
      </c>
      <c r="AK54" s="43">
        <v>0</v>
      </c>
      <c r="AL54" s="49">
        <v>0</v>
      </c>
      <c r="AM54" s="49">
        <v>0</v>
      </c>
      <c r="AN54" s="71">
        <v>0</v>
      </c>
      <c r="AO54" s="43">
        <v>0</v>
      </c>
      <c r="AP54" s="49">
        <v>0</v>
      </c>
      <c r="AQ54" s="71">
        <v>0</v>
      </c>
      <c r="AR54" s="71">
        <v>0</v>
      </c>
      <c r="AS54" s="71">
        <v>0</v>
      </c>
      <c r="AT54" s="71">
        <v>0</v>
      </c>
      <c r="AU54" s="71">
        <v>0</v>
      </c>
      <c r="AV54" s="71">
        <v>0</v>
      </c>
      <c r="AW54" s="71">
        <v>0</v>
      </c>
      <c r="AX54" s="71">
        <v>0</v>
      </c>
      <c r="AY54" s="71">
        <v>0</v>
      </c>
      <c r="AZ54" s="71">
        <v>0</v>
      </c>
      <c r="BA54" s="71">
        <v>0</v>
      </c>
      <c r="BB54" s="71">
        <v>0</v>
      </c>
      <c r="BC54" s="71">
        <v>0</v>
      </c>
      <c r="BD54" s="71">
        <v>0</v>
      </c>
      <c r="BE54" s="71">
        <v>0</v>
      </c>
      <c r="BF54" s="71">
        <v>0</v>
      </c>
      <c r="BG54" s="71">
        <v>0</v>
      </c>
      <c r="BH54" s="71">
        <v>0</v>
      </c>
      <c r="BI54" s="71">
        <v>0</v>
      </c>
      <c r="BJ54" s="71">
        <v>0</v>
      </c>
      <c r="BK54" s="71">
        <v>0</v>
      </c>
      <c r="BL54" s="71">
        <v>0</v>
      </c>
      <c r="BM54" s="71">
        <v>0</v>
      </c>
      <c r="BN54" s="71">
        <v>0</v>
      </c>
      <c r="BO54" s="71">
        <v>0</v>
      </c>
      <c r="BP54" s="71">
        <v>0</v>
      </c>
      <c r="BQ54" s="226">
        <v>0</v>
      </c>
      <c r="BR54" s="226">
        <v>0</v>
      </c>
      <c r="BS54" s="226">
        <v>0</v>
      </c>
      <c r="BT54" s="226">
        <v>0</v>
      </c>
      <c r="BU54" s="226">
        <v>0</v>
      </c>
      <c r="BV54" s="71"/>
      <c r="BW54" s="49">
        <v>0</v>
      </c>
      <c r="BX54" s="49">
        <v>0</v>
      </c>
      <c r="BY54" s="49">
        <v>0</v>
      </c>
      <c r="BZ54" s="69" t="s">
        <v>3</v>
      </c>
      <c r="CA54" s="69" t="s">
        <v>3</v>
      </c>
      <c r="CB54" s="69" t="s">
        <v>3</v>
      </c>
      <c r="CC54" s="49">
        <v>15.884</v>
      </c>
      <c r="CD54" s="49">
        <v>0</v>
      </c>
      <c r="CE54" s="49">
        <v>0</v>
      </c>
      <c r="CF54" s="49">
        <v>0</v>
      </c>
      <c r="CG54" s="71">
        <v>0</v>
      </c>
      <c r="CH54" s="71">
        <v>0</v>
      </c>
      <c r="CI54" s="71">
        <v>0</v>
      </c>
      <c r="CJ54" s="71">
        <v>0</v>
      </c>
      <c r="CK54" s="71">
        <v>0</v>
      </c>
      <c r="CL54" s="49">
        <f t="shared" si="54"/>
        <v>0</v>
      </c>
      <c r="CM54" s="49">
        <f t="shared" si="55"/>
        <v>0</v>
      </c>
      <c r="CN54" s="49">
        <f t="shared" si="56"/>
        <v>0</v>
      </c>
    </row>
    <row r="55" spans="2:92" x14ac:dyDescent="0.35">
      <c r="B55" s="29" t="str">
        <f>IF(Control!$D$5=1,"Others","Outras")</f>
        <v>Outras</v>
      </c>
      <c r="C55" s="99">
        <v>0</v>
      </c>
      <c r="D55" s="71">
        <f>1.396+0.151</f>
        <v>1.5469999999999999</v>
      </c>
      <c r="E55" s="178" t="s">
        <v>3</v>
      </c>
      <c r="F55" s="178" t="s">
        <v>3</v>
      </c>
      <c r="G55" s="178" t="s">
        <v>3</v>
      </c>
      <c r="H55" s="71">
        <v>0</v>
      </c>
      <c r="I55" s="178" t="s">
        <v>3</v>
      </c>
      <c r="J55" s="178" t="s">
        <v>3</v>
      </c>
      <c r="K55" s="178" t="s">
        <v>3</v>
      </c>
      <c r="L55" s="71">
        <v>0</v>
      </c>
      <c r="M55" s="178" t="s">
        <v>3</v>
      </c>
      <c r="N55" s="178" t="s">
        <v>3</v>
      </c>
      <c r="O55" s="178" t="s">
        <v>3</v>
      </c>
      <c r="P55" s="71">
        <f>0.142+1.935+1.656</f>
        <v>3.7329999999999997</v>
      </c>
      <c r="Q55" s="105">
        <v>0.40899999999999997</v>
      </c>
      <c r="R55" s="49">
        <f>5.374+0.202</f>
        <v>5.5759999999999996</v>
      </c>
      <c r="S55" s="178" t="s">
        <v>3</v>
      </c>
      <c r="T55" s="71">
        <f>0.907+2.757+0.47</f>
        <v>4.1340000000000003</v>
      </c>
      <c r="U55" s="178" t="s">
        <v>3</v>
      </c>
      <c r="V55" s="178" t="s">
        <v>3</v>
      </c>
      <c r="W55" s="178" t="s">
        <v>3</v>
      </c>
      <c r="X55" s="71">
        <v>0.14499999999999999</v>
      </c>
      <c r="Y55" s="43">
        <v>0.33999999999999997</v>
      </c>
      <c r="Z55" s="49">
        <v>-4.6999999999999958E-2</v>
      </c>
      <c r="AA55" s="49">
        <f t="shared" si="53"/>
        <v>-0.10499999999999995</v>
      </c>
      <c r="AB55" s="71">
        <v>4.4980000000000002</v>
      </c>
      <c r="AC55" s="43">
        <v>2.5089999999999999</v>
      </c>
      <c r="AD55" s="49">
        <v>14.439</v>
      </c>
      <c r="AE55" s="49">
        <v>0</v>
      </c>
      <c r="AF55" s="71">
        <f>0.06+3.558</f>
        <v>3.6179999999999999</v>
      </c>
      <c r="AG55" s="43">
        <v>-4.7000000000000153E-2</v>
      </c>
      <c r="AH55" s="49">
        <v>-1.8119999999999998</v>
      </c>
      <c r="AI55" s="49">
        <v>0</v>
      </c>
      <c r="AJ55" s="71">
        <v>0.108</v>
      </c>
      <c r="AK55" s="43">
        <v>-0.108</v>
      </c>
      <c r="AL55" s="49">
        <v>0</v>
      </c>
      <c r="AM55" s="49">
        <v>0</v>
      </c>
      <c r="AN55" s="71">
        <v>0</v>
      </c>
      <c r="AO55" s="43">
        <v>0</v>
      </c>
      <c r="AP55" s="49">
        <v>0</v>
      </c>
      <c r="AQ55" s="71">
        <v>0</v>
      </c>
      <c r="AR55" s="71">
        <v>0</v>
      </c>
      <c r="AS55" s="71">
        <v>0</v>
      </c>
      <c r="AT55" s="71">
        <v>0</v>
      </c>
      <c r="AU55" s="71">
        <v>38.768000000000001</v>
      </c>
      <c r="AV55" s="71">
        <v>4.8</v>
      </c>
      <c r="AW55" s="71">
        <v>2.5049999999999999</v>
      </c>
      <c r="AX55" s="71">
        <v>2.4070000000000005</v>
      </c>
      <c r="AY55" s="71">
        <v>2.0099999999999998</v>
      </c>
      <c r="AZ55" s="71">
        <v>0.8</v>
      </c>
      <c r="BA55" s="71">
        <v>4.992</v>
      </c>
      <c r="BB55" s="71">
        <v>3.2870000000000004</v>
      </c>
      <c r="BC55" s="71">
        <v>2.0110000000000001</v>
      </c>
      <c r="BD55" s="71">
        <v>0.58299999999999996</v>
      </c>
      <c r="BE55" s="71">
        <v>1.4410000000000001</v>
      </c>
      <c r="BF55" s="71">
        <v>5.5410000000000004</v>
      </c>
      <c r="BG55" s="71">
        <v>0</v>
      </c>
      <c r="BH55" s="71">
        <v>2.37</v>
      </c>
      <c r="BI55" s="71">
        <v>2.19</v>
      </c>
      <c r="BJ55" s="71">
        <v>0.44600000000000001</v>
      </c>
      <c r="BK55" s="71">
        <v>2.14</v>
      </c>
      <c r="BL55" s="71">
        <f>0.541+0.042</f>
        <v>0.58300000000000007</v>
      </c>
      <c r="BM55" s="71">
        <f>0.413-0.042</f>
        <v>0.371</v>
      </c>
      <c r="BN55" s="71">
        <v>0.372</v>
      </c>
      <c r="BO55" s="71">
        <v>0.27600000000000002</v>
      </c>
      <c r="BP55" s="71">
        <v>0.62</v>
      </c>
      <c r="BQ55" s="226">
        <v>0.39700000000000002</v>
      </c>
      <c r="BR55" s="226">
        <v>0.496</v>
      </c>
      <c r="BS55" s="226">
        <f>2.221-SUM(BP55:BR55)</f>
        <v>0.70800000000000018</v>
      </c>
      <c r="BT55" s="226">
        <v>3.3000000000000002E-2</v>
      </c>
      <c r="BU55" s="71">
        <v>4.4999999999999998E-2</v>
      </c>
      <c r="BV55" s="71"/>
      <c r="BW55" s="49">
        <f>11.719+3.325</f>
        <v>15.044</v>
      </c>
      <c r="BX55" s="49">
        <v>11.776</v>
      </c>
      <c r="BY55" s="49">
        <f>9.81+1.294</f>
        <v>11.104000000000001</v>
      </c>
      <c r="BZ55" s="69" t="s">
        <v>3</v>
      </c>
      <c r="CA55" s="69" t="s">
        <v>3</v>
      </c>
      <c r="CB55" s="69" t="s">
        <v>3</v>
      </c>
      <c r="CC55" s="49">
        <v>0.33300000000000002</v>
      </c>
      <c r="CD55" s="49">
        <v>5.641</v>
      </c>
      <c r="CE55" s="49">
        <v>1.7589999999999999</v>
      </c>
      <c r="CF55" s="49">
        <v>0</v>
      </c>
      <c r="CG55" s="71">
        <v>0</v>
      </c>
      <c r="CH55" s="71">
        <f>38.719+0.049</f>
        <v>38.768000000000001</v>
      </c>
      <c r="CI55" s="71">
        <v>11.722</v>
      </c>
      <c r="CJ55" s="71">
        <v>11.186</v>
      </c>
      <c r="CK55" s="71">
        <v>1.5489999999999999</v>
      </c>
      <c r="CL55" s="49">
        <f t="shared" si="54"/>
        <v>7.1460000000000008</v>
      </c>
      <c r="CM55" s="49">
        <f t="shared" si="55"/>
        <v>1.6020000000000001</v>
      </c>
      <c r="CN55" s="49">
        <f t="shared" si="56"/>
        <v>2.2210000000000001</v>
      </c>
    </row>
    <row r="56" spans="2:92" x14ac:dyDescent="0.35">
      <c r="CG56" s="60"/>
      <c r="CH56" s="60"/>
      <c r="CI56" s="60"/>
      <c r="CJ56" s="60"/>
      <c r="CK56" s="60"/>
      <c r="CL56" s="60"/>
      <c r="CM56" s="60"/>
      <c r="CN56" s="60"/>
    </row>
    <row r="57" spans="2:92" x14ac:dyDescent="0.35">
      <c r="BG57" s="182"/>
      <c r="BH57" s="182"/>
      <c r="BI57" s="182"/>
      <c r="BJ57" s="182"/>
      <c r="BK57" s="182"/>
      <c r="BL57" s="182"/>
      <c r="BM57" s="182"/>
      <c r="BN57" s="182"/>
      <c r="BO57" s="182"/>
      <c r="BP57" s="182"/>
      <c r="BQ57" s="182"/>
      <c r="BR57" s="182"/>
      <c r="BS57" s="182"/>
      <c r="BT57" s="182"/>
      <c r="BU57" s="182"/>
      <c r="CG57" s="60"/>
      <c r="CH57" s="60"/>
      <c r="CI57" s="60"/>
      <c r="CJ57" s="60"/>
      <c r="CK57" s="60"/>
      <c r="CL57" s="60"/>
      <c r="CM57" s="60"/>
      <c r="CN57" s="60"/>
    </row>
    <row r="58" spans="2:92" x14ac:dyDescent="0.35">
      <c r="CG58" s="60"/>
      <c r="CH58" s="60"/>
      <c r="CI58" s="60"/>
      <c r="CJ58" s="60"/>
      <c r="CK58" s="60"/>
      <c r="CL58" s="60"/>
      <c r="CM58" s="60"/>
      <c r="CN58" s="60"/>
    </row>
    <row r="59" spans="2:92" x14ac:dyDescent="0.35">
      <c r="CG59" s="60"/>
      <c r="CH59" s="60"/>
      <c r="CI59" s="60"/>
      <c r="CJ59" s="60"/>
      <c r="CK59" s="60"/>
      <c r="CL59" s="60"/>
      <c r="CM59" s="60"/>
      <c r="CN59" s="60"/>
    </row>
    <row r="60" spans="2:92" x14ac:dyDescent="0.35">
      <c r="CG60" s="60"/>
      <c r="CH60" s="60"/>
      <c r="CI60" s="60"/>
      <c r="CJ60" s="60"/>
      <c r="CK60" s="60"/>
      <c r="CL60" s="60"/>
      <c r="CM60" s="60"/>
      <c r="CN60" s="60"/>
    </row>
    <row r="61" spans="2:92" x14ac:dyDescent="0.35">
      <c r="CG61" s="60"/>
      <c r="CH61" s="60"/>
      <c r="CI61" s="60"/>
      <c r="CJ61" s="60"/>
      <c r="CK61" s="60"/>
      <c r="CL61" s="60"/>
      <c r="CM61" s="60"/>
      <c r="CN61" s="60"/>
    </row>
    <row r="62" spans="2:92" x14ac:dyDescent="0.35">
      <c r="CG62" s="60"/>
      <c r="CH62" s="60"/>
      <c r="CI62" s="60"/>
      <c r="CJ62" s="60"/>
      <c r="CK62" s="60"/>
      <c r="CL62" s="60"/>
      <c r="CM62" s="60"/>
      <c r="CN62" s="60"/>
    </row>
    <row r="63" spans="2:92" x14ac:dyDescent="0.35">
      <c r="CG63" s="60"/>
      <c r="CH63" s="60"/>
      <c r="CI63" s="60"/>
      <c r="CJ63" s="60"/>
      <c r="CK63" s="60"/>
      <c r="CL63" s="60"/>
      <c r="CM63" s="60"/>
      <c r="CN63" s="60"/>
    </row>
    <row r="64" spans="2:92" x14ac:dyDescent="0.35">
      <c r="CG64" s="60"/>
      <c r="CH64" s="60"/>
      <c r="CI64" s="60"/>
      <c r="CJ64" s="60"/>
      <c r="CK64" s="60"/>
      <c r="CL64" s="60"/>
      <c r="CM64" s="60"/>
      <c r="CN64" s="60"/>
    </row>
    <row r="65" spans="2:92" x14ac:dyDescent="0.35">
      <c r="CG65" s="60"/>
      <c r="CH65" s="60"/>
      <c r="CI65" s="60"/>
      <c r="CJ65" s="60"/>
      <c r="CK65" s="60"/>
      <c r="CL65" s="60"/>
      <c r="CM65" s="60"/>
      <c r="CN65" s="60"/>
    </row>
    <row r="66" spans="2:92" x14ac:dyDescent="0.35">
      <c r="B66" s="29"/>
      <c r="C66" s="71"/>
      <c r="D66" s="71"/>
      <c r="E66" s="178"/>
      <c r="F66" s="178"/>
      <c r="G66" s="178"/>
      <c r="H66" s="71"/>
      <c r="I66" s="178"/>
      <c r="J66" s="178"/>
      <c r="K66" s="178"/>
      <c r="L66" s="71"/>
      <c r="M66" s="178"/>
      <c r="N66" s="178"/>
      <c r="O66" s="178"/>
      <c r="P66" s="71"/>
      <c r="Q66" s="105"/>
      <c r="R66" s="49"/>
      <c r="S66" s="178"/>
      <c r="T66" s="71"/>
      <c r="U66" s="178"/>
      <c r="V66" s="178"/>
      <c r="W66" s="178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49"/>
      <c r="BX66" s="49"/>
      <c r="BY66" s="49"/>
      <c r="BZ66" s="69"/>
      <c r="CA66" s="69"/>
      <c r="CB66" s="69"/>
      <c r="CC66" s="71"/>
      <c r="CD66" s="71"/>
      <c r="CE66" s="71"/>
      <c r="CF66" s="71"/>
      <c r="CG66" s="71"/>
      <c r="CH66" s="71"/>
      <c r="CI66" s="71"/>
      <c r="CJ66" s="71"/>
      <c r="CK66" s="71"/>
      <c r="CL66" s="71"/>
      <c r="CM66" s="71"/>
      <c r="CN66" s="71"/>
    </row>
    <row r="67" spans="2:92" x14ac:dyDescent="0.35"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71"/>
      <c r="CN67" s="71"/>
    </row>
    <row r="68" spans="2:92" x14ac:dyDescent="0.35">
      <c r="CG68" s="60"/>
      <c r="CH68" s="60"/>
      <c r="CI68" s="60"/>
      <c r="CJ68" s="60"/>
      <c r="CK68" s="60"/>
      <c r="CL68" s="60"/>
      <c r="CM68" s="60"/>
      <c r="CN68" s="60"/>
    </row>
    <row r="69" spans="2:92" x14ac:dyDescent="0.35">
      <c r="CG69" s="60"/>
      <c r="CH69" s="60"/>
      <c r="CI69" s="60"/>
      <c r="CJ69" s="60"/>
      <c r="CK69" s="60"/>
      <c r="CL69" s="60"/>
      <c r="CM69" s="60"/>
      <c r="CN69" s="60"/>
    </row>
    <row r="70" spans="2:92" x14ac:dyDescent="0.35">
      <c r="CG70" s="60"/>
      <c r="CH70" s="60"/>
      <c r="CI70" s="60"/>
      <c r="CJ70" s="60"/>
      <c r="CK70" s="60"/>
      <c r="CL70" s="60"/>
      <c r="CM70" s="60"/>
      <c r="CN70" s="60"/>
    </row>
    <row r="71" spans="2:92" x14ac:dyDescent="0.35">
      <c r="CG71" s="60"/>
      <c r="CH71" s="60"/>
      <c r="CI71" s="60"/>
      <c r="CJ71" s="60"/>
      <c r="CK71" s="60"/>
      <c r="CL71" s="60"/>
      <c r="CM71" s="60"/>
      <c r="CN71" s="60"/>
    </row>
    <row r="72" spans="2:92" x14ac:dyDescent="0.35">
      <c r="CG72" s="60"/>
      <c r="CH72" s="60"/>
      <c r="CI72" s="60"/>
      <c r="CJ72" s="60"/>
      <c r="CK72" s="60"/>
      <c r="CL72" s="60"/>
      <c r="CM72" s="60"/>
      <c r="CN72" s="60"/>
    </row>
    <row r="73" spans="2:92" x14ac:dyDescent="0.35">
      <c r="CG73" s="60"/>
      <c r="CH73" s="60"/>
      <c r="CI73" s="60"/>
      <c r="CJ73" s="60"/>
      <c r="CK73" s="60"/>
      <c r="CL73" s="60"/>
      <c r="CM73" s="60"/>
      <c r="CN73" s="60"/>
    </row>
    <row r="74" spans="2:92" x14ac:dyDescent="0.35">
      <c r="CG74" s="60"/>
      <c r="CH74" s="60"/>
      <c r="CI74" s="60"/>
      <c r="CJ74" s="60"/>
      <c r="CK74" s="60"/>
      <c r="CL74" s="60"/>
      <c r="CM74" s="60"/>
      <c r="CN74" s="60"/>
    </row>
    <row r="75" spans="2:92" x14ac:dyDescent="0.35">
      <c r="CG75" s="60"/>
      <c r="CH75" s="60"/>
      <c r="CI75" s="60"/>
      <c r="CJ75" s="60"/>
      <c r="CK75" s="60"/>
      <c r="CL75" s="60"/>
      <c r="CM75" s="60"/>
      <c r="CN75" s="60"/>
    </row>
    <row r="76" spans="2:92" x14ac:dyDescent="0.35">
      <c r="CG76" s="60"/>
      <c r="CH76" s="60"/>
      <c r="CI76" s="60"/>
      <c r="CJ76" s="60"/>
      <c r="CK76" s="60"/>
      <c r="CL76" s="60"/>
      <c r="CM76" s="60"/>
      <c r="CN76" s="60"/>
    </row>
    <row r="77" spans="2:92" x14ac:dyDescent="0.35">
      <c r="CG77" s="60"/>
      <c r="CH77" s="60"/>
      <c r="CI77" s="60"/>
      <c r="CJ77" s="60"/>
      <c r="CK77" s="60"/>
      <c r="CL77" s="60"/>
      <c r="CM77" s="60"/>
      <c r="CN77" s="60"/>
    </row>
    <row r="78" spans="2:92" x14ac:dyDescent="0.35">
      <c r="CG78" s="60"/>
      <c r="CH78" s="60"/>
      <c r="CI78" s="60"/>
      <c r="CJ78" s="60"/>
      <c r="CK78" s="60"/>
      <c r="CL78" s="60"/>
      <c r="CM78" s="60"/>
      <c r="CN78" s="60"/>
    </row>
    <row r="79" spans="2:92" x14ac:dyDescent="0.35">
      <c r="CG79" s="60"/>
      <c r="CH79" s="60"/>
      <c r="CI79" s="60"/>
      <c r="CJ79" s="60"/>
      <c r="CK79" s="60"/>
      <c r="CL79" s="60"/>
      <c r="CM79" s="60"/>
      <c r="CN79" s="60"/>
    </row>
    <row r="80" spans="2:92" x14ac:dyDescent="0.35">
      <c r="CG80" s="60"/>
      <c r="CH80" s="60"/>
      <c r="CI80" s="60"/>
      <c r="CJ80" s="60"/>
      <c r="CK80" s="60"/>
      <c r="CL80" s="60"/>
      <c r="CM80" s="60"/>
      <c r="CN80" s="60"/>
    </row>
    <row r="81" spans="85:92" x14ac:dyDescent="0.35">
      <c r="CG81" s="60"/>
      <c r="CH81" s="60"/>
      <c r="CI81" s="60"/>
      <c r="CJ81" s="60"/>
      <c r="CK81" s="60"/>
      <c r="CL81" s="60"/>
      <c r="CM81" s="60"/>
      <c r="CN81" s="60"/>
    </row>
    <row r="82" spans="85:92" x14ac:dyDescent="0.35">
      <c r="CG82" s="60"/>
      <c r="CH82" s="60"/>
      <c r="CI82" s="60"/>
      <c r="CJ82" s="60"/>
      <c r="CK82" s="60"/>
      <c r="CL82" s="60"/>
      <c r="CM82" s="60"/>
      <c r="CN82" s="60"/>
    </row>
    <row r="83" spans="85:92" x14ac:dyDescent="0.35">
      <c r="CG83" s="60"/>
      <c r="CH83" s="60"/>
      <c r="CI83" s="60"/>
      <c r="CJ83" s="60"/>
      <c r="CK83" s="60"/>
      <c r="CL83" s="60"/>
      <c r="CM83" s="60"/>
      <c r="CN83" s="60"/>
    </row>
    <row r="84" spans="85:92" x14ac:dyDescent="0.35">
      <c r="CG84" s="60"/>
      <c r="CH84" s="60"/>
      <c r="CI84" s="60"/>
      <c r="CJ84" s="60"/>
      <c r="CK84" s="60"/>
      <c r="CL84" s="60"/>
      <c r="CM84" s="60"/>
      <c r="CN84" s="60"/>
    </row>
  </sheetData>
  <phoneticPr fontId="9" type="noConversion"/>
  <printOptions horizontalCentered="1" verticalCentered="1"/>
  <pageMargins left="0.24" right="0.24" top="0.75" bottom="0.75" header="0.31" footer="0.31"/>
  <pageSetup paperSize="9" scale="68" orientation="portrait" verticalDpi="0" r:id="rId1"/>
  <ignoredErrors>
    <ignoredError sqref="G9 AG9:AH9 AN9 AJ9:AL9 AB9:AE9 X9:AA9 T9:W9 P9:S9 L9:O9 H9:K9 E9" formula="1"/>
    <ignoredError sqref="AU26 CL21:CL29 CL39:CL45 CL48:CL55 CL31:CL33 CM21:CM23 CM27:CM29 CM39:CM40 CM42:CM45 CM48:CM54 CL30 CM30:CM33 CN11:CN55 BS39:BS45 BS48:BS55" formulaRange="1"/>
    <ignoredError sqref="CM41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Control</vt:lpstr>
      <vt:lpstr>P&amp;L</vt:lpstr>
      <vt:lpstr>BS</vt:lpstr>
      <vt:lpstr>P&amp;L Segments</vt:lpstr>
      <vt:lpstr>CF</vt:lpstr>
      <vt:lpstr>Support</vt:lpstr>
      <vt:lpstr>BS!Area_de_impressao</vt:lpstr>
      <vt:lpstr>CF!Area_de_impressao</vt:lpstr>
      <vt:lpstr>'P&amp;L'!Area_de_impressao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Salem</dc:creator>
  <cp:lastModifiedBy>Flavio da Silveira Seabra Rios</cp:lastModifiedBy>
  <cp:lastPrinted>2017-09-21T17:34:45Z</cp:lastPrinted>
  <dcterms:created xsi:type="dcterms:W3CDTF">2017-06-29T13:26:27Z</dcterms:created>
  <dcterms:modified xsi:type="dcterms:W3CDTF">2025-10-09T22:13:32Z</dcterms:modified>
</cp:coreProperties>
</file>