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 E APRESENTAÇÕES Trimestrais\2023\3T23\"/>
    </mc:Choice>
  </mc:AlternateContent>
  <xr:revisionPtr revIDLastSave="0" documentId="13_ncr:1_{C5A33385-C126-4B84-9028-9C973672C040}" xr6:coauthVersionLast="47" xr6:coauthVersionMax="47" xr10:uidLastSave="{00000000-0000-0000-0000-000000000000}"/>
  <bookViews>
    <workbookView xWindow="-110" yWindow="-110" windowWidth="19420" windowHeight="10300" tabRatio="818" firstSheet="4" activeTab="8" xr2:uid="{00000000-000D-0000-FFFF-FFFF00000000}"/>
  </bookViews>
  <sheets>
    <sheet name="Índice - Index" sheetId="23" r:id="rId1"/>
    <sheet name="Balanço - Balance Sheet" sheetId="2" r:id="rId2"/>
    <sheet name="Fluxo de Caixa - Cash Flow" sheetId="17" r:id="rId3"/>
    <sheet name="DRE Consolidado | P&amp;L " sheetId="19" r:id="rId4"/>
    <sheet name="DRE Varejo - Retail P&amp;L" sheetId="21" r:id="rId5"/>
    <sheet name="DRE Mbank - Mbank P&amp;L" sheetId="15" r:id="rId6"/>
    <sheet name="Destaques - Highlights" sheetId="1" r:id="rId7"/>
    <sheet name="Mbank - Mbank Portfolio" sheetId="13" r:id="rId8"/>
    <sheet name="Lojas - Stores" sheetId="24" r:id="rId9"/>
  </sheets>
  <definedNames>
    <definedName name="\0">#REF!</definedName>
    <definedName name="\a">#REF!</definedName>
    <definedName name="\i">#REF!</definedName>
    <definedName name="\m">#REF!</definedName>
    <definedName name="\N">#REF!</definedName>
    <definedName name="\p">#REF!</definedName>
    <definedName name="\s">#REF!</definedName>
    <definedName name="_xlnm._FilterDatabase" localSheetId="8" hidden="1">'Lojas - Stores'!$B$1:$J$246</definedName>
    <definedName name="_Order1" hidden="1">255</definedName>
    <definedName name="_PAG1">#REF!</definedName>
    <definedName name="_PAG2">#REF!</definedName>
    <definedName name="_PAG5">#REF!</definedName>
    <definedName name="_QUA2">#REF!</definedName>
    <definedName name="_QUA3">#REF!</definedName>
    <definedName name="_QUA4">#REF!</definedName>
    <definedName name="_QUA5">#REF!</definedName>
    <definedName name="A">#REF!</definedName>
    <definedName name="A_1">#REF!</definedName>
    <definedName name="A_2">#REF!</definedName>
    <definedName name="A0">#REF!</definedName>
    <definedName name="Á470">#REF!</definedName>
    <definedName name="AA">#REF!</definedName>
    <definedName name="AA_1">#REF!</definedName>
    <definedName name="AAA">#REF!</definedName>
    <definedName name="ACUMULADO">#REF!</definedName>
    <definedName name="ADICOES">#REF!</definedName>
    <definedName name="ADTOCLIENTES">#REF!</definedName>
    <definedName name="ANEXO99">#REF!</definedName>
    <definedName name="ANTECIPADAS">#REF!</definedName>
    <definedName name="APLICAÇ_ES">#REF!</definedName>
    <definedName name="APLICAÇÕES">#REF!</definedName>
    <definedName name="_xlnm.Extract">#REF!</definedName>
    <definedName name="_xlnm.Print_Area" localSheetId="6">'Destaques - Highlights'!$B$1:$S$27</definedName>
    <definedName name="_xlnm.Print_Area">#REF!</definedName>
    <definedName name="Área_impressão_IM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IVO">#REF!</definedName>
    <definedName name="AUMCAPITAL">#REF!</definedName>
    <definedName name="B">#REF!</definedName>
    <definedName name="B0">#REF!</definedName>
    <definedName name="BALANCO">#REF!</definedName>
    <definedName name="BALCMI">#REF!</definedName>
    <definedName name="BALGRAF">#REF!</definedName>
    <definedName name="BALPUBL">#REF!</definedName>
    <definedName name="_xlnm.Database">#REF!</definedName>
    <definedName name="BANCOS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C.">#REF!</definedName>
    <definedName name="CAP">#REF!</definedName>
    <definedName name="CAPCOLIG">#REF!</definedName>
    <definedName name="CC">#REF!</definedName>
    <definedName name="CCC">#REF!</definedName>
    <definedName name="COLIGATIVO">#REF!</definedName>
    <definedName name="COLIGPASSIVO">#REF!</definedName>
    <definedName name="COMPULSORIO">#REF!</definedName>
    <definedName name="consol0606imob">#REF!</definedName>
    <definedName name="CONVENIO">#REF!</definedName>
    <definedName name="CPRAZO">#REF!</definedName>
    <definedName name="_xlnm.Criteria">#REF!</definedName>
    <definedName name="CTAS.RECEBER">#REF!</definedName>
    <definedName name="CUSTO">#REF!</definedName>
    <definedName name="D">#REF!</definedName>
    <definedName name="D.R.E.">#REF!</definedName>
    <definedName name="DD">#REF!</definedName>
    <definedName name="DEBENLP">#REF!</definedName>
    <definedName name="DIFERIDO">#REF!</definedName>
    <definedName name="DIVGRAF1">#REF!</definedName>
    <definedName name="divliq">#REF!</definedName>
    <definedName name="DUPLS.ARECEBER">#REF!</definedName>
    <definedName name="EE">#REF!</definedName>
    <definedName name="ENCARGOS98">#REF!</definedName>
    <definedName name="ENCARGOS99">#REF!</definedName>
    <definedName name="ESTOQUES">#REF!</definedName>
    <definedName name="F_1">#REF!</definedName>
    <definedName name="F_2">#REF!</definedName>
    <definedName name="F_3">#REF!</definedName>
    <definedName name="FB_D_PI">#REF!</definedName>
    <definedName name="FB_D_PP">#REF!</definedName>
    <definedName name="FB_T_PI">#REF!</definedName>
    <definedName name="FB_T_PP">#REF!</definedName>
    <definedName name="fefe">#REF!</definedName>
    <definedName name="FINANCP">#REF!</definedName>
    <definedName name="FINANLP">#REF!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OLHA">#REF!</definedName>
    <definedName name="_xlnm.Recorder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H">#REF!</definedName>
    <definedName name="II">#REF!</definedName>
    <definedName name="IMOBILIZA01">#REF!</definedName>
    <definedName name="IMOBILIZA02">#REF!</definedName>
    <definedName name="IMOBILIZADO">#REF!</definedName>
    <definedName name="IMPATUAL">#REF!</definedName>
    <definedName name="INCENTIVOS">#REF!</definedName>
    <definedName name="interm_level">#REF!</definedName>
    <definedName name="INVESCOLIG">#REF!</definedName>
    <definedName name="INVESTIOUTROS">#REF!</definedName>
    <definedName name="JUDICIAIS">#REF!</definedName>
    <definedName name="L.">#REF!</definedName>
    <definedName name="LL">#REF!</definedName>
    <definedName name="lll">#REF!</definedName>
    <definedName name="LO_D_PI">#REF!</definedName>
    <definedName name="LO_T_PI">#REF!</definedName>
    <definedName name="Luiz">#REF!</definedName>
    <definedName name="Macro2">#REF!</definedName>
    <definedName name="MENU">#REF!</definedName>
    <definedName name="Meses">#REF!,#REF!,#REF!,#REF!,#REF!,#REF!,#REF!,#REF!,#REF!,#REF!,#REF!,#REF!</definedName>
    <definedName name="MM">#REF!</definedName>
    <definedName name="MM_1">#REF!</definedName>
    <definedName name="MU_D_PI">#REF!</definedName>
    <definedName name="MU_D_PP">#REF!</definedName>
    <definedName name="MU_T_PI">#REF!</definedName>
    <definedName name="MU_T_PP">#REF!</definedName>
    <definedName name="NN">#REF!</definedName>
    <definedName name="ooo" hidden="1">#REF!</definedName>
    <definedName name="ORÇADO">#REF!</definedName>
    <definedName name="OUCTASLP">#REF!</definedName>
    <definedName name="OUT_INFORM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ARC.">#REF!</definedName>
    <definedName name="PASSIVO">#REF!</definedName>
    <definedName name="PI_PF">#REF!</definedName>
    <definedName name="PI_PP">#REF!</definedName>
    <definedName name="PP_PF">#REF!</definedName>
    <definedName name="pppp">#REF!</definedName>
    <definedName name="pressões">#REF!</definedName>
    <definedName name="PRIENC98">#REF!</definedName>
    <definedName name="PRINCIPAL98">#REF!</definedName>
    <definedName name="PRINCIPAL99">#REF!</definedName>
    <definedName name="PRINENC99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ojeções">#REF!</definedName>
    <definedName name="PTS">#REF!</definedName>
    <definedName name="QUADRO">#REF!</definedName>
    <definedName name="REAL">#REF!</definedName>
    <definedName name="RECUPERAR">#REF!</definedName>
    <definedName name="REF">#REF!</definedName>
    <definedName name="REPASSE">#REF!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SALDODÍVIDA">#REF!</definedName>
    <definedName name="SERVIÇOS">#REF!</definedName>
    <definedName name="SS">#REF!</definedName>
    <definedName name="SU_D_PI">#REF!</definedName>
    <definedName name="SU_T_PI">#REF!</definedName>
    <definedName name="TABELA">#REF!</definedName>
    <definedName name="TABELA1">#REF!</definedName>
    <definedName name="TAXAS">#REF!</definedName>
    <definedName name="tes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4</definedName>
    <definedName name="_xlnm.Print_Titles">#REF!</definedName>
    <definedName name="TRIMESTRE">#REF!</definedName>
    <definedName name="tudo">#REF!</definedName>
    <definedName name="U">#REF!</definedName>
    <definedName name="UN_D_PI">#REF!</definedName>
    <definedName name="UN_D_PP">#REF!</definedName>
    <definedName name="UN_T_PI">#REF!</definedName>
    <definedName name="UN_T_PP">#REF!</definedName>
    <definedName name="values">#REF!,#REF!,#REF!</definedName>
    <definedName name="VENC">#REF!</definedName>
    <definedName name="VOLT_MENU">#REF!</definedName>
    <definedName name="vv">#REF!</definedName>
    <definedName name="vvv">#REF!</definedName>
    <definedName name="x">#REF!</definedName>
    <definedName name="XREF_COLUMN_1" hidden="1">#REF!</definedName>
    <definedName name="XREF_COLUMN_10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8</definedName>
    <definedName name="XRefCopy1" hidden="1">#REF!</definedName>
    <definedName name="XRefCopy12" hidden="1">#REF!</definedName>
    <definedName name="XRefCopy12Row" hidden="1">#REF!</definedName>
    <definedName name="XRefCopy13" hidden="1">#REF!</definedName>
    <definedName name="XRefCopy15" hidden="1">#REF!</definedName>
    <definedName name="XRefCopy17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RangeCount" hidden="1">14</definedName>
    <definedName name="XRefPaste1" hidden="1">#REF!</definedName>
    <definedName name="XRefPaste10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4" hidden="1">#REF!</definedName>
    <definedName name="XRefPaste8" hidden="1">#REF!</definedName>
    <definedName name="XRefPaste9" hidden="1">#REF!</definedName>
    <definedName name="XRefPasteRangeCount" hidden="1">35</definedName>
    <definedName name="xxx" hidden="1">#REF!</definedName>
    <definedName name="Z">#REF!</definedName>
    <definedName name="Z_1">#REF!</definedName>
    <definedName name="Z_3">#REF!</definedName>
    <definedName name="Z757Z12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8" i="19" l="1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F48" i="19"/>
  <c r="G48" i="19"/>
  <c r="H48" i="19"/>
  <c r="BI48" i="19"/>
  <c r="BJ48" i="19"/>
  <c r="BK48" i="19"/>
  <c r="BL48" i="19"/>
  <c r="BM48" i="19"/>
  <c r="BN48" i="19"/>
  <c r="BO48" i="19"/>
  <c r="BP48" i="19"/>
  <c r="BQ48" i="19"/>
  <c r="BR48" i="19"/>
  <c r="BS48" i="19"/>
  <c r="BT48" i="19"/>
  <c r="D48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D44" i="19"/>
  <c r="E44" i="19"/>
  <c r="BI24" i="21"/>
  <c r="BH43" i="13"/>
  <c r="BH22" i="13"/>
  <c r="BH2" i="13"/>
  <c r="BK50" i="19"/>
  <c r="BL50" i="19"/>
  <c r="BQ50" i="19"/>
  <c r="BP50" i="19"/>
  <c r="BT51" i="19"/>
  <c r="B23" i="15" l="1"/>
  <c r="B22" i="15"/>
  <c r="BO3" i="15"/>
  <c r="BN15" i="15"/>
  <c r="BN10" i="15"/>
  <c r="BN21" i="15" s="1"/>
  <c r="BN3" i="15"/>
  <c r="C53" i="19"/>
  <c r="BT3" i="19"/>
  <c r="C35" i="19"/>
  <c r="C30" i="19"/>
  <c r="C24" i="19"/>
  <c r="C19" i="19"/>
  <c r="C14" i="19"/>
  <c r="C7" i="19"/>
  <c r="BT27" i="19" l="1"/>
  <c r="BT25" i="19"/>
  <c r="BT5" i="19"/>
  <c r="BT23" i="19"/>
  <c r="BT50" i="19" s="1"/>
  <c r="BT33" i="19"/>
  <c r="BO23" i="19"/>
  <c r="BO24" i="19"/>
  <c r="BT24" i="19"/>
  <c r="BO25" i="19"/>
  <c r="BT17" i="19"/>
  <c r="BT12" i="19"/>
  <c r="BO50" i="19" l="1"/>
  <c r="BT22" i="19"/>
  <c r="BT38" i="19" s="1"/>
  <c r="BT44" i="19" s="1"/>
  <c r="BH26" i="13" l="1"/>
  <c r="BH6" i="13"/>
  <c r="BH58" i="13"/>
  <c r="BH47" i="13"/>
  <c r="BH19" i="13" l="1"/>
  <c r="BH39" i="13"/>
  <c r="BH60" i="13"/>
  <c r="BW35" i="1" l="1"/>
  <c r="BW30" i="1"/>
  <c r="BW10" i="1"/>
  <c r="BW17" i="1"/>
  <c r="BW14" i="1" s="1"/>
  <c r="BW1" i="1"/>
  <c r="BO3" i="19"/>
  <c r="BO21" i="21"/>
  <c r="BO19" i="21"/>
  <c r="BO18" i="21"/>
  <c r="BO12" i="21"/>
  <c r="BO6" i="21"/>
  <c r="BO10" i="21"/>
  <c r="BO4" i="21"/>
  <c r="BT3" i="15"/>
  <c r="BT4" i="21"/>
  <c r="BT21" i="21"/>
  <c r="BT19" i="21"/>
  <c r="BT18" i="21"/>
  <c r="BT12" i="21"/>
  <c r="BT10" i="21"/>
  <c r="BT6" i="21"/>
  <c r="AQ3" i="17"/>
  <c r="AQ27" i="17"/>
  <c r="AQ10" i="17"/>
  <c r="AQ19" i="17"/>
  <c r="AU27" i="17"/>
  <c r="AU19" i="17"/>
  <c r="AU3" i="17"/>
  <c r="BW8" i="1" l="1"/>
  <c r="AU10" i="17"/>
  <c r="BT17" i="21"/>
  <c r="AQ36" i="17"/>
  <c r="AQ12" i="17"/>
  <c r="AQ32" i="17"/>
  <c r="BT14" i="21"/>
  <c r="BT8" i="21"/>
  <c r="BO14" i="21"/>
  <c r="BO15" i="21" s="1"/>
  <c r="BO17" i="21"/>
  <c r="BT15" i="15"/>
  <c r="BT10" i="15"/>
  <c r="AQ25" i="17"/>
  <c r="AU36" i="17"/>
  <c r="AU32" i="17"/>
  <c r="AU12" i="17"/>
  <c r="AU25" i="17" s="1"/>
  <c r="BT24" i="21" l="1"/>
  <c r="BT23" i="21"/>
  <c r="BT15" i="21"/>
  <c r="BO23" i="21"/>
  <c r="BT21" i="15"/>
  <c r="BF4" i="2" l="1"/>
  <c r="BF65" i="2" l="1"/>
  <c r="BF53" i="2"/>
  <c r="BF18" i="2" l="1"/>
  <c r="BF33" i="2"/>
  <c r="BF35" i="2" s="1"/>
  <c r="BF75" i="2"/>
  <c r="BF77" i="2" s="1"/>
  <c r="BF79" i="2" s="1"/>
  <c r="BF80" i="2" s="1"/>
  <c r="AN3" i="17" l="1"/>
  <c r="AR3" i="17"/>
  <c r="AP32" i="17" l="1"/>
  <c r="AP27" i="17"/>
  <c r="AP19" i="17"/>
  <c r="AT27" i="17"/>
  <c r="AT19" i="17"/>
  <c r="AT32" i="17" l="1"/>
  <c r="AP10" i="17"/>
  <c r="AT36" i="17"/>
  <c r="AP36" i="17"/>
  <c r="AP12" i="17"/>
  <c r="AP25" i="17"/>
  <c r="AT12" i="17"/>
  <c r="AT3" i="17" l="1"/>
  <c r="AT10" i="17" l="1"/>
  <c r="AT25" i="17" s="1"/>
  <c r="BV17" i="1" l="1"/>
  <c r="BV14" i="1" l="1"/>
  <c r="BV32" i="1"/>
  <c r="BV30" i="1"/>
  <c r="BV10" i="1"/>
  <c r="BC4" i="2" l="1"/>
  <c r="BL3" i="15" l="1"/>
  <c r="BM3" i="15"/>
  <c r="BN4" i="21"/>
  <c r="BN3" i="19"/>
  <c r="AP3" i="17"/>
  <c r="AO3" i="17"/>
  <c r="BG6" i="13" l="1"/>
  <c r="BS3" i="15"/>
  <c r="BS4" i="21"/>
  <c r="BS3" i="19"/>
  <c r="BE4" i="2"/>
  <c r="BG26" i="13" l="1"/>
  <c r="BG39" i="13" s="1"/>
  <c r="BG19" i="13"/>
  <c r="BE33" i="2" l="1"/>
  <c r="BE65" i="2"/>
  <c r="BE53" i="2"/>
  <c r="BE75" i="2"/>
  <c r="BE77" i="2" s="1"/>
  <c r="BE18" i="2"/>
  <c r="BE35" i="2" l="1"/>
  <c r="BE79" i="2"/>
  <c r="BE80" i="2" l="1"/>
  <c r="BS21" i="21" l="1"/>
  <c r="BS33" i="19"/>
  <c r="BS19" i="21"/>
  <c r="BS10" i="15" l="1"/>
  <c r="BS25" i="21" l="1"/>
  <c r="BS15" i="15" l="1"/>
  <c r="BS21" i="15" l="1"/>
  <c r="BG58" i="13" l="1"/>
  <c r="BG47" i="13" l="1"/>
  <c r="BG60" i="13" s="1"/>
  <c r="BG43" i="13" l="1"/>
  <c r="BG22" i="13"/>
  <c r="BG2" i="13"/>
  <c r="BV35" i="1" l="1"/>
  <c r="BV1" i="1"/>
  <c r="BQ4" i="21"/>
  <c r="BP4" i="21"/>
  <c r="BQ3" i="19"/>
  <c r="BP3" i="19"/>
  <c r="BK6" i="21" l="1"/>
  <c r="BK3" i="19"/>
  <c r="BP21" i="21"/>
  <c r="BP19" i="21"/>
  <c r="BP12" i="21"/>
  <c r="BP33" i="19" l="1"/>
  <c r="BL24" i="21" l="1"/>
  <c r="BL19" i="21"/>
  <c r="BL18" i="21"/>
  <c r="BL17" i="19" l="1"/>
  <c r="BL33" i="19"/>
  <c r="BL21" i="21"/>
  <c r="BL27" i="19"/>
  <c r="BL12" i="19"/>
  <c r="BK21" i="21" l="1"/>
  <c r="BK19" i="21"/>
  <c r="BK18" i="21"/>
  <c r="BK12" i="21"/>
  <c r="BK17" i="21" l="1"/>
  <c r="BK33" i="19"/>
  <c r="BK10" i="21"/>
  <c r="BK14" i="21" l="1"/>
  <c r="BK8" i="21"/>
  <c r="BL25" i="21"/>
  <c r="BK15" i="21" l="1"/>
  <c r="BK23" i="21"/>
  <c r="BK25" i="21"/>
  <c r="BK17" i="19" l="1"/>
  <c r="BP17" i="19" l="1"/>
  <c r="BP6" i="21" l="1"/>
  <c r="BK5" i="19"/>
  <c r="BP18" i="21"/>
  <c r="BP17" i="21" s="1"/>
  <c r="BP5" i="19"/>
  <c r="BK25" i="19"/>
  <c r="BP25" i="19" l="1"/>
  <c r="BP23" i="19" l="1"/>
  <c r="BP24" i="21" s="1"/>
  <c r="BP10" i="21"/>
  <c r="BP12" i="19"/>
  <c r="BP22" i="19" s="1"/>
  <c r="BK12" i="19"/>
  <c r="BK22" i="19" s="1"/>
  <c r="BK23" i="19"/>
  <c r="BK24" i="21" s="1"/>
  <c r="BP14" i="21" l="1"/>
  <c r="BP23" i="21" s="1"/>
  <c r="BP8" i="21"/>
  <c r="BP15" i="21" l="1"/>
  <c r="BK27" i="19" l="1"/>
  <c r="BK38" i="19" s="1"/>
  <c r="BK44" i="19" l="1"/>
  <c r="BP27" i="19"/>
  <c r="BP38" i="19" s="1"/>
  <c r="BP44" i="19" l="1"/>
  <c r="BP25" i="21"/>
  <c r="BQ19" i="21" l="1"/>
  <c r="BQ33" i="19" l="1"/>
  <c r="BQ21" i="21"/>
  <c r="BQ18" i="21" l="1"/>
  <c r="BQ24" i="21"/>
  <c r="BQ27" i="19" l="1"/>
  <c r="BQ25" i="21" l="1"/>
  <c r="BM25" i="21" l="1"/>
  <c r="BM3" i="19" l="1"/>
  <c r="C26" i="21"/>
  <c r="C25" i="21"/>
  <c r="C24" i="21"/>
  <c r="C51" i="19"/>
  <c r="C50" i="19"/>
  <c r="C52" i="19"/>
  <c r="BQ12" i="21" l="1"/>
  <c r="BQ17" i="21" l="1"/>
  <c r="BL17" i="21"/>
  <c r="BL12" i="21"/>
  <c r="BL4" i="21"/>
  <c r="BL25" i="19"/>
  <c r="BQ25" i="19"/>
  <c r="BL5" i="19"/>
  <c r="BL22" i="19"/>
  <c r="BL3" i="19"/>
  <c r="BQ5" i="19" l="1"/>
  <c r="BQ6" i="21"/>
  <c r="BL6" i="21"/>
  <c r="BL38" i="19"/>
  <c r="BL44" i="19" s="1"/>
  <c r="BQ38" i="19"/>
  <c r="BQ44" i="19" s="1"/>
  <c r="BM4" i="21"/>
  <c r="BR25" i="21"/>
  <c r="BQ10" i="21" l="1"/>
  <c r="BQ23" i="19"/>
  <c r="BL23" i="19"/>
  <c r="BL10" i="21"/>
  <c r="BE43" i="13"/>
  <c r="BL8" i="21" l="1"/>
  <c r="BL14" i="21"/>
  <c r="BQ14" i="21"/>
  <c r="BQ8" i="21"/>
  <c r="BL15" i="21" l="1"/>
  <c r="BL23" i="21"/>
  <c r="BQ23" i="21"/>
  <c r="BQ15" i="21"/>
  <c r="BE22" i="13"/>
  <c r="BE58" i="13"/>
  <c r="BE2" i="13"/>
  <c r="BE47" i="13"/>
  <c r="BE60" i="13" s="1"/>
  <c r="BE26" i="13" l="1"/>
  <c r="BE6" i="13"/>
  <c r="BE39" i="13"/>
  <c r="BE19" i="13"/>
  <c r="AR27" i="17" l="1"/>
  <c r="AR12" i="17" l="1"/>
  <c r="AO12" i="17"/>
  <c r="AR32" i="17" l="1"/>
  <c r="AO32" i="17"/>
  <c r="AO19" i="17" l="1"/>
  <c r="AO25" i="17" s="1"/>
  <c r="AR19" i="17"/>
  <c r="AR10" i="17" l="1"/>
  <c r="AR25" i="17" s="1"/>
  <c r="AO36" i="17" l="1"/>
  <c r="AR36" i="17"/>
  <c r="AS19" i="17" l="1"/>
  <c r="BM18" i="21" l="1"/>
  <c r="BM19" i="21"/>
  <c r="BM6" i="21"/>
  <c r="BM12" i="21"/>
  <c r="BM10" i="21"/>
  <c r="BM21" i="21" l="1"/>
  <c r="BM50" i="19"/>
  <c r="BM14" i="21"/>
  <c r="BM17" i="21"/>
  <c r="BM8" i="21"/>
  <c r="BM33" i="19"/>
  <c r="BM17" i="19"/>
  <c r="BM15" i="21" l="1"/>
  <c r="BL10" i="15"/>
  <c r="BM5" i="19" l="1"/>
  <c r="BM12" i="19"/>
  <c r="BM22" i="19" s="1"/>
  <c r="BM24" i="21" l="1"/>
  <c r="BM23" i="21"/>
  <c r="BM27" i="19"/>
  <c r="BM38" i="19" s="1"/>
  <c r="BM44" i="19" s="1"/>
  <c r="BL15" i="15" l="1"/>
  <c r="BL21" i="15" l="1"/>
  <c r="BC18" i="2" l="1"/>
  <c r="BC33" i="2" l="1"/>
  <c r="BC35" i="2" s="1"/>
  <c r="BC53" i="2" l="1"/>
  <c r="BC65" i="2" l="1"/>
  <c r="BC75" i="2" l="1"/>
  <c r="BC77" i="2" s="1"/>
  <c r="BC79" i="2" s="1"/>
  <c r="BC80" i="2" s="1"/>
  <c r="BU17" i="1" l="1"/>
  <c r="BU14" i="1" l="1"/>
  <c r="BU32" i="1"/>
  <c r="BU30" i="1"/>
  <c r="BF47" i="13" l="1"/>
  <c r="BF60" i="13" s="1"/>
  <c r="BF58" i="13"/>
  <c r="BF26" i="13" l="1"/>
  <c r="BF39" i="13" s="1"/>
  <c r="BF6" i="13"/>
  <c r="BF19" i="13" s="1"/>
  <c r="BU35" i="1" l="1"/>
  <c r="BF43" i="13" l="1"/>
  <c r="BF22" i="13"/>
  <c r="BF2" i="13"/>
  <c r="BU27" i="1"/>
  <c r="BU1" i="1"/>
  <c r="BR3" i="15"/>
  <c r="BR4" i="21"/>
  <c r="BR3" i="19"/>
  <c r="AS27" i="17"/>
  <c r="BU10" i="1" l="1"/>
  <c r="AS36" i="17"/>
  <c r="AS32" i="17"/>
  <c r="AS12" i="17"/>
  <c r="AS3" i="17" l="1"/>
  <c r="BD75" i="2"/>
  <c r="BD77" i="2" s="1"/>
  <c r="BD4" i="2"/>
  <c r="BD18" i="2" l="1"/>
  <c r="BD53" i="2"/>
  <c r="BD65" i="2"/>
  <c r="BD33" i="2"/>
  <c r="BD79" i="2" l="1"/>
  <c r="BD35" i="2"/>
  <c r="BK3" i="15"/>
  <c r="BJ3" i="15"/>
  <c r="BK4" i="21"/>
  <c r="BD80" i="2" l="1"/>
  <c r="AN36" i="17" l="1"/>
  <c r="AN12" i="17"/>
  <c r="AY4" i="2" l="1"/>
  <c r="BT32" i="1" l="1"/>
  <c r="BT30" i="1"/>
  <c r="BT17" i="1" l="1"/>
  <c r="BT14" i="1" l="1"/>
  <c r="BT8" i="1"/>
  <c r="BT41" i="1"/>
  <c r="BS35" i="1" l="1"/>
  <c r="BS27" i="1"/>
  <c r="BS32" i="1" l="1"/>
  <c r="BS30" i="1"/>
  <c r="BS17" i="1" l="1"/>
  <c r="BS14" i="1" s="1"/>
  <c r="BQ3" i="15" l="1"/>
  <c r="AK21" i="15" l="1"/>
  <c r="BQ8" i="15" l="1"/>
  <c r="BD43" i="13" l="1"/>
  <c r="BC43" i="13"/>
  <c r="BB43" i="13"/>
  <c r="BD22" i="13"/>
  <c r="BC22" i="13"/>
  <c r="BB22" i="13"/>
  <c r="BD2" i="13"/>
  <c r="BC2" i="13"/>
  <c r="BB2" i="13"/>
  <c r="BT1" i="1"/>
  <c r="BS1" i="1"/>
  <c r="BR1" i="1"/>
  <c r="BQ1" i="1"/>
  <c r="BP1" i="1"/>
  <c r="BP3" i="15"/>
  <c r="BD58" i="13" l="1"/>
  <c r="BB58" i="13"/>
  <c r="B21" i="2" l="1"/>
  <c r="B22" i="2"/>
  <c r="BP17" i="1" l="1"/>
  <c r="BP14" i="1" s="1"/>
  <c r="BR17" i="1" l="1"/>
  <c r="BR14" i="1" s="1"/>
  <c r="BD47" i="13" l="1"/>
  <c r="BD60" i="13" s="1"/>
  <c r="BD26" i="13"/>
  <c r="BD39" i="13" s="1"/>
  <c r="BD6" i="13"/>
  <c r="BD19" i="13" l="1"/>
  <c r="BR35" i="1" l="1"/>
  <c r="BR32" i="1"/>
  <c r="BR30" i="1"/>
  <c r="BR10" i="1" l="1"/>
  <c r="BO15" i="15" l="1"/>
  <c r="BO10" i="15"/>
  <c r="BO21" i="15" l="1"/>
  <c r="BO33" i="19"/>
  <c r="BO17" i="19" l="1"/>
  <c r="BO5" i="19" l="1"/>
  <c r="BO12" i="19" l="1"/>
  <c r="BO22" i="19" l="1"/>
  <c r="BO27" i="19" l="1"/>
  <c r="BO38" i="19" l="1"/>
  <c r="BO44" i="19" l="1"/>
  <c r="BE12" i="1" l="1"/>
  <c r="BE11" i="1"/>
  <c r="BC25" i="21" l="1"/>
  <c r="BD25" i="21"/>
  <c r="BE25" i="21"/>
  <c r="BI25" i="21"/>
  <c r="BJ25" i="21"/>
  <c r="BB51" i="19" l="1"/>
  <c r="BB25" i="21" s="1"/>
  <c r="BC47" i="13" l="1"/>
  <c r="BC60" i="13" s="1"/>
  <c r="BT40" i="1" l="1"/>
  <c r="BT39" i="1"/>
  <c r="BT38" i="1"/>
  <c r="BT37" i="1"/>
  <c r="BT36" i="1"/>
  <c r="BT35" i="1" l="1"/>
  <c r="BT27" i="1"/>
  <c r="BQ35" i="1"/>
  <c r="BC26" i="13" l="1"/>
  <c r="BC39" i="13" s="1"/>
  <c r="BC6" i="13" l="1"/>
  <c r="BR7" i="1" l="1"/>
  <c r="BA53" i="2" l="1"/>
  <c r="BA75" i="2"/>
  <c r="BA77" i="2" s="1"/>
  <c r="BA65" i="2"/>
  <c r="BA79" i="2" l="1"/>
  <c r="BA18" i="2"/>
  <c r="BA33" i="2"/>
  <c r="BA35" i="2" s="1"/>
  <c r="BA80" i="2" l="1"/>
  <c r="BB47" i="13" l="1"/>
  <c r="BB60" i="13" l="1"/>
  <c r="C41" i="17" l="1"/>
  <c r="C12" i="17"/>
  <c r="BK6" i="1" l="1"/>
  <c r="C8" i="17" l="1"/>
  <c r="AN32" i="17"/>
  <c r="AN27" i="17"/>
  <c r="AN19" i="17"/>
  <c r="BO32" i="1" l="1"/>
  <c r="BO30" i="1"/>
  <c r="BM32" i="1" l="1"/>
  <c r="BN32" i="1"/>
  <c r="BN30" i="1"/>
  <c r="BA58" i="13" l="1"/>
  <c r="BA47" i="13" l="1"/>
  <c r="BA60" i="13" s="1"/>
  <c r="AZ26" i="13"/>
  <c r="AY26" i="13"/>
  <c r="AX26" i="13"/>
  <c r="BA26" i="13" l="1"/>
  <c r="BA39" i="13" s="1"/>
  <c r="BA19" i="13" l="1"/>
  <c r="BA43" i="13" l="1"/>
  <c r="BA22" i="13"/>
  <c r="BA2" i="13"/>
  <c r="BO41" i="1"/>
  <c r="BM30" i="1" l="1"/>
  <c r="BO12" i="1" l="1"/>
  <c r="BO11" i="1"/>
  <c r="BO8" i="1"/>
  <c r="BO14" i="1" l="1"/>
  <c r="BN14" i="1"/>
  <c r="BO10" i="1"/>
  <c r="BN10" i="1"/>
  <c r="BE15" i="15" l="1"/>
  <c r="BK8" i="15"/>
  <c r="BO1" i="1" l="1"/>
  <c r="BN1" i="1"/>
  <c r="BG15" i="21"/>
  <c r="BJ27" i="19"/>
  <c r="BI27" i="19"/>
  <c r="BH27" i="19"/>
  <c r="AW75" i="2" l="1"/>
  <c r="AX75" i="2"/>
  <c r="B69" i="2"/>
  <c r="BE10" i="15" l="1"/>
  <c r="BK15" i="15" l="1"/>
  <c r="BK10" i="15"/>
  <c r="BG34" i="19" l="1"/>
  <c r="BG27" i="19"/>
  <c r="BI17" i="19"/>
  <c r="BI12" i="19"/>
  <c r="BI5" i="19"/>
  <c r="AZ47" i="13" l="1"/>
  <c r="BM35" i="1" l="1"/>
  <c r="AZ60" i="13" l="1"/>
  <c r="AZ58" i="13"/>
  <c r="AZ19" i="13"/>
  <c r="AZ39" i="13" l="1"/>
  <c r="BI15" i="15" l="1"/>
  <c r="BI10" i="15" l="1"/>
  <c r="BJ19" i="21"/>
  <c r="BJ18" i="21"/>
  <c r="BJ17" i="19"/>
  <c r="BJ10" i="21"/>
  <c r="BJ6" i="21"/>
  <c r="BJ21" i="21" l="1"/>
  <c r="BJ12" i="21"/>
  <c r="AX77" i="2"/>
  <c r="BJ5" i="19"/>
  <c r="BJ14" i="21"/>
  <c r="BJ15" i="21" s="1"/>
  <c r="BJ12" i="19"/>
  <c r="BJ17" i="21"/>
  <c r="BJ33" i="19"/>
  <c r="AX33" i="2"/>
  <c r="AX65" i="2"/>
  <c r="AX53" i="2"/>
  <c r="AX18" i="2"/>
  <c r="BJ22" i="19" l="1"/>
  <c r="BJ38" i="19" s="1"/>
  <c r="AX35" i="2"/>
  <c r="AX79" i="2"/>
  <c r="AX80" i="2" s="1"/>
  <c r="AY39" i="13"/>
  <c r="AZ43" i="13"/>
  <c r="AZ22" i="13"/>
  <c r="AZ2" i="13"/>
  <c r="BM1" i="1"/>
  <c r="BI3" i="15"/>
  <c r="BJ3" i="19"/>
  <c r="BJ4" i="21" s="1"/>
  <c r="AX4" i="2"/>
  <c r="B21" i="15"/>
  <c r="C36" i="19"/>
  <c r="C31" i="19"/>
  <c r="C25" i="19"/>
  <c r="C20" i="19"/>
  <c r="C15" i="19"/>
  <c r="C8" i="19"/>
  <c r="AY60" i="13" l="1"/>
  <c r="AY43" i="13" l="1"/>
  <c r="AY22" i="13"/>
  <c r="BO27" i="1"/>
  <c r="BL35" i="1" l="1"/>
  <c r="BK31" i="1" l="1"/>
  <c r="BL33" i="1" l="1"/>
  <c r="BL31" i="1" l="1"/>
  <c r="AY2" i="13"/>
  <c r="BL1" i="1"/>
  <c r="BH3" i="15"/>
  <c r="AW4" i="2"/>
  <c r="BI3" i="19"/>
  <c r="BI4" i="21" s="1"/>
  <c r="BH15" i="15" l="1"/>
  <c r="BH10" i="15"/>
  <c r="AW77" i="2"/>
  <c r="AW18" i="2"/>
  <c r="AW53" i="2"/>
  <c r="AW33" i="2"/>
  <c r="AW65" i="2"/>
  <c r="AX58" i="13"/>
  <c r="AX6" i="13"/>
  <c r="AW35" i="2" l="1"/>
  <c r="AW79" i="2"/>
  <c r="AX60" i="13"/>
  <c r="AW80" i="2" l="1"/>
  <c r="AK38" i="17"/>
  <c r="BH5" i="19" l="1"/>
  <c r="BL5" i="1" l="1"/>
  <c r="BM5" i="1" l="1"/>
  <c r="BN5" i="1" s="1"/>
  <c r="BO5" i="1" s="1"/>
  <c r="BL6" i="1"/>
  <c r="BK14" i="1"/>
  <c r="BJ14" i="1"/>
  <c r="BM6" i="1" l="1"/>
  <c r="BM3" i="1"/>
  <c r="BN6" i="1"/>
  <c r="BO6" i="1" s="1"/>
  <c r="BG22" i="19"/>
  <c r="BG38" i="19" s="1"/>
  <c r="AK3" i="17"/>
  <c r="AX2" i="13"/>
  <c r="AX22" i="13" s="1"/>
  <c r="AX43" i="13" s="1"/>
  <c r="AX39" i="13"/>
  <c r="AX19" i="13"/>
  <c r="BK1" i="1"/>
  <c r="BK35" i="1"/>
  <c r="BK33" i="1"/>
  <c r="BK10" i="1"/>
  <c r="BG3" i="15"/>
  <c r="BH21" i="21"/>
  <c r="BH19" i="21"/>
  <c r="BH18" i="21"/>
  <c r="BH12" i="21"/>
  <c r="BH10" i="21"/>
  <c r="BH6" i="21"/>
  <c r="BH3" i="19"/>
  <c r="BH4" i="21" s="1"/>
  <c r="AU80" i="2"/>
  <c r="AV4" i="2"/>
  <c r="BK3" i="1" l="1"/>
  <c r="BH23" i="21"/>
  <c r="BH24" i="21"/>
  <c r="BH17" i="21"/>
  <c r="BH14" i="21"/>
  <c r="BF27" i="19"/>
  <c r="BF36" i="19"/>
  <c r="BG36" i="19" s="1"/>
  <c r="BH15" i="21" l="1"/>
  <c r="BF23" i="21"/>
  <c r="BF22" i="19"/>
  <c r="BF38" i="19" s="1"/>
  <c r="AW47" i="13" l="1"/>
  <c r="AW58" i="13"/>
  <c r="AW26" i="13"/>
  <c r="AW6" i="13"/>
  <c r="AW19" i="13" s="1"/>
  <c r="BF6" i="21"/>
  <c r="BF10" i="21"/>
  <c r="BF12" i="21"/>
  <c r="BF14" i="21"/>
  <c r="BF18" i="21"/>
  <c r="BF19" i="21"/>
  <c r="BF21" i="21"/>
  <c r="BJ3" i="1" l="1"/>
  <c r="BI3" i="1"/>
  <c r="BF17" i="21"/>
  <c r="BF15" i="21"/>
  <c r="AW60" i="13"/>
  <c r="AW39" i="13"/>
  <c r="BI33" i="1"/>
  <c r="BI31" i="1"/>
  <c r="BI35" i="1" l="1"/>
  <c r="BI10" i="1"/>
  <c r="BI14" i="1"/>
  <c r="AW2" i="13"/>
  <c r="AW22" i="13" s="1"/>
  <c r="AW43" i="13" s="1"/>
  <c r="BI1" i="1"/>
  <c r="BF3" i="15"/>
  <c r="BE3" i="15"/>
  <c r="BG4" i="21"/>
  <c r="BF4" i="21"/>
  <c r="BG3" i="19"/>
  <c r="BF3" i="19"/>
  <c r="AU4" i="2"/>
  <c r="AV47" i="13"/>
  <c r="AU58" i="13" l="1"/>
  <c r="AV58" i="13"/>
  <c r="AV26" i="13"/>
  <c r="AV39" i="13" s="1"/>
  <c r="AV6" i="13"/>
  <c r="AV19" i="13" s="1"/>
  <c r="AV60" i="13"/>
  <c r="BH35" i="1" l="1"/>
  <c r="BH33" i="1" l="1"/>
  <c r="BH31" i="1"/>
  <c r="BH14" i="1" l="1"/>
  <c r="AT75" i="2" l="1"/>
  <c r="AT77" i="2" s="1"/>
  <c r="AT65" i="2"/>
  <c r="AT53" i="2"/>
  <c r="AT33" i="2"/>
  <c r="AT18" i="2"/>
  <c r="AT35" i="2" l="1"/>
  <c r="AT79" i="2"/>
  <c r="AV2" i="13" l="1"/>
  <c r="AV22" i="13" s="1"/>
  <c r="AV43" i="13" s="1"/>
  <c r="BD3" i="15"/>
  <c r="BE6" i="21"/>
  <c r="BE10" i="21"/>
  <c r="BE12" i="21"/>
  <c r="BE14" i="21"/>
  <c r="BE18" i="21"/>
  <c r="BE19" i="21"/>
  <c r="BE21" i="21"/>
  <c r="BE23" i="21"/>
  <c r="BE24" i="21"/>
  <c r="BE4" i="21"/>
  <c r="BE3" i="19"/>
  <c r="AT4" i="2"/>
  <c r="BE15" i="21" l="1"/>
  <c r="BE17" i="21"/>
  <c r="BH10" i="1"/>
  <c r="BH1" i="1"/>
  <c r="AX6" i="21" l="1"/>
  <c r="AX10" i="21"/>
  <c r="AX12" i="21"/>
  <c r="AX14" i="21"/>
  <c r="AX18" i="21"/>
  <c r="AX19" i="21"/>
  <c r="AX21" i="21"/>
  <c r="AX23" i="21"/>
  <c r="AX24" i="21"/>
  <c r="AX15" i="21" l="1"/>
  <c r="AX17" i="21"/>
  <c r="BG33" i="1"/>
  <c r="BG31" i="1"/>
  <c r="BG35" i="1" l="1"/>
  <c r="BG14" i="1"/>
  <c r="AU47" i="13" l="1"/>
  <c r="AU60" i="13" s="1"/>
  <c r="AU26" i="13"/>
  <c r="AU6" i="13"/>
  <c r="BD6" i="21"/>
  <c r="BD10" i="21"/>
  <c r="BD12" i="21"/>
  <c r="BD14" i="21"/>
  <c r="BD18" i="21"/>
  <c r="BD19" i="21"/>
  <c r="BD21" i="21"/>
  <c r="BD23" i="21"/>
  <c r="BD24" i="21"/>
  <c r="AS75" i="2"/>
  <c r="AS77" i="2" s="1"/>
  <c r="AS65" i="2"/>
  <c r="AS53" i="2"/>
  <c r="AS33" i="2"/>
  <c r="AS18" i="2"/>
  <c r="BD15" i="21" l="1"/>
  <c r="BD17" i="21"/>
  <c r="AU39" i="13"/>
  <c r="AU19" i="13"/>
  <c r="AS79" i="2"/>
  <c r="AS35" i="2"/>
  <c r="AU2" i="13"/>
  <c r="AU22" i="13" s="1"/>
  <c r="AU43" i="13" s="1"/>
  <c r="BC3" i="15" l="1"/>
  <c r="BD4" i="21"/>
  <c r="BD3" i="19"/>
  <c r="AS4" i="2"/>
  <c r="BG1" i="1" l="1"/>
  <c r="AT58" i="13" l="1"/>
  <c r="AT47" i="13"/>
  <c r="AT60" i="13" s="1"/>
  <c r="AT26" i="13" l="1"/>
  <c r="AT39" i="13" s="1"/>
  <c r="AT6" i="13"/>
  <c r="AT19" i="13" s="1"/>
  <c r="AG3" i="17"/>
  <c r="AT2" i="13"/>
  <c r="AT22" i="13" s="1"/>
  <c r="AT43" i="13" s="1"/>
  <c r="BF14" i="1" l="1"/>
  <c r="BF10" i="1" l="1"/>
  <c r="BF35" i="1"/>
  <c r="BF33" i="1"/>
  <c r="BF31" i="1"/>
  <c r="B59" i="2"/>
  <c r="AC58" i="13" l="1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B58" i="13"/>
  <c r="A58" i="13" l="1"/>
  <c r="A37" i="13"/>
  <c r="A17" i="13"/>
  <c r="BF1" i="1" l="1"/>
  <c r="BB3" i="15"/>
  <c r="BC6" i="21"/>
  <c r="BC10" i="21"/>
  <c r="BC12" i="21"/>
  <c r="BC14" i="21"/>
  <c r="BC18" i="21"/>
  <c r="BC19" i="21"/>
  <c r="BC21" i="21"/>
  <c r="BC23" i="21"/>
  <c r="BC24" i="21"/>
  <c r="BC4" i="21"/>
  <c r="BC3" i="19"/>
  <c r="AR75" i="2"/>
  <c r="AR77" i="2" s="1"/>
  <c r="AR65" i="2"/>
  <c r="AR53" i="2"/>
  <c r="AR33" i="2"/>
  <c r="AR18" i="2"/>
  <c r="AR4" i="2"/>
  <c r="BC15" i="21" l="1"/>
  <c r="BC17" i="21"/>
  <c r="AR79" i="2"/>
  <c r="AR35" i="2"/>
  <c r="BC31" i="1"/>
  <c r="BC33" i="1"/>
  <c r="AS26" i="13" l="1"/>
  <c r="AS39" i="13" s="1"/>
  <c r="AS6" i="13"/>
  <c r="AS19" i="13" s="1"/>
  <c r="AS47" i="13"/>
  <c r="AS60" i="13" s="1"/>
  <c r="AS43" i="13" l="1"/>
  <c r="AS22" i="13"/>
  <c r="AS2" i="13"/>
  <c r="BE40" i="1" l="1"/>
  <c r="BE39" i="1"/>
  <c r="BE38" i="1"/>
  <c r="BE37" i="1"/>
  <c r="BE36" i="1"/>
  <c r="BD33" i="1" l="1"/>
  <c r="BE33" i="1"/>
  <c r="BD31" i="1"/>
  <c r="BE31" i="1"/>
  <c r="BD35" i="1"/>
  <c r="BE35" i="1"/>
  <c r="B27" i="1"/>
  <c r="BD14" i="1" l="1"/>
  <c r="BE14" i="1"/>
  <c r="BA3" i="15"/>
  <c r="AZ3" i="15"/>
  <c r="BA6" i="21"/>
  <c r="BB6" i="21"/>
  <c r="BA10" i="21"/>
  <c r="BB10" i="21"/>
  <c r="BA12" i="21"/>
  <c r="BB12" i="21"/>
  <c r="BA14" i="21"/>
  <c r="BB14" i="21"/>
  <c r="BA18" i="21"/>
  <c r="BB18" i="21"/>
  <c r="BA19" i="21"/>
  <c r="BB19" i="21"/>
  <c r="BA21" i="21"/>
  <c r="BB21" i="21"/>
  <c r="BA23" i="21"/>
  <c r="BB23" i="21"/>
  <c r="BA24" i="21"/>
  <c r="BB24" i="21"/>
  <c r="BB4" i="21"/>
  <c r="BA4" i="21"/>
  <c r="BB3" i="19"/>
  <c r="BA3" i="19"/>
  <c r="AQ75" i="2"/>
  <c r="BB15" i="21" l="1"/>
  <c r="BA15" i="21"/>
  <c r="BB17" i="21"/>
  <c r="BA17" i="21"/>
  <c r="AQ77" i="2"/>
  <c r="AQ65" i="2"/>
  <c r="AQ53" i="2"/>
  <c r="AQ33" i="2"/>
  <c r="AQ18" i="2"/>
  <c r="AQ4" i="2"/>
  <c r="AQ79" i="2" l="1"/>
  <c r="AQ35" i="2"/>
  <c r="BD1" i="1" l="1"/>
  <c r="AR47" i="13" l="1"/>
  <c r="AR60" i="13" s="1"/>
  <c r="AR26" i="13" l="1"/>
  <c r="AR39" i="13" s="1"/>
  <c r="AR6" i="13"/>
  <c r="AR19" i="13" s="1"/>
  <c r="AP75" i="2"/>
  <c r="AP77" i="2" s="1"/>
  <c r="AP65" i="2"/>
  <c r="B64" i="2"/>
  <c r="AP53" i="2"/>
  <c r="B57" i="2"/>
  <c r="B42" i="2"/>
  <c r="AP33" i="2"/>
  <c r="AP18" i="2"/>
  <c r="AP35" i="2" l="1"/>
  <c r="AP79" i="2"/>
  <c r="BC35" i="1" l="1"/>
  <c r="BC14" i="1"/>
  <c r="BC10" i="1" l="1"/>
  <c r="AZ6" i="21" l="1"/>
  <c r="AZ10" i="21"/>
  <c r="AZ12" i="21"/>
  <c r="AZ14" i="21"/>
  <c r="AZ18" i="21"/>
  <c r="AZ19" i="21"/>
  <c r="AZ21" i="21"/>
  <c r="AZ23" i="21"/>
  <c r="AZ24" i="21"/>
  <c r="AR43" i="13"/>
  <c r="AR22" i="13"/>
  <c r="AR2" i="13"/>
  <c r="BC1" i="1"/>
  <c r="AY3" i="15"/>
  <c r="AZ4" i="21"/>
  <c r="AZ3" i="19"/>
  <c r="AP4" i="2"/>
  <c r="AZ17" i="21" l="1"/>
  <c r="AZ15" i="21"/>
  <c r="AQ47" i="13" l="1"/>
  <c r="AQ26" i="13" l="1"/>
  <c r="AQ6" i="13"/>
  <c r="A15" i="13"/>
  <c r="A14" i="13"/>
  <c r="A13" i="13"/>
  <c r="BB33" i="1"/>
  <c r="BB31" i="1"/>
  <c r="BB14" i="1" l="1"/>
  <c r="AY6" i="21" l="1"/>
  <c r="AY10" i="21"/>
  <c r="AY12" i="21"/>
  <c r="AY14" i="21"/>
  <c r="AY18" i="21"/>
  <c r="AY19" i="21"/>
  <c r="AY21" i="21"/>
  <c r="AY23" i="21"/>
  <c r="AY24" i="21"/>
  <c r="AY17" i="21" l="1"/>
  <c r="AY15" i="21"/>
  <c r="BB35" i="1"/>
  <c r="BB10" i="1" l="1"/>
  <c r="AD3" i="17" l="1"/>
  <c r="AQ60" i="13" l="1"/>
  <c r="AQ39" i="13"/>
  <c r="AQ19" i="13"/>
  <c r="AQ43" i="13"/>
  <c r="AQ22" i="13"/>
  <c r="AQ2" i="13"/>
  <c r="AX3" i="15"/>
  <c r="AY4" i="21"/>
  <c r="AY3" i="19"/>
  <c r="AO75" i="2"/>
  <c r="AO77" i="2" s="1"/>
  <c r="AO65" i="2"/>
  <c r="AO53" i="2"/>
  <c r="AO33" i="2"/>
  <c r="AO18" i="2"/>
  <c r="AO4" i="2"/>
  <c r="AO79" i="2" l="1"/>
  <c r="AO35" i="2"/>
  <c r="AE18" i="21"/>
  <c r="BB1" i="1" l="1"/>
  <c r="AP47" i="13" l="1"/>
  <c r="AP60" i="13" s="1"/>
  <c r="AP26" i="13"/>
  <c r="AP39" i="13" s="1"/>
  <c r="AP6" i="13"/>
  <c r="AP19" i="13" s="1"/>
  <c r="AN33" i="2" l="1"/>
  <c r="AN75" i="2" l="1"/>
  <c r="AN77" i="2" s="1"/>
  <c r="AN65" i="2"/>
  <c r="AN53" i="2"/>
  <c r="B32" i="2"/>
  <c r="AN79" i="2" l="1"/>
  <c r="AN18" i="2"/>
  <c r="AN35" i="2" l="1"/>
  <c r="BA10" i="1" l="1"/>
  <c r="BA33" i="1" l="1"/>
  <c r="BA31" i="1"/>
  <c r="BA14" i="1" l="1"/>
  <c r="BA35" i="1" l="1"/>
  <c r="AC3" i="17"/>
  <c r="AP43" i="13"/>
  <c r="AP22" i="13"/>
  <c r="AP2" i="13"/>
  <c r="BA1" i="1"/>
  <c r="AW3" i="15"/>
  <c r="AX4" i="21"/>
  <c r="AX3" i="19"/>
  <c r="AN4" i="2"/>
  <c r="Y44" i="19" l="1"/>
  <c r="Z44" i="19"/>
  <c r="AA44" i="19"/>
  <c r="AB44" i="19"/>
  <c r="AZ35" i="1" l="1"/>
  <c r="AY35" i="1"/>
  <c r="AB3" i="17" l="1"/>
  <c r="AZ33" i="1" l="1"/>
  <c r="AZ31" i="1"/>
  <c r="AZ10" i="1"/>
  <c r="AY14" i="1" l="1"/>
  <c r="AZ14" i="1" l="1"/>
  <c r="AZ1" i="1" l="1"/>
  <c r="AO47" i="13" l="1"/>
  <c r="AO60" i="13" s="1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AH19" i="13"/>
  <c r="AI19" i="13"/>
  <c r="AJ19" i="13"/>
  <c r="AK19" i="13"/>
  <c r="AV3" i="15"/>
  <c r="AV6" i="21"/>
  <c r="AW6" i="21"/>
  <c r="AV10" i="21"/>
  <c r="AW10" i="21"/>
  <c r="AV12" i="21"/>
  <c r="AW12" i="21"/>
  <c r="AV14" i="21"/>
  <c r="AW14" i="21"/>
  <c r="AV18" i="21"/>
  <c r="AW18" i="21"/>
  <c r="AV19" i="21"/>
  <c r="AW19" i="21"/>
  <c r="AV21" i="21"/>
  <c r="AW21" i="21"/>
  <c r="AV23" i="21"/>
  <c r="AW23" i="21"/>
  <c r="AV24" i="21"/>
  <c r="AW24" i="21"/>
  <c r="AW4" i="21"/>
  <c r="AW3" i="19"/>
  <c r="AV3" i="19"/>
  <c r="AM75" i="2"/>
  <c r="AM77" i="2" s="1"/>
  <c r="AM65" i="2"/>
  <c r="AM53" i="2"/>
  <c r="AM33" i="2"/>
  <c r="AM18" i="2"/>
  <c r="AV15" i="21" l="1"/>
  <c r="AW15" i="21"/>
  <c r="AM35" i="2"/>
  <c r="AV17" i="21"/>
  <c r="AW17" i="21"/>
  <c r="AO26" i="13"/>
  <c r="AO39" i="13" s="1"/>
  <c r="AO6" i="13"/>
  <c r="AO19" i="13" s="1"/>
  <c r="AM79" i="2"/>
  <c r="AA3" i="17"/>
  <c r="AO43" i="13"/>
  <c r="AO22" i="13"/>
  <c r="AO2" i="13"/>
  <c r="AU3" i="15"/>
  <c r="AV4" i="21"/>
  <c r="AM4" i="2"/>
  <c r="AY1" i="1" l="1"/>
  <c r="AN43" i="13" l="1"/>
  <c r="AN22" i="13"/>
  <c r="AU6" i="21" l="1"/>
  <c r="AU10" i="21"/>
  <c r="AU12" i="21"/>
  <c r="AU14" i="21"/>
  <c r="AU18" i="21"/>
  <c r="AU19" i="21"/>
  <c r="AU21" i="21"/>
  <c r="AU23" i="21"/>
  <c r="AU24" i="21"/>
  <c r="AU15" i="21" l="1"/>
  <c r="AU17" i="21"/>
  <c r="Z3" i="17"/>
  <c r="Y3" i="17"/>
  <c r="X3" i="17"/>
  <c r="AN47" i="13" l="1"/>
  <c r="AN60" i="13" s="1"/>
  <c r="AN26" i="13"/>
  <c r="AN39" i="13" s="1"/>
  <c r="AN6" i="13"/>
  <c r="AN19" i="13" s="1"/>
  <c r="AN2" i="13"/>
  <c r="AM2" i="13"/>
  <c r="AL2" i="13"/>
  <c r="AK2" i="13"/>
  <c r="AJ2" i="13"/>
  <c r="AI2" i="13"/>
  <c r="AH2" i="13"/>
  <c r="AX14" i="1" l="1"/>
  <c r="AX35" i="1" l="1"/>
  <c r="AX33" i="1"/>
  <c r="AX31" i="1"/>
  <c r="AX10" i="1"/>
  <c r="AX1" i="1" l="1"/>
  <c r="AW1" i="1"/>
  <c r="AV1" i="1"/>
  <c r="AT3" i="15"/>
  <c r="AS3" i="15"/>
  <c r="AR3" i="15"/>
  <c r="AU4" i="21"/>
  <c r="AT4" i="21"/>
  <c r="AS4" i="21"/>
  <c r="AU3" i="19"/>
  <c r="AT3" i="19"/>
  <c r="AS3" i="19"/>
  <c r="AL75" i="2"/>
  <c r="AL77" i="2" s="1"/>
  <c r="AL65" i="2"/>
  <c r="AL53" i="2"/>
  <c r="AL33" i="2"/>
  <c r="AL18" i="2"/>
  <c r="AL4" i="2"/>
  <c r="AK4" i="2"/>
  <c r="AJ4" i="2"/>
  <c r="AL35" i="2" l="1"/>
  <c r="AL79" i="2"/>
  <c r="AK53" i="2" l="1"/>
  <c r="AK75" i="2" l="1"/>
  <c r="AK77" i="2" s="1"/>
  <c r="AK65" i="2"/>
  <c r="AK33" i="2"/>
  <c r="AK18" i="2"/>
  <c r="AK35" i="2" l="1"/>
  <c r="AK79" i="2"/>
  <c r="AW14" i="1"/>
  <c r="AM47" i="13" l="1"/>
  <c r="AM60" i="13" s="1"/>
  <c r="AM26" i="13"/>
  <c r="AM39" i="13" s="1"/>
  <c r="AM6" i="13"/>
  <c r="AM19" i="13" s="1"/>
  <c r="AT6" i="21"/>
  <c r="AT10" i="21"/>
  <c r="AT12" i="21"/>
  <c r="AT14" i="21"/>
  <c r="AT18" i="21"/>
  <c r="AT19" i="21"/>
  <c r="AT21" i="21"/>
  <c r="AT23" i="21"/>
  <c r="AT24" i="21"/>
  <c r="B70" i="2"/>
  <c r="AW35" i="1"/>
  <c r="AW31" i="1"/>
  <c r="AW33" i="1"/>
  <c r="AT15" i="21" l="1"/>
  <c r="AT17" i="21"/>
  <c r="AW10" i="1"/>
  <c r="AV35" i="1"/>
  <c r="AS6" i="21" l="1"/>
  <c r="AS10" i="21"/>
  <c r="AS12" i="21"/>
  <c r="AS14" i="21"/>
  <c r="AS18" i="21"/>
  <c r="AS19" i="21"/>
  <c r="AJ18" i="2"/>
  <c r="AJ33" i="2"/>
  <c r="AJ53" i="2"/>
  <c r="AJ65" i="2"/>
  <c r="AJ75" i="2"/>
  <c r="AJ77" i="2" s="1"/>
  <c r="AS17" i="21" l="1"/>
  <c r="AJ35" i="2"/>
  <c r="AS15" i="21"/>
  <c r="AJ79" i="2"/>
  <c r="AV33" i="1"/>
  <c r="AV31" i="1"/>
  <c r="AV10" i="1"/>
  <c r="AV14" i="1"/>
  <c r="AL47" i="13" l="1"/>
  <c r="AL6" i="13"/>
  <c r="AL19" i="13" s="1"/>
  <c r="AL26" i="13"/>
  <c r="AL39" i="13" s="1"/>
  <c r="AL60" i="13" l="1"/>
  <c r="C6" i="17"/>
  <c r="C5" i="17"/>
  <c r="AR24" i="21" l="1"/>
  <c r="AQ24" i="21"/>
  <c r="C23" i="21"/>
  <c r="AK47" i="13" l="1"/>
  <c r="AK60" i="13" s="1"/>
  <c r="AU35" i="1" l="1"/>
  <c r="AU33" i="1"/>
  <c r="AU31" i="1"/>
  <c r="AU14" i="1"/>
  <c r="AU10" i="1"/>
  <c r="AQ3" i="15"/>
  <c r="AR4" i="21"/>
  <c r="AR6" i="21"/>
  <c r="AR10" i="21"/>
  <c r="AR23" i="21"/>
  <c r="AR3" i="19"/>
  <c r="AO35" i="1" l="1"/>
  <c r="V3" i="17" l="1"/>
  <c r="AT1" i="1"/>
  <c r="AT35" i="1"/>
  <c r="AT14" i="1"/>
  <c r="AT10" i="1"/>
  <c r="AP3" i="15"/>
  <c r="AQ4" i="21"/>
  <c r="AQ23" i="21"/>
  <c r="AQ10" i="21"/>
  <c r="AQ6" i="21"/>
  <c r="AQ3" i="19"/>
  <c r="AI75" i="2"/>
  <c r="AI77" i="2" s="1"/>
  <c r="AI65" i="2"/>
  <c r="AI53" i="2"/>
  <c r="AI33" i="2"/>
  <c r="AI18" i="2"/>
  <c r="AI4" i="2"/>
  <c r="AI79" i="2" l="1"/>
  <c r="AI35" i="2"/>
  <c r="C44" i="19"/>
  <c r="AJ26" i="13" l="1"/>
  <c r="C32" i="17"/>
  <c r="U3" i="17"/>
  <c r="AJ47" i="13" l="1"/>
  <c r="AJ60" i="13" s="1"/>
  <c r="AS35" i="1"/>
  <c r="AS33" i="1"/>
  <c r="AS31" i="1"/>
  <c r="AS14" i="1" l="1"/>
  <c r="AS10" i="1"/>
  <c r="AS1" i="1" l="1"/>
  <c r="AO3" i="15"/>
  <c r="AP18" i="21"/>
  <c r="AP19" i="21"/>
  <c r="AP21" i="21"/>
  <c r="AP23" i="21"/>
  <c r="AP14" i="21"/>
  <c r="AP12" i="21"/>
  <c r="AP10" i="21"/>
  <c r="AP6" i="21"/>
  <c r="AP4" i="21"/>
  <c r="AP3" i="19"/>
  <c r="AH75" i="2"/>
  <c r="AH77" i="2" s="1"/>
  <c r="AH65" i="2"/>
  <c r="AH53" i="2"/>
  <c r="AH33" i="2"/>
  <c r="AH18" i="2"/>
  <c r="AH4" i="2"/>
  <c r="AP15" i="21" l="1"/>
  <c r="AP17" i="21"/>
  <c r="AH35" i="2"/>
  <c r="AH79" i="2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J33" i="1"/>
  <c r="AK33" i="1"/>
  <c r="AL33" i="1"/>
  <c r="AM33" i="1"/>
  <c r="AN33" i="1"/>
  <c r="AO33" i="1"/>
  <c r="AP33" i="1"/>
  <c r="AQ33" i="1"/>
  <c r="AR33" i="1"/>
  <c r="AI33" i="1"/>
  <c r="B33" i="1"/>
  <c r="B31" i="1"/>
  <c r="C15" i="21"/>
  <c r="B20" i="2" l="1"/>
  <c r="C13" i="19" l="1"/>
  <c r="D5" i="19" l="1"/>
  <c r="AQ35" i="1" l="1"/>
  <c r="AN3" i="15" l="1"/>
  <c r="AN19" i="15"/>
  <c r="A40" i="13" l="1"/>
  <c r="I22" i="13"/>
  <c r="I43" i="13"/>
  <c r="I2" i="13"/>
  <c r="AG2" i="13"/>
  <c r="AG43" i="13" s="1"/>
  <c r="AC2" i="13"/>
  <c r="AC43" i="13" s="1"/>
  <c r="Y2" i="13"/>
  <c r="Y43" i="13" s="1"/>
  <c r="U2" i="13"/>
  <c r="U43" i="13" s="1"/>
  <c r="Q2" i="13"/>
  <c r="Q43" i="13" s="1"/>
  <c r="M2" i="13"/>
  <c r="M43" i="13" s="1"/>
  <c r="E2" i="13"/>
  <c r="E22" i="13" s="1"/>
  <c r="AF2" i="13"/>
  <c r="AF43" i="13" s="1"/>
  <c r="AB2" i="13"/>
  <c r="AB43" i="13" s="1"/>
  <c r="X2" i="13"/>
  <c r="X43" i="13" s="1"/>
  <c r="T2" i="13"/>
  <c r="T43" i="13" s="1"/>
  <c r="P2" i="13"/>
  <c r="P43" i="13" s="1"/>
  <c r="L2" i="13"/>
  <c r="L43" i="13" s="1"/>
  <c r="H2" i="13"/>
  <c r="H43" i="13" s="1"/>
  <c r="D2" i="13"/>
  <c r="D43" i="13" s="1"/>
  <c r="AI43" i="13"/>
  <c r="AE2" i="13"/>
  <c r="AE43" i="13" s="1"/>
  <c r="AA2" i="13"/>
  <c r="AA22" i="13" s="1"/>
  <c r="W2" i="13"/>
  <c r="W43" i="13" s="1"/>
  <c r="S2" i="13"/>
  <c r="S43" i="13" s="1"/>
  <c r="O2" i="13"/>
  <c r="O22" i="13" s="1"/>
  <c r="K2" i="13"/>
  <c r="K43" i="13" s="1"/>
  <c r="G2" i="13"/>
  <c r="G43" i="13" s="1"/>
  <c r="C2" i="13"/>
  <c r="C43" i="13" s="1"/>
  <c r="AH22" i="13"/>
  <c r="AD2" i="13"/>
  <c r="AD22" i="13" s="1"/>
  <c r="Z2" i="13"/>
  <c r="Z22" i="13" s="1"/>
  <c r="V2" i="13"/>
  <c r="V22" i="13" s="1"/>
  <c r="R2" i="13"/>
  <c r="R22" i="13" s="1"/>
  <c r="N2" i="13"/>
  <c r="N22" i="13" s="1"/>
  <c r="J2" i="13"/>
  <c r="J22" i="13" s="1"/>
  <c r="F2" i="13"/>
  <c r="F43" i="13" s="1"/>
  <c r="B2" i="13"/>
  <c r="B43" i="13" s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K41" i="1"/>
  <c r="R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I26" i="13"/>
  <c r="AH26" i="13"/>
  <c r="AG26" i="13"/>
  <c r="AF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G22" i="13" l="1"/>
  <c r="L22" i="13"/>
  <c r="E43" i="13"/>
  <c r="R43" i="13"/>
  <c r="Q22" i="13"/>
  <c r="AA43" i="13"/>
  <c r="B22" i="13"/>
  <c r="AB22" i="13"/>
  <c r="N43" i="13"/>
  <c r="K22" i="13"/>
  <c r="AE22" i="13"/>
  <c r="O43" i="13"/>
  <c r="AH43" i="13"/>
  <c r="W22" i="13"/>
  <c r="J43" i="13"/>
  <c r="X22" i="13"/>
  <c r="AD43" i="13"/>
  <c r="Z43" i="13"/>
  <c r="F22" i="13"/>
  <c r="S22" i="13"/>
  <c r="AI22" i="13"/>
  <c r="V43" i="13"/>
  <c r="C22" i="13"/>
  <c r="G22" i="13"/>
  <c r="P22" i="13"/>
  <c r="T22" i="13"/>
  <c r="AF22" i="13"/>
  <c r="D22" i="13"/>
  <c r="H22" i="13"/>
  <c r="M22" i="13"/>
  <c r="U22" i="13"/>
  <c r="Y22" i="13"/>
  <c r="AC22" i="13"/>
  <c r="C48" i="19"/>
  <c r="C46" i="19" l="1"/>
  <c r="C42" i="19"/>
  <c r="C41" i="19"/>
  <c r="C40" i="19"/>
  <c r="C34" i="19"/>
  <c r="C29" i="19"/>
  <c r="C28" i="19"/>
  <c r="C18" i="19"/>
  <c r="C10" i="19"/>
  <c r="C6" i="19"/>
  <c r="B25" i="2"/>
  <c r="B23" i="2"/>
  <c r="B16" i="2"/>
  <c r="I25" i="19"/>
  <c r="I23" i="19"/>
  <c r="AI47" i="13"/>
  <c r="T3" i="17"/>
  <c r="AR1" i="1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AO4" i="21"/>
  <c r="AN4" i="21"/>
  <c r="AM4" i="21"/>
  <c r="AL4" i="21"/>
  <c r="AK4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AO3" i="19"/>
  <c r="AN3" i="19"/>
  <c r="AG4" i="2"/>
  <c r="AF4" i="2"/>
  <c r="E5" i="19" l="1"/>
  <c r="F5" i="19"/>
  <c r="G5" i="19"/>
  <c r="H5" i="19"/>
  <c r="I5" i="19"/>
  <c r="AI60" i="13" l="1"/>
  <c r="AR35" i="1"/>
  <c r="AR14" i="1" l="1"/>
  <c r="AR10" i="1" l="1"/>
  <c r="AO6" i="21" l="1"/>
  <c r="AO10" i="21"/>
  <c r="AO12" i="21"/>
  <c r="AO14" i="21"/>
  <c r="AO18" i="21"/>
  <c r="AO19" i="21"/>
  <c r="AO21" i="21"/>
  <c r="AO23" i="21"/>
  <c r="AO15" i="21" l="1"/>
  <c r="AO17" i="21"/>
  <c r="AG65" i="2"/>
  <c r="AG75" i="2"/>
  <c r="AG77" i="2" s="1"/>
  <c r="AG53" i="2"/>
  <c r="AG33" i="2"/>
  <c r="AG18" i="2"/>
  <c r="B19" i="15"/>
  <c r="AL19" i="15"/>
  <c r="AL21" i="15" s="1"/>
  <c r="AG19" i="15"/>
  <c r="AB19" i="15"/>
  <c r="W19" i="15"/>
  <c r="H19" i="15"/>
  <c r="AG17" i="15"/>
  <c r="AB17" i="15"/>
  <c r="W17" i="15"/>
  <c r="R17" i="15"/>
  <c r="M17" i="15"/>
  <c r="H17" i="15"/>
  <c r="AJ15" i="15"/>
  <c r="AI15" i="15"/>
  <c r="AH15" i="15"/>
  <c r="AF15" i="15"/>
  <c r="AE15" i="15"/>
  <c r="AD15" i="15"/>
  <c r="AC15" i="15"/>
  <c r="AA15" i="15"/>
  <c r="Z15" i="15"/>
  <c r="Y15" i="15"/>
  <c r="X15" i="15"/>
  <c r="U15" i="15"/>
  <c r="AL14" i="15"/>
  <c r="AG14" i="15"/>
  <c r="AB14" i="15"/>
  <c r="V15" i="15"/>
  <c r="N15" i="15"/>
  <c r="M14" i="15"/>
  <c r="F15" i="15"/>
  <c r="E15" i="15"/>
  <c r="AL13" i="15"/>
  <c r="AG13" i="15"/>
  <c r="AG15" i="15" s="1"/>
  <c r="AB13" i="15"/>
  <c r="T15" i="15"/>
  <c r="S15" i="15"/>
  <c r="Q15" i="15"/>
  <c r="P15" i="15"/>
  <c r="O15" i="15"/>
  <c r="R13" i="15"/>
  <c r="L15" i="15"/>
  <c r="K15" i="15"/>
  <c r="J15" i="15"/>
  <c r="I15" i="15"/>
  <c r="G15" i="15"/>
  <c r="D15" i="15"/>
  <c r="C15" i="15"/>
  <c r="AJ10" i="15"/>
  <c r="AJ21" i="15" s="1"/>
  <c r="AI10" i="15"/>
  <c r="AI21" i="15" s="1"/>
  <c r="AH10" i="15"/>
  <c r="AH21" i="15" s="1"/>
  <c r="AF10" i="15"/>
  <c r="AE10" i="15"/>
  <c r="AD10" i="15"/>
  <c r="AD21" i="15" s="1"/>
  <c r="AC10" i="15"/>
  <c r="AA10" i="15"/>
  <c r="AA21" i="15" s="1"/>
  <c r="Z10" i="15"/>
  <c r="Z21" i="15" s="1"/>
  <c r="Y10" i="15"/>
  <c r="Y21" i="15" s="1"/>
  <c r="X10" i="15"/>
  <c r="X21" i="15" s="1"/>
  <c r="P10" i="15"/>
  <c r="P21" i="15" s="1"/>
  <c r="AL9" i="15"/>
  <c r="AG9" i="15"/>
  <c r="AB9" i="15"/>
  <c r="W9" i="15"/>
  <c r="R9" i="15"/>
  <c r="H9" i="15"/>
  <c r="AL8" i="15"/>
  <c r="AG8" i="15"/>
  <c r="AB8" i="15"/>
  <c r="W8" i="15"/>
  <c r="H8" i="15"/>
  <c r="AL7" i="15"/>
  <c r="AG7" i="15"/>
  <c r="AB7" i="15"/>
  <c r="S10" i="15"/>
  <c r="S21" i="15" s="1"/>
  <c r="R7" i="15"/>
  <c r="H7" i="15"/>
  <c r="AL6" i="15"/>
  <c r="AG6" i="15"/>
  <c r="AB6" i="15"/>
  <c r="V10" i="15"/>
  <c r="V21" i="15" s="1"/>
  <c r="U10" i="15"/>
  <c r="T10" i="15"/>
  <c r="T21" i="15" s="1"/>
  <c r="W6" i="15"/>
  <c r="Q10" i="15"/>
  <c r="Q21" i="15" s="1"/>
  <c r="O10" i="15"/>
  <c r="N10" i="15"/>
  <c r="N21" i="15" s="1"/>
  <c r="L10" i="15"/>
  <c r="L21" i="15" s="1"/>
  <c r="K10" i="15"/>
  <c r="K21" i="15" s="1"/>
  <c r="J10" i="15"/>
  <c r="J21" i="15" s="1"/>
  <c r="I10" i="15"/>
  <c r="I21" i="15" s="1"/>
  <c r="G10" i="15"/>
  <c r="G21" i="15" s="1"/>
  <c r="F10" i="15"/>
  <c r="F21" i="15" s="1"/>
  <c r="E10" i="15"/>
  <c r="D10" i="15"/>
  <c r="D21" i="15" s="1"/>
  <c r="C10" i="15"/>
  <c r="C21" i="15" s="1"/>
  <c r="E6" i="21"/>
  <c r="F6" i="21"/>
  <c r="G6" i="21"/>
  <c r="H6" i="21"/>
  <c r="I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AI6" i="21"/>
  <c r="AJ6" i="21"/>
  <c r="AK6" i="21"/>
  <c r="AL6" i="21"/>
  <c r="AM6" i="21"/>
  <c r="AN6" i="21"/>
  <c r="E10" i="21"/>
  <c r="F10" i="21"/>
  <c r="G10" i="21"/>
  <c r="H10" i="21"/>
  <c r="J10" i="21"/>
  <c r="N10" i="21"/>
  <c r="O10" i="21"/>
  <c r="S10" i="21"/>
  <c r="T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E12" i="21"/>
  <c r="F12" i="21"/>
  <c r="G12" i="21"/>
  <c r="H12" i="21"/>
  <c r="J12" i="21"/>
  <c r="K12" i="21"/>
  <c r="L12" i="21"/>
  <c r="M12" i="21"/>
  <c r="N12" i="21"/>
  <c r="O12" i="21"/>
  <c r="S12" i="21"/>
  <c r="T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E18" i="21"/>
  <c r="F18" i="21"/>
  <c r="G18" i="21"/>
  <c r="H18" i="21"/>
  <c r="J18" i="21"/>
  <c r="K18" i="21"/>
  <c r="L18" i="21"/>
  <c r="M18" i="21"/>
  <c r="N18" i="21"/>
  <c r="O18" i="21"/>
  <c r="S18" i="21"/>
  <c r="T18" i="21"/>
  <c r="W18" i="21"/>
  <c r="X18" i="21"/>
  <c r="Y18" i="21"/>
  <c r="Z18" i="21"/>
  <c r="AA18" i="21"/>
  <c r="AB18" i="21"/>
  <c r="AC18" i="21"/>
  <c r="AD18" i="21"/>
  <c r="AF18" i="21"/>
  <c r="AG18" i="21"/>
  <c r="AH18" i="21"/>
  <c r="AI18" i="21"/>
  <c r="AJ18" i="21"/>
  <c r="AK18" i="21"/>
  <c r="AL18" i="21"/>
  <c r="AM18" i="21"/>
  <c r="AN18" i="21"/>
  <c r="E19" i="21"/>
  <c r="F19" i="21"/>
  <c r="G19" i="21"/>
  <c r="H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E21" i="21"/>
  <c r="F21" i="21"/>
  <c r="G21" i="21"/>
  <c r="H21" i="21"/>
  <c r="J21" i="21"/>
  <c r="K21" i="21"/>
  <c r="L21" i="21"/>
  <c r="M21" i="21"/>
  <c r="N21" i="21"/>
  <c r="O21" i="21"/>
  <c r="P21" i="21"/>
  <c r="S21" i="21"/>
  <c r="T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Y23" i="21"/>
  <c r="Z23" i="21"/>
  <c r="AA23" i="21"/>
  <c r="AB23" i="21"/>
  <c r="AC23" i="21"/>
  <c r="AD23" i="21"/>
  <c r="AE23" i="21"/>
  <c r="AF23" i="21"/>
  <c r="AG23" i="21"/>
  <c r="AH23" i="21"/>
  <c r="AI23" i="21"/>
  <c r="AJ23" i="21"/>
  <c r="AK23" i="21"/>
  <c r="AL23" i="21"/>
  <c r="AM23" i="21"/>
  <c r="AN23" i="21"/>
  <c r="D19" i="21"/>
  <c r="D6" i="21"/>
  <c r="AC21" i="15" l="1"/>
  <c r="E21" i="15"/>
  <c r="O21" i="15"/>
  <c r="U21" i="15"/>
  <c r="AE21" i="15"/>
  <c r="AF21" i="15"/>
  <c r="AB15" i="15"/>
  <c r="AN15" i="21"/>
  <c r="AJ15" i="21"/>
  <c r="AF15" i="21"/>
  <c r="AB15" i="21"/>
  <c r="AL15" i="21"/>
  <c r="AH15" i="21"/>
  <c r="AD15" i="21"/>
  <c r="Z15" i="21"/>
  <c r="J17" i="21"/>
  <c r="AM15" i="21"/>
  <c r="AI15" i="21"/>
  <c r="AE15" i="21"/>
  <c r="AA15" i="21"/>
  <c r="AK15" i="21"/>
  <c r="AG15" i="21"/>
  <c r="AC15" i="21"/>
  <c r="Y15" i="21"/>
  <c r="G17" i="21"/>
  <c r="H17" i="21"/>
  <c r="AL17" i="21"/>
  <c r="AJ17" i="21"/>
  <c r="AD17" i="21"/>
  <c r="AA17" i="21"/>
  <c r="X17" i="21"/>
  <c r="AK17" i="21"/>
  <c r="Z17" i="21"/>
  <c r="AN17" i="21"/>
  <c r="AH17" i="21"/>
  <c r="AB17" i="21"/>
  <c r="T17" i="21"/>
  <c r="M17" i="21"/>
  <c r="K17" i="21"/>
  <c r="AM17" i="21"/>
  <c r="AG17" i="21"/>
  <c r="AE17" i="21"/>
  <c r="Y17" i="21"/>
  <c r="F17" i="21"/>
  <c r="S17" i="21"/>
  <c r="N17" i="21"/>
  <c r="E17" i="21"/>
  <c r="AI17" i="21"/>
  <c r="AF17" i="21"/>
  <c r="AC17" i="21"/>
  <c r="W17" i="21"/>
  <c r="O17" i="21"/>
  <c r="L17" i="21"/>
  <c r="AG79" i="2"/>
  <c r="AG35" i="2"/>
  <c r="AG10" i="15"/>
  <c r="AG21" i="15" s="1"/>
  <c r="AB10" i="15"/>
  <c r="R14" i="15"/>
  <c r="R15" i="15" s="1"/>
  <c r="M7" i="15"/>
  <c r="W7" i="15"/>
  <c r="W10" i="15" s="1"/>
  <c r="M9" i="15"/>
  <c r="M13" i="15"/>
  <c r="M15" i="15" s="1"/>
  <c r="W14" i="15"/>
  <c r="H6" i="15"/>
  <c r="H10" i="15" s="1"/>
  <c r="M19" i="15"/>
  <c r="R19" i="15"/>
  <c r="M8" i="15"/>
  <c r="R8" i="15"/>
  <c r="H14" i="15"/>
  <c r="M6" i="15"/>
  <c r="W13" i="15"/>
  <c r="R6" i="15"/>
  <c r="H13" i="15"/>
  <c r="AB21" i="15" l="1"/>
  <c r="R10" i="15"/>
  <c r="R21" i="15" s="1"/>
  <c r="H15" i="15"/>
  <c r="H21" i="15" s="1"/>
  <c r="W15" i="15"/>
  <c r="W21" i="15" s="1"/>
  <c r="M10" i="15"/>
  <c r="M21" i="15" s="1"/>
  <c r="X5" i="19" l="1"/>
  <c r="H25" i="19" l="1"/>
  <c r="H23" i="19"/>
  <c r="H14" i="21" s="1"/>
  <c r="H15" i="21" s="1"/>
  <c r="W12" i="21" l="1"/>
  <c r="G25" i="19" l="1"/>
  <c r="G23" i="19"/>
  <c r="F25" i="19"/>
  <c r="E25" i="19"/>
  <c r="F23" i="19"/>
  <c r="F14" i="21" s="1"/>
  <c r="F15" i="21" s="1"/>
  <c r="E23" i="19"/>
  <c r="G14" i="21" l="1"/>
  <c r="G15" i="21" s="1"/>
  <c r="E14" i="21"/>
  <c r="E15" i="21" s="1"/>
  <c r="D10" i="21"/>
  <c r="O6" i="21"/>
  <c r="G33" i="19"/>
  <c r="F33" i="19"/>
  <c r="H27" i="19"/>
  <c r="G27" i="19"/>
  <c r="F27" i="19"/>
  <c r="H33" i="19"/>
  <c r="I14" i="21" l="1"/>
  <c r="O5" i="19"/>
  <c r="F17" i="19"/>
  <c r="E33" i="19"/>
  <c r="G17" i="19"/>
  <c r="E27" i="19"/>
  <c r="I18" i="21"/>
  <c r="I19" i="21"/>
  <c r="D21" i="21"/>
  <c r="E23" i="21"/>
  <c r="E17" i="19"/>
  <c r="H17" i="19"/>
  <c r="G12" i="19"/>
  <c r="F12" i="19"/>
  <c r="E12" i="19"/>
  <c r="F23" i="21"/>
  <c r="E22" i="19"/>
  <c r="G22" i="19"/>
  <c r="G23" i="21"/>
  <c r="H12" i="19"/>
  <c r="J12" i="19"/>
  <c r="N12" i="19"/>
  <c r="P33" i="19"/>
  <c r="W33" i="19"/>
  <c r="V21" i="21"/>
  <c r="U21" i="21"/>
  <c r="R21" i="21"/>
  <c r="Q21" i="21"/>
  <c r="M33" i="19"/>
  <c r="K33" i="19"/>
  <c r="X33" i="19"/>
  <c r="T33" i="19"/>
  <c r="S33" i="19"/>
  <c r="O33" i="19"/>
  <c r="N33" i="19"/>
  <c r="J33" i="19"/>
  <c r="L27" i="19"/>
  <c r="W27" i="19"/>
  <c r="V18" i="21"/>
  <c r="V17" i="21" s="1"/>
  <c r="U18" i="21"/>
  <c r="U17" i="21" s="1"/>
  <c r="Q18" i="21"/>
  <c r="Q17" i="21" s="1"/>
  <c r="P18" i="21"/>
  <c r="P17" i="21" s="1"/>
  <c r="M27" i="19"/>
  <c r="X27" i="19"/>
  <c r="T27" i="19"/>
  <c r="S27" i="19"/>
  <c r="Q27" i="19"/>
  <c r="O27" i="19"/>
  <c r="N27" i="19"/>
  <c r="J27" i="19"/>
  <c r="X25" i="19"/>
  <c r="T25" i="19"/>
  <c r="S25" i="19"/>
  <c r="O25" i="19"/>
  <c r="N25" i="19"/>
  <c r="J25" i="19"/>
  <c r="X23" i="19"/>
  <c r="T23" i="19"/>
  <c r="S23" i="19"/>
  <c r="O23" i="19"/>
  <c r="O14" i="21" s="1"/>
  <c r="O15" i="21" s="1"/>
  <c r="N23" i="19"/>
  <c r="J23" i="19"/>
  <c r="R17" i="19"/>
  <c r="P25" i="19"/>
  <c r="U12" i="21"/>
  <c r="R12" i="21"/>
  <c r="Q12" i="21"/>
  <c r="X17" i="19"/>
  <c r="T17" i="19"/>
  <c r="S17" i="19"/>
  <c r="O17" i="19"/>
  <c r="N17" i="19"/>
  <c r="L17" i="19"/>
  <c r="J17" i="19"/>
  <c r="W25" i="19"/>
  <c r="L25" i="19"/>
  <c r="W10" i="21"/>
  <c r="U10" i="21"/>
  <c r="R10" i="21"/>
  <c r="Q10" i="21"/>
  <c r="P10" i="21"/>
  <c r="M10" i="21"/>
  <c r="L10" i="21"/>
  <c r="K10" i="21"/>
  <c r="X12" i="19"/>
  <c r="T12" i="19"/>
  <c r="S12" i="19"/>
  <c r="O12" i="19"/>
  <c r="S6" i="21"/>
  <c r="N6" i="21"/>
  <c r="J6" i="21"/>
  <c r="S22" i="19" l="1"/>
  <c r="R25" i="19"/>
  <c r="U6" i="21"/>
  <c r="T6" i="21"/>
  <c r="N23" i="21"/>
  <c r="N14" i="21"/>
  <c r="N15" i="21" s="1"/>
  <c r="S14" i="21"/>
  <c r="S15" i="21" s="1"/>
  <c r="X23" i="21"/>
  <c r="X14" i="21"/>
  <c r="X15" i="21" s="1"/>
  <c r="Q6" i="21"/>
  <c r="J23" i="21"/>
  <c r="J14" i="21"/>
  <c r="J15" i="21" s="1"/>
  <c r="T23" i="21"/>
  <c r="T14" i="21"/>
  <c r="T15" i="21" s="1"/>
  <c r="R27" i="19"/>
  <c r="R18" i="21"/>
  <c r="R17" i="21" s="1"/>
  <c r="H23" i="21"/>
  <c r="V12" i="19"/>
  <c r="V10" i="21"/>
  <c r="P17" i="19"/>
  <c r="P12" i="21"/>
  <c r="V17" i="19"/>
  <c r="V12" i="21"/>
  <c r="I17" i="21"/>
  <c r="M6" i="21"/>
  <c r="J5" i="19"/>
  <c r="Q33" i="19"/>
  <c r="U33" i="19"/>
  <c r="L6" i="21"/>
  <c r="V6" i="21"/>
  <c r="W5" i="19"/>
  <c r="M12" i="19"/>
  <c r="R33" i="19"/>
  <c r="V33" i="19"/>
  <c r="U17" i="19"/>
  <c r="Q25" i="19"/>
  <c r="Q17" i="19"/>
  <c r="V27" i="19"/>
  <c r="U27" i="19"/>
  <c r="T22" i="19"/>
  <c r="I27" i="19"/>
  <c r="I22" i="19"/>
  <c r="E48" i="19"/>
  <c r="I21" i="21"/>
  <c r="N22" i="19"/>
  <c r="M17" i="19"/>
  <c r="P27" i="19"/>
  <c r="K27" i="19"/>
  <c r="F22" i="19"/>
  <c r="H22" i="19"/>
  <c r="L33" i="19"/>
  <c r="J22" i="19"/>
  <c r="K17" i="19"/>
  <c r="L12" i="19"/>
  <c r="L23" i="19"/>
  <c r="L14" i="21" s="1"/>
  <c r="L15" i="21" s="1"/>
  <c r="R12" i="19"/>
  <c r="R23" i="19"/>
  <c r="R14" i="21" s="1"/>
  <c r="R15" i="21" s="1"/>
  <c r="K25" i="19"/>
  <c r="K12" i="19"/>
  <c r="X22" i="19"/>
  <c r="W12" i="19"/>
  <c r="U12" i="19"/>
  <c r="U23" i="19"/>
  <c r="U14" i="21" s="1"/>
  <c r="U15" i="21" s="1"/>
  <c r="W17" i="19"/>
  <c r="W23" i="19"/>
  <c r="W14" i="21" s="1"/>
  <c r="W15" i="21" s="1"/>
  <c r="U25" i="19"/>
  <c r="N5" i="19"/>
  <c r="P23" i="19"/>
  <c r="P14" i="21" s="1"/>
  <c r="P15" i="21" s="1"/>
  <c r="M23" i="19"/>
  <c r="M14" i="21" s="1"/>
  <c r="M15" i="21" s="1"/>
  <c r="T5" i="19"/>
  <c r="Q12" i="19"/>
  <c r="K23" i="19"/>
  <c r="K14" i="21" s="1"/>
  <c r="K15" i="21" s="1"/>
  <c r="M25" i="19"/>
  <c r="O22" i="19"/>
  <c r="S5" i="19"/>
  <c r="P12" i="19"/>
  <c r="Q23" i="19"/>
  <c r="Q14" i="21" s="1"/>
  <c r="Q15" i="21" s="1"/>
  <c r="V25" i="19"/>
  <c r="V23" i="19"/>
  <c r="V14" i="21" s="1"/>
  <c r="V15" i="21" l="1"/>
  <c r="U5" i="19"/>
  <c r="R5" i="19"/>
  <c r="R6" i="21"/>
  <c r="P5" i="19"/>
  <c r="P6" i="21"/>
  <c r="D18" i="21"/>
  <c r="D17" i="21" s="1"/>
  <c r="S23" i="21"/>
  <c r="D14" i="21"/>
  <c r="D15" i="21" s="1"/>
  <c r="Q5" i="19"/>
  <c r="O23" i="21"/>
  <c r="V5" i="19"/>
  <c r="K5" i="19"/>
  <c r="K6" i="21"/>
  <c r="I12" i="19"/>
  <c r="I10" i="21"/>
  <c r="I15" i="21" s="1"/>
  <c r="D12" i="21"/>
  <c r="M5" i="19"/>
  <c r="L5" i="19"/>
  <c r="I33" i="19"/>
  <c r="Q22" i="19"/>
  <c r="K22" i="19"/>
  <c r="L22" i="19"/>
  <c r="W22" i="19"/>
  <c r="M22" i="19"/>
  <c r="R22" i="19"/>
  <c r="V22" i="19"/>
  <c r="P22" i="19"/>
  <c r="U22" i="19"/>
  <c r="W23" i="21" l="1"/>
  <c r="I17" i="19"/>
  <c r="I12" i="21"/>
  <c r="P23" i="21"/>
  <c r="R23" i="21"/>
  <c r="K23" i="21"/>
  <c r="I23" i="21"/>
  <c r="U23" i="21"/>
  <c r="M23" i="21"/>
  <c r="L23" i="21"/>
  <c r="V23" i="21"/>
  <c r="Q23" i="21"/>
  <c r="D23" i="21"/>
  <c r="B12" i="15"/>
  <c r="AH47" i="13" l="1"/>
  <c r="AH60" i="13" l="1"/>
  <c r="AQ10" i="1" l="1"/>
  <c r="AF75" i="2" l="1"/>
  <c r="AF77" i="2" s="1"/>
  <c r="AF33" i="2"/>
  <c r="AF18" i="2"/>
  <c r="AF53" i="2"/>
  <c r="AF65" i="2"/>
  <c r="S3" i="17"/>
  <c r="AQ1" i="1"/>
  <c r="AF79" i="2" l="1"/>
  <c r="AF35" i="2"/>
  <c r="AG47" i="13"/>
  <c r="R3" i="17" l="1"/>
  <c r="Q3" i="17"/>
  <c r="AG60" i="13" l="1"/>
  <c r="AG6" i="13" l="1"/>
  <c r="AG19" i="13" s="1"/>
  <c r="AP10" i="1" l="1"/>
  <c r="AN1" i="1"/>
  <c r="AM1" i="1"/>
  <c r="AM3" i="19" l="1"/>
  <c r="AL3" i="19"/>
  <c r="AE75" i="2"/>
  <c r="AE77" i="2" s="1"/>
  <c r="AE65" i="2"/>
  <c r="AE53" i="2"/>
  <c r="AE33" i="2"/>
  <c r="AE18" i="2"/>
  <c r="AE4" i="2"/>
  <c r="AE79" i="2" l="1"/>
  <c r="AE35" i="2"/>
  <c r="P3" i="17" l="1"/>
  <c r="AF6" i="13" l="1"/>
  <c r="AF19" i="13" s="1"/>
  <c r="AF47" i="13"/>
  <c r="AF60" i="13" s="1"/>
  <c r="AF39" i="13"/>
  <c r="AN35" i="1"/>
  <c r="AN10" i="1" l="1"/>
  <c r="AK3" i="19"/>
  <c r="AD75" i="2"/>
  <c r="AD77" i="2" s="1"/>
  <c r="AD65" i="2"/>
  <c r="AD53" i="2"/>
  <c r="AD33" i="2"/>
  <c r="AD18" i="2"/>
  <c r="AD4" i="2"/>
  <c r="AD35" i="2" l="1"/>
  <c r="AD79" i="2"/>
  <c r="B41" i="1" l="1"/>
  <c r="B40" i="1"/>
  <c r="BO40" i="1" s="1"/>
  <c r="B39" i="1"/>
  <c r="BO39" i="1" s="1"/>
  <c r="B38" i="1"/>
  <c r="BO38" i="1" s="1"/>
  <c r="B37" i="1"/>
  <c r="BO37" i="1" s="1"/>
  <c r="B36" i="1"/>
  <c r="BN35" i="1" l="1"/>
  <c r="BO35" i="1" s="1"/>
  <c r="BO36" i="1"/>
  <c r="AM35" i="1"/>
  <c r="AL35" i="1"/>
  <c r="AJ35" i="1"/>
  <c r="AI35" i="1"/>
  <c r="AH35" i="1"/>
  <c r="AG35" i="1"/>
  <c r="AE35" i="1"/>
  <c r="AD35" i="1"/>
  <c r="AC35" i="1"/>
  <c r="AB35" i="1"/>
  <c r="Z35" i="1"/>
  <c r="Y35" i="1"/>
  <c r="X35" i="1"/>
  <c r="W35" i="1"/>
  <c r="U35" i="1"/>
  <c r="T35" i="1"/>
  <c r="S35" i="1"/>
  <c r="R35" i="1"/>
  <c r="P35" i="1"/>
  <c r="O35" i="1"/>
  <c r="N35" i="1"/>
  <c r="M35" i="1"/>
  <c r="I35" i="1"/>
  <c r="J35" i="1"/>
  <c r="K35" i="1"/>
  <c r="H35" i="1"/>
  <c r="D35" i="1"/>
  <c r="E35" i="1"/>
  <c r="F35" i="1"/>
  <c r="C35" i="1"/>
  <c r="AK40" i="1"/>
  <c r="AK39" i="1"/>
  <c r="AK38" i="1"/>
  <c r="AK37" i="1"/>
  <c r="AK36" i="1"/>
  <c r="AF41" i="1"/>
  <c r="AF40" i="1"/>
  <c r="AF39" i="1"/>
  <c r="AF38" i="1"/>
  <c r="AF37" i="1"/>
  <c r="AF36" i="1"/>
  <c r="AA41" i="1"/>
  <c r="AA40" i="1"/>
  <c r="AA39" i="1"/>
  <c r="AA38" i="1"/>
  <c r="AA37" i="1"/>
  <c r="AA36" i="1"/>
  <c r="V41" i="1"/>
  <c r="V40" i="1"/>
  <c r="V39" i="1"/>
  <c r="V38" i="1"/>
  <c r="V37" i="1"/>
  <c r="V36" i="1"/>
  <c r="Q41" i="1"/>
  <c r="Q40" i="1"/>
  <c r="Q39" i="1"/>
  <c r="Q38" i="1"/>
  <c r="Q37" i="1"/>
  <c r="Q36" i="1"/>
  <c r="L41" i="1"/>
  <c r="L40" i="1"/>
  <c r="L39" i="1"/>
  <c r="L38" i="1"/>
  <c r="L37" i="1"/>
  <c r="L36" i="1"/>
  <c r="G41" i="1"/>
  <c r="G40" i="1"/>
  <c r="G39" i="1"/>
  <c r="G38" i="1"/>
  <c r="G37" i="1"/>
  <c r="G36" i="1"/>
  <c r="Q35" i="1" l="1"/>
  <c r="AK35" i="1"/>
  <c r="G35" i="1"/>
  <c r="L35" i="1"/>
  <c r="AA35" i="1"/>
  <c r="AF35" i="1"/>
  <c r="V35" i="1"/>
  <c r="O3" i="17"/>
  <c r="AE6" i="13"/>
  <c r="AE19" i="13" s="1"/>
  <c r="AE26" i="13"/>
  <c r="AE39" i="13" s="1"/>
  <c r="AM10" i="1" l="1"/>
  <c r="AJ3" i="19" l="1"/>
  <c r="AC75" i="2"/>
  <c r="AC77" i="2" s="1"/>
  <c r="AC65" i="2"/>
  <c r="AC53" i="2"/>
  <c r="B50" i="2"/>
  <c r="AC33" i="2"/>
  <c r="AC18" i="2"/>
  <c r="AC4" i="2"/>
  <c r="AC79" i="2" l="1"/>
  <c r="AC35" i="2"/>
  <c r="AE47" i="13" l="1"/>
  <c r="AE60" i="13" s="1"/>
  <c r="AD47" i="13"/>
  <c r="AD60" i="13" s="1"/>
  <c r="AC47" i="13"/>
  <c r="AC60" i="13" s="1"/>
  <c r="AB47" i="13"/>
  <c r="AB60" i="13" s="1"/>
  <c r="AA47" i="13"/>
  <c r="AA60" i="13" s="1"/>
  <c r="Z47" i="13"/>
  <c r="Z60" i="13" s="1"/>
  <c r="Y47" i="13"/>
  <c r="Y60" i="13" s="1"/>
  <c r="X47" i="13"/>
  <c r="X60" i="13" s="1"/>
  <c r="W47" i="13"/>
  <c r="W60" i="13" s="1"/>
  <c r="V47" i="13"/>
  <c r="V60" i="13" s="1"/>
  <c r="U47" i="13"/>
  <c r="U60" i="13" s="1"/>
  <c r="T47" i="13"/>
  <c r="T60" i="13" s="1"/>
  <c r="S47" i="13"/>
  <c r="S60" i="13" s="1"/>
  <c r="R47" i="13"/>
  <c r="R60" i="13" s="1"/>
  <c r="Q47" i="13"/>
  <c r="Q60" i="13" s="1"/>
  <c r="P47" i="13"/>
  <c r="P60" i="13" s="1"/>
  <c r="O47" i="13"/>
  <c r="O60" i="13" s="1"/>
  <c r="N47" i="13"/>
  <c r="N60" i="13" s="1"/>
  <c r="A56" i="13"/>
  <c r="A55" i="13"/>
  <c r="A54" i="13"/>
  <c r="A53" i="13"/>
  <c r="A52" i="13"/>
  <c r="A51" i="13"/>
  <c r="A50" i="13"/>
  <c r="A49" i="13"/>
  <c r="A48" i="13"/>
  <c r="A47" i="13"/>
  <c r="A45" i="13"/>
  <c r="A43" i="13"/>
  <c r="C23" i="17" l="1"/>
  <c r="N3" i="17" l="1"/>
  <c r="AD6" i="13"/>
  <c r="AD19" i="13" s="1"/>
  <c r="AD26" i="13"/>
  <c r="AD39" i="13" s="1"/>
  <c r="AL10" i="1" l="1"/>
  <c r="AL1" i="1"/>
  <c r="AI3" i="19" l="1"/>
  <c r="AB75" i="2" l="1"/>
  <c r="AB77" i="2" s="1"/>
  <c r="AB65" i="2"/>
  <c r="AB53" i="2"/>
  <c r="AB33" i="2"/>
  <c r="AB18" i="2"/>
  <c r="AB4" i="2"/>
  <c r="AB79" i="2" l="1"/>
  <c r="AB35" i="2"/>
  <c r="M3" i="17"/>
  <c r="L3" i="17"/>
  <c r="K3" i="17"/>
  <c r="J3" i="17"/>
  <c r="I3" i="17"/>
  <c r="H3" i="17"/>
  <c r="G3" i="17"/>
  <c r="F3" i="17"/>
  <c r="E3" i="17"/>
  <c r="D3" i="17"/>
  <c r="AC6" i="13"/>
  <c r="AC19" i="13" s="1"/>
  <c r="AC26" i="13"/>
  <c r="AC39" i="13" s="1"/>
  <c r="AJ10" i="1" l="1"/>
  <c r="AK10" i="1"/>
  <c r="AJ1" i="1"/>
  <c r="AH3" i="19"/>
  <c r="AG3" i="19"/>
  <c r="AF3" i="19"/>
  <c r="AE3" i="19"/>
  <c r="AD3" i="19"/>
  <c r="AC3" i="19"/>
  <c r="AB3" i="19"/>
  <c r="AA3" i="19"/>
  <c r="Z3" i="19"/>
  <c r="Y3" i="19"/>
  <c r="W75" i="2"/>
  <c r="W77" i="2" s="1"/>
  <c r="AA75" i="2"/>
  <c r="AA77" i="2" s="1"/>
  <c r="AA65" i="2"/>
  <c r="AA53" i="2"/>
  <c r="AA33" i="2"/>
  <c r="AA18" i="2"/>
  <c r="AA4" i="2"/>
  <c r="AA79" i="2" l="1"/>
  <c r="AA35" i="2"/>
  <c r="O18" i="2"/>
  <c r="S18" i="2"/>
  <c r="C22" i="17" l="1"/>
  <c r="AB6" i="13" l="1"/>
  <c r="AB19" i="13" s="1"/>
  <c r="AB26" i="13"/>
  <c r="AB39" i="13" s="1"/>
  <c r="AI10" i="1" l="1"/>
  <c r="AI1" i="1"/>
  <c r="Z75" i="2"/>
  <c r="Z77" i="2" s="1"/>
  <c r="Z65" i="2"/>
  <c r="Z53" i="2"/>
  <c r="Z33" i="2"/>
  <c r="Z18" i="2"/>
  <c r="Z4" i="2"/>
  <c r="Z35" i="2" l="1"/>
  <c r="Z79" i="2"/>
  <c r="C23" i="19"/>
  <c r="A24" i="13" l="1"/>
  <c r="A2" i="13"/>
  <c r="A4" i="13"/>
  <c r="A6" i="13"/>
  <c r="B6" i="13"/>
  <c r="B19" i="13" s="1"/>
  <c r="C6" i="13"/>
  <c r="C19" i="13" s="1"/>
  <c r="D6" i="13"/>
  <c r="D19" i="13" s="1"/>
  <c r="E6" i="13"/>
  <c r="E19" i="13" s="1"/>
  <c r="F6" i="13"/>
  <c r="F19" i="13" s="1"/>
  <c r="G6" i="13"/>
  <c r="G19" i="13" s="1"/>
  <c r="H6" i="13"/>
  <c r="H19" i="13" s="1"/>
  <c r="I6" i="13"/>
  <c r="I19" i="13" s="1"/>
  <c r="Y6" i="13"/>
  <c r="Y19" i="13" s="1"/>
  <c r="Z6" i="13"/>
  <c r="Z19" i="13" s="1"/>
  <c r="AA6" i="13"/>
  <c r="AA19" i="13" s="1"/>
  <c r="A7" i="13"/>
  <c r="A8" i="13"/>
  <c r="A9" i="13"/>
  <c r="A10" i="13"/>
  <c r="A11" i="13"/>
  <c r="A12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A35" i="13"/>
  <c r="A34" i="13"/>
  <c r="A33" i="13"/>
  <c r="A32" i="13"/>
  <c r="A31" i="13"/>
  <c r="A30" i="13"/>
  <c r="A29" i="13"/>
  <c r="A28" i="13"/>
  <c r="A27" i="13"/>
  <c r="AA26" i="13"/>
  <c r="AA39" i="13" s="1"/>
  <c r="Z39" i="13"/>
  <c r="I39" i="13"/>
  <c r="A26" i="13"/>
  <c r="A22" i="13"/>
  <c r="AH1" i="1"/>
  <c r="AG1" i="1"/>
  <c r="AE1" i="1"/>
  <c r="AD1" i="1"/>
  <c r="AC1" i="1"/>
  <c r="AB1" i="1"/>
  <c r="Z1" i="1"/>
  <c r="Y1" i="1"/>
  <c r="X1" i="1"/>
  <c r="W1" i="1"/>
  <c r="U1" i="1"/>
  <c r="T1" i="1"/>
  <c r="S1" i="1"/>
  <c r="R1" i="1"/>
  <c r="P1" i="1"/>
  <c r="O1" i="1"/>
  <c r="N1" i="1"/>
  <c r="M1" i="1"/>
  <c r="K1" i="1"/>
  <c r="J1" i="1"/>
  <c r="I1" i="1"/>
  <c r="H1" i="1"/>
  <c r="F1" i="1"/>
  <c r="E1" i="1"/>
  <c r="D1" i="1"/>
  <c r="C1" i="1"/>
  <c r="B7" i="15"/>
  <c r="C34" i="17" l="1"/>
  <c r="AH10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G11" i="1"/>
  <c r="L11" i="1"/>
  <c r="Q11" i="1"/>
  <c r="G12" i="1"/>
  <c r="L12" i="1"/>
  <c r="Q12" i="1"/>
  <c r="Y75" i="2"/>
  <c r="Y77" i="2" s="1"/>
  <c r="Y53" i="2"/>
  <c r="B46" i="2"/>
  <c r="Y18" i="2"/>
  <c r="Y65" i="2"/>
  <c r="Y33" i="2"/>
  <c r="Y4" i="2"/>
  <c r="L10" i="1" l="1"/>
  <c r="Y35" i="2"/>
  <c r="Q10" i="1"/>
  <c r="G10" i="1"/>
  <c r="Y79" i="2"/>
  <c r="B62" i="2"/>
  <c r="B76" i="2"/>
  <c r="B61" i="2"/>
  <c r="B29" i="2"/>
  <c r="C33" i="17" l="1"/>
  <c r="C39" i="17"/>
  <c r="C38" i="17"/>
  <c r="C36" i="17"/>
  <c r="C30" i="17"/>
  <c r="C29" i="17"/>
  <c r="C28" i="17"/>
  <c r="C25" i="17"/>
  <c r="C21" i="17"/>
  <c r="C20" i="17"/>
  <c r="C19" i="17"/>
  <c r="C17" i="17"/>
  <c r="C16" i="17"/>
  <c r="C15" i="17"/>
  <c r="C14" i="17"/>
  <c r="C13" i="17"/>
  <c r="C10" i="17"/>
  <c r="C7" i="17"/>
  <c r="C3" i="17"/>
  <c r="B60" i="2"/>
  <c r="X75" i="2"/>
  <c r="B17" i="15"/>
  <c r="B15" i="15"/>
  <c r="B14" i="15"/>
  <c r="B13" i="15"/>
  <c r="B10" i="15"/>
  <c r="B9" i="15"/>
  <c r="B8" i="15"/>
  <c r="B6" i="15"/>
  <c r="B5" i="15"/>
  <c r="B3" i="15"/>
  <c r="B29" i="1"/>
  <c r="B26" i="1"/>
  <c r="B25" i="1"/>
  <c r="B24" i="1"/>
  <c r="B23" i="1"/>
  <c r="B22" i="1"/>
  <c r="B19" i="1"/>
  <c r="B18" i="1"/>
  <c r="B17" i="1"/>
  <c r="B14" i="1"/>
  <c r="B10" i="1"/>
  <c r="B8" i="1"/>
  <c r="B7" i="1"/>
  <c r="B6" i="1"/>
  <c r="B5" i="1"/>
  <c r="B3" i="1"/>
  <c r="B1" i="1"/>
  <c r="C21" i="21"/>
  <c r="C19" i="21"/>
  <c r="C18" i="21"/>
  <c r="C17" i="21"/>
  <c r="C14" i="21"/>
  <c r="C12" i="21"/>
  <c r="C10" i="21"/>
  <c r="C8" i="21"/>
  <c r="C6" i="21"/>
  <c r="C4" i="21"/>
  <c r="C33" i="19"/>
  <c r="C27" i="19"/>
  <c r="C22" i="19"/>
  <c r="C17" i="19"/>
  <c r="C12" i="19"/>
  <c r="C5" i="19"/>
  <c r="C3" i="19"/>
  <c r="X4" i="2" l="1"/>
  <c r="V4" i="2"/>
  <c r="W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79" i="2"/>
  <c r="B77" i="2"/>
  <c r="B73" i="2"/>
  <c r="B72" i="2"/>
  <c r="B71" i="2"/>
  <c r="B68" i="2"/>
  <c r="B67" i="2"/>
  <c r="B65" i="2"/>
  <c r="B63" i="2"/>
  <c r="B56" i="2"/>
  <c r="B55" i="2"/>
  <c r="B53" i="2"/>
  <c r="B52" i="2"/>
  <c r="B51" i="2"/>
  <c r="B49" i="2"/>
  <c r="B48" i="2"/>
  <c r="B47" i="2"/>
  <c r="B45" i="2"/>
  <c r="B44" i="2"/>
  <c r="B43" i="2"/>
  <c r="B41" i="2"/>
  <c r="B40" i="2"/>
  <c r="B39" i="2"/>
  <c r="B37" i="2"/>
  <c r="B35" i="2"/>
  <c r="B33" i="2"/>
  <c r="B31" i="2"/>
  <c r="B30" i="2"/>
  <c r="B28" i="2"/>
  <c r="B27" i="2"/>
  <c r="B26" i="2"/>
  <c r="B3" i="2"/>
  <c r="B4" i="2"/>
  <c r="B6" i="2"/>
  <c r="B18" i="2"/>
  <c r="B17" i="2"/>
  <c r="B15" i="2"/>
  <c r="B14" i="2"/>
  <c r="B13" i="2"/>
  <c r="B12" i="2"/>
  <c r="B11" i="2"/>
  <c r="B10" i="2"/>
  <c r="B9" i="2"/>
  <c r="B8" i="2"/>
  <c r="X77" i="2" l="1"/>
  <c r="X65" i="2"/>
  <c r="X53" i="2"/>
  <c r="X33" i="2"/>
  <c r="X18" i="2"/>
  <c r="AV80" i="2" l="1"/>
  <c r="X79" i="2"/>
  <c r="X35" i="2"/>
  <c r="W18" i="2" l="1"/>
  <c r="W33" i="2"/>
  <c r="W53" i="2"/>
  <c r="W65" i="2"/>
  <c r="W79" i="2" l="1"/>
  <c r="W35" i="2"/>
  <c r="V75" i="2" l="1"/>
  <c r="V77" i="2" s="1"/>
  <c r="U75" i="2"/>
  <c r="V65" i="2"/>
  <c r="V53" i="2"/>
  <c r="V33" i="2"/>
  <c r="V18" i="2"/>
  <c r="V35" i="2" l="1"/>
  <c r="V79" i="2"/>
  <c r="U77" i="2" l="1"/>
  <c r="U65" i="2"/>
  <c r="U53" i="2"/>
  <c r="U33" i="2"/>
  <c r="U18" i="2"/>
  <c r="U35" i="2" l="1"/>
  <c r="U79" i="2"/>
  <c r="T75" i="2" l="1"/>
  <c r="T77" i="2" s="1"/>
  <c r="T65" i="2"/>
  <c r="T53" i="2"/>
  <c r="T33" i="2"/>
  <c r="T18" i="2"/>
  <c r="T35" i="2" l="1"/>
  <c r="T79" i="2"/>
  <c r="S75" i="2" l="1"/>
  <c r="S77" i="2" s="1"/>
  <c r="S65" i="2"/>
  <c r="S53" i="2"/>
  <c r="S33" i="2"/>
  <c r="S35" i="2" l="1"/>
  <c r="S79" i="2"/>
  <c r="R75" i="2"/>
  <c r="R77" i="2" s="1"/>
  <c r="R65" i="2"/>
  <c r="R53" i="2"/>
  <c r="R33" i="2"/>
  <c r="R18" i="2"/>
  <c r="R35" i="2" l="1"/>
  <c r="R79" i="2"/>
  <c r="Q75" i="2"/>
  <c r="Q77" i="2" s="1"/>
  <c r="Q65" i="2"/>
  <c r="Q53" i="2"/>
  <c r="Q33" i="2"/>
  <c r="Q18" i="2"/>
  <c r="P75" i="2"/>
  <c r="Q79" i="2" l="1"/>
  <c r="Q35" i="2"/>
  <c r="P77" i="2" l="1"/>
  <c r="P65" i="2"/>
  <c r="P53" i="2"/>
  <c r="P33" i="2"/>
  <c r="P18" i="2"/>
  <c r="P35" i="2" l="1"/>
  <c r="P79" i="2"/>
  <c r="C75" i="2" l="1"/>
  <c r="K75" i="2"/>
  <c r="O75" i="2"/>
  <c r="O77" i="2" s="1"/>
  <c r="O65" i="2"/>
  <c r="O53" i="2"/>
  <c r="O33" i="2"/>
  <c r="C65" i="2"/>
  <c r="J75" i="2"/>
  <c r="J77" i="2" s="1"/>
  <c r="N75" i="2"/>
  <c r="N77" i="2" s="1"/>
  <c r="N65" i="2"/>
  <c r="N53" i="2"/>
  <c r="N33" i="2"/>
  <c r="N18" i="2"/>
  <c r="O35" i="2" l="1"/>
  <c r="N35" i="2"/>
  <c r="O79" i="2"/>
  <c r="N79" i="2"/>
  <c r="M75" i="2"/>
  <c r="M77" i="2" s="1"/>
  <c r="L75" i="2"/>
  <c r="L77" i="2" s="1"/>
  <c r="K77" i="2"/>
  <c r="I75" i="2"/>
  <c r="I77" i="2" s="1"/>
  <c r="H75" i="2"/>
  <c r="H77" i="2" s="1"/>
  <c r="G75" i="2"/>
  <c r="G77" i="2" s="1"/>
  <c r="F75" i="2"/>
  <c r="F77" i="2" s="1"/>
  <c r="E75" i="2"/>
  <c r="E77" i="2" s="1"/>
  <c r="D75" i="2"/>
  <c r="D77" i="2" s="1"/>
  <c r="C77" i="2"/>
  <c r="M65" i="2"/>
  <c r="L65" i="2"/>
  <c r="K65" i="2"/>
  <c r="J65" i="2"/>
  <c r="I65" i="2"/>
  <c r="H65" i="2"/>
  <c r="G65" i="2"/>
  <c r="F65" i="2"/>
  <c r="E65" i="2"/>
  <c r="D65" i="2"/>
  <c r="M53" i="2"/>
  <c r="L53" i="2"/>
  <c r="K53" i="2"/>
  <c r="J53" i="2"/>
  <c r="I53" i="2"/>
  <c r="H53" i="2"/>
  <c r="G53" i="2"/>
  <c r="F53" i="2"/>
  <c r="E53" i="2"/>
  <c r="D53" i="2"/>
  <c r="C53" i="2"/>
  <c r="M33" i="2"/>
  <c r="L33" i="2"/>
  <c r="K33" i="2"/>
  <c r="J33" i="2"/>
  <c r="I33" i="2"/>
  <c r="H33" i="2"/>
  <c r="G33" i="2"/>
  <c r="F33" i="2"/>
  <c r="E33" i="2"/>
  <c r="D33" i="2"/>
  <c r="C33" i="2"/>
  <c r="M18" i="2"/>
  <c r="L18" i="2"/>
  <c r="K18" i="2"/>
  <c r="J18" i="2"/>
  <c r="I18" i="2"/>
  <c r="H18" i="2"/>
  <c r="G18" i="2"/>
  <c r="F18" i="2"/>
  <c r="E18" i="2"/>
  <c r="D18" i="2"/>
  <c r="C18" i="2"/>
  <c r="M79" i="2" l="1"/>
  <c r="K79" i="2"/>
  <c r="E79" i="2"/>
  <c r="G79" i="2"/>
  <c r="I79" i="2"/>
  <c r="C79" i="2"/>
  <c r="D79" i="2"/>
  <c r="F79" i="2"/>
  <c r="H79" i="2"/>
  <c r="J79" i="2"/>
  <c r="L79" i="2"/>
  <c r="C35" i="2"/>
  <c r="E35" i="2"/>
  <c r="G35" i="2"/>
  <c r="I35" i="2"/>
  <c r="K35" i="2"/>
  <c r="M35" i="2"/>
  <c r="D35" i="2"/>
  <c r="F35" i="2"/>
  <c r="H35" i="2"/>
  <c r="J35" i="2"/>
  <c r="L35" i="2"/>
  <c r="AR21" i="21" l="1"/>
  <c r="AR19" i="21"/>
  <c r="AR18" i="21"/>
  <c r="AR14" i="21"/>
  <c r="AR15" i="21" s="1"/>
  <c r="AR12" i="21"/>
  <c r="AQ21" i="21"/>
  <c r="AQ19" i="21"/>
  <c r="AQ14" i="21"/>
  <c r="AQ15" i="21" s="1"/>
  <c r="AQ12" i="21"/>
  <c r="AR17" i="21" l="1"/>
  <c r="AQ18" i="21"/>
  <c r="AQ17" i="21" l="1"/>
  <c r="AT33" i="1"/>
  <c r="AT31" i="1"/>
  <c r="AS21" i="21" l="1"/>
  <c r="AS23" i="21" l="1"/>
  <c r="AS24" i="21" l="1"/>
  <c r="AY10" i="1" l="1"/>
  <c r="AY33" i="1" l="1"/>
  <c r="AY31" i="1"/>
  <c r="BD10" i="1" l="1"/>
  <c r="BE10" i="1"/>
  <c r="BG10" i="1" l="1"/>
  <c r="BF24" i="21" l="1"/>
  <c r="BL10" i="1" l="1"/>
  <c r="BI18" i="21" l="1"/>
  <c r="BI19" i="21"/>
  <c r="BI12" i="21"/>
  <c r="BI21" i="21" l="1"/>
  <c r="BI17" i="21"/>
  <c r="BI14" i="21"/>
  <c r="BI10" i="21"/>
  <c r="BL3" i="1" l="1"/>
  <c r="BI15" i="21"/>
  <c r="BI22" i="19" l="1"/>
  <c r="BI38" i="19" l="1"/>
  <c r="BI6" i="21"/>
  <c r="BI23" i="21" l="1"/>
  <c r="AY19" i="13" l="1"/>
  <c r="AY58" i="13" l="1"/>
  <c r="BM14" i="1" l="1"/>
  <c r="BJ24" i="21" l="1"/>
  <c r="BQ10" i="1" l="1"/>
  <c r="BQ32" i="1" l="1"/>
  <c r="BQ17" i="1" l="1"/>
  <c r="BQ14" i="1" s="1"/>
  <c r="BQ30" i="1"/>
  <c r="BB26" i="13" l="1"/>
  <c r="BB39" i="13" s="1"/>
  <c r="BB6" i="13" l="1"/>
  <c r="BB19" i="13" s="1"/>
  <c r="BB33" i="2" l="1"/>
  <c r="BB18" i="2"/>
  <c r="BB65" i="2"/>
  <c r="BB53" i="2"/>
  <c r="BB75" i="2"/>
  <c r="BB77" i="2" s="1"/>
  <c r="BB35" i="2" l="1"/>
  <c r="BB79" i="2"/>
  <c r="BB80" i="2" s="1"/>
  <c r="BO24" i="21" l="1"/>
  <c r="BO25" i="21" l="1"/>
  <c r="BT10" i="1" l="1"/>
  <c r="BS10" i="1"/>
  <c r="BM10" i="1" l="1"/>
  <c r="BF25" i="21" l="1"/>
  <c r="BG51" i="19" l="1"/>
  <c r="BG25" i="21" s="1"/>
  <c r="BH25" i="21" l="1"/>
  <c r="AY75" i="2" l="1"/>
  <c r="AY77" i="2" s="1"/>
  <c r="AY33" i="2"/>
  <c r="AY18" i="2"/>
  <c r="AY65" i="2"/>
  <c r="AY53" i="2"/>
  <c r="AY35" i="2" l="1"/>
  <c r="AY79" i="2"/>
  <c r="BN3" i="1" l="1"/>
  <c r="BJ10" i="15" l="1"/>
  <c r="BJ15" i="15"/>
  <c r="BK17" i="15"/>
  <c r="BJ21" i="15" l="1"/>
  <c r="BK21" i="15" s="1"/>
  <c r="AN10" i="17" l="1"/>
  <c r="BP10" i="15" l="1"/>
  <c r="BP15" i="15" l="1"/>
  <c r="BP21" i="15" l="1"/>
  <c r="BR12" i="21" l="1"/>
  <c r="BR19" i="21"/>
  <c r="BR21" i="21" l="1"/>
  <c r="BR33" i="19"/>
  <c r="BR17" i="19"/>
  <c r="BR18" i="21" l="1"/>
  <c r="BR17" i="21" s="1"/>
  <c r="BR10" i="15"/>
  <c r="BR10" i="21" l="1"/>
  <c r="BR5" i="19" l="1"/>
  <c r="BR6" i="21"/>
  <c r="BR12" i="19"/>
  <c r="BR22" i="19" s="1"/>
  <c r="BR14" i="21"/>
  <c r="BR23" i="21" s="1"/>
  <c r="BR50" i="19"/>
  <c r="BR8" i="21" l="1"/>
  <c r="BR15" i="21"/>
  <c r="BR24" i="21"/>
  <c r="BR27" i="19" l="1"/>
  <c r="BR38" i="19" s="1"/>
  <c r="BR44" i="19" s="1"/>
  <c r="BR15" i="15" l="1"/>
  <c r="BR21" i="15" l="1"/>
  <c r="AS10" i="17" l="1"/>
  <c r="AS25" i="17" s="1"/>
  <c r="BC19" i="13" l="1"/>
  <c r="BC58" i="13" l="1"/>
  <c r="BW3" i="1" l="1"/>
  <c r="BV8" i="1"/>
  <c r="BN19" i="21" l="1"/>
  <c r="BQ17" i="15"/>
  <c r="BN50" i="19" l="1"/>
  <c r="BN27" i="19"/>
  <c r="BN18" i="21"/>
  <c r="BN17" i="21" s="1"/>
  <c r="BQ14" i="15"/>
  <c r="BN5" i="19"/>
  <c r="BN6" i="21"/>
  <c r="BN33" i="19"/>
  <c r="BN21" i="21"/>
  <c r="BQ6" i="15"/>
  <c r="BN12" i="21"/>
  <c r="BN17" i="19"/>
  <c r="BQ9" i="15"/>
  <c r="BM15" i="15" l="1"/>
  <c r="BQ13" i="15"/>
  <c r="BQ15" i="15" s="1"/>
  <c r="BN12" i="19"/>
  <c r="BN22" i="19" s="1"/>
  <c r="BN38" i="19" s="1"/>
  <c r="BN44" i="19" s="1"/>
  <c r="BN10" i="21"/>
  <c r="BQ19" i="15" l="1"/>
  <c r="BN14" i="21"/>
  <c r="BN23" i="21" s="1"/>
  <c r="BN8" i="21"/>
  <c r="BQ3" i="1"/>
  <c r="BN24" i="21" l="1"/>
  <c r="BN15" i="21"/>
  <c r="BS18" i="21"/>
  <c r="BS17" i="21" s="1"/>
  <c r="BN25" i="21"/>
  <c r="BS6" i="21" l="1"/>
  <c r="BS5" i="19"/>
  <c r="BS12" i="21" l="1"/>
  <c r="BS17" i="19"/>
  <c r="BS50" i="19" l="1"/>
  <c r="BS10" i="21"/>
  <c r="BS12" i="19" l="1"/>
  <c r="BS22" i="19" s="1"/>
  <c r="BS14" i="21"/>
  <c r="BS8" i="21"/>
  <c r="BV3" i="1"/>
  <c r="BS23" i="21" l="1"/>
  <c r="BS24" i="21" s="1"/>
  <c r="BS15" i="21"/>
  <c r="BS27" i="19" l="1"/>
  <c r="BS38" i="19" s="1"/>
  <c r="BS44" i="19" l="1"/>
  <c r="BQ7" i="15" l="1"/>
  <c r="BQ10" i="15" s="1"/>
  <c r="BQ21" i="15" s="1"/>
  <c r="BM10" i="15"/>
  <c r="BM21" i="15" s="1"/>
  <c r="BR3" i="1"/>
  <c r="BO8" i="21"/>
  <c r="BF44" i="19"/>
  <c r="BG44" i="19"/>
</calcChain>
</file>

<file path=xl/sharedStrings.xml><?xml version="1.0" encoding="utf-8"?>
<sst xmlns="http://schemas.openxmlformats.org/spreadsheetml/2006/main" count="1567" uniqueCount="644">
  <si>
    <t>EBITDA</t>
  </si>
  <si>
    <t>SSS</t>
  </si>
  <si>
    <t>Private Label</t>
  </si>
  <si>
    <t>Co-Branded</t>
  </si>
  <si>
    <t xml:space="preserve"> </t>
  </si>
  <si>
    <t>Subtotal</t>
  </si>
  <si>
    <t>Total</t>
  </si>
  <si>
    <t>Equity</t>
  </si>
  <si>
    <t>Balanço - Balance Sheet</t>
  </si>
  <si>
    <t>DRE Varejo - Retail Income Statements</t>
  </si>
  <si>
    <t>Fluxo de Caixa - Cash Flow</t>
  </si>
  <si>
    <t>Idioma - Language</t>
  </si>
  <si>
    <t>Inglês - English</t>
  </si>
  <si>
    <t>Destaques - Highlights</t>
  </si>
  <si>
    <t>SAX - BACEN</t>
  </si>
  <si>
    <t>CAPEX</t>
  </si>
  <si>
    <t>-</t>
  </si>
  <si>
    <t>DRE - Income Statements</t>
  </si>
  <si>
    <t>DADOS HISTÓRICOS / HISTORICAL RESULTS</t>
  </si>
  <si>
    <t>Private Label - IFRS</t>
  </si>
  <si>
    <t>4T16</t>
  </si>
  <si>
    <t>2009</t>
  </si>
  <si>
    <t>Português</t>
  </si>
  <si>
    <t>Set.17</t>
  </si>
  <si>
    <t>Dez.17</t>
  </si>
  <si>
    <t>Mar.18</t>
  </si>
  <si>
    <t>Jun.18</t>
  </si>
  <si>
    <t>9M19</t>
  </si>
  <si>
    <t>Área vendas (m²)</t>
  </si>
  <si>
    <t>6M20</t>
  </si>
  <si>
    <t>9M20</t>
  </si>
  <si>
    <t>Lucros acumulados</t>
  </si>
  <si>
    <t>878.987</t>
  </si>
  <si>
    <t>122,91</t>
  </si>
  <si>
    <t>Outros créditos</t>
  </si>
  <si>
    <t/>
  </si>
  <si>
    <t>Mbank - Mbank Portfolio</t>
  </si>
  <si>
    <t>DRE Mbank - Mbank Income Statements</t>
  </si>
  <si>
    <t>Instrumentos financeiros</t>
  </si>
  <si>
    <t>6M21</t>
  </si>
  <si>
    <t>9M21</t>
  </si>
  <si>
    <t># Loja</t>
  </si>
  <si>
    <t>Nome Filial</t>
  </si>
  <si>
    <t>Tipo</t>
  </si>
  <si>
    <t>Região</t>
  </si>
  <si>
    <t>Estado</t>
  </si>
  <si>
    <t>Cidade</t>
  </si>
  <si>
    <t>Logradouro</t>
  </si>
  <si>
    <t>Inauguração</t>
  </si>
  <si>
    <t>1T22</t>
  </si>
  <si>
    <t>2T22</t>
  </si>
  <si>
    <t>3T22</t>
  </si>
  <si>
    <t>Pix</t>
  </si>
  <si>
    <t xml:space="preserve">Total * </t>
  </si>
  <si>
    <t>* Total Carteira do Private Label xclui AVP do saldo</t>
  </si>
  <si>
    <t>Azenha</t>
  </si>
  <si>
    <t>Rua</t>
  </si>
  <si>
    <t>Sul</t>
  </si>
  <si>
    <t>RS</t>
  </si>
  <si>
    <t>Porto Alegre</t>
  </si>
  <si>
    <t>Rua da Azenha</t>
  </si>
  <si>
    <t>São Caetano do Sul</t>
  </si>
  <si>
    <t>Sudeste</t>
  </si>
  <si>
    <t>SP</t>
  </si>
  <si>
    <t>R. Manoel Coelho</t>
  </si>
  <si>
    <t>Campina Grande</t>
  </si>
  <si>
    <t>Nordeste</t>
  </si>
  <si>
    <t>PB</t>
  </si>
  <si>
    <t>R. Maciel Pinheiro</t>
  </si>
  <si>
    <t>Teresina (Centro)</t>
  </si>
  <si>
    <t>PI</t>
  </si>
  <si>
    <t>Teresina</t>
  </si>
  <si>
    <t>R. Senador Teodoro Pacheco</t>
  </si>
  <si>
    <t>São Paulo</t>
  </si>
  <si>
    <t>São Luiz</t>
  </si>
  <si>
    <t>MA</t>
  </si>
  <si>
    <t>São Luís</t>
  </si>
  <si>
    <t>R. Grande Oswaldo Cruz</t>
  </si>
  <si>
    <t>Aracajú</t>
  </si>
  <si>
    <t>SE</t>
  </si>
  <si>
    <t>Aracaju</t>
  </si>
  <si>
    <t>R. João Pessoa</t>
  </si>
  <si>
    <t>Florianópolis</t>
  </si>
  <si>
    <t>SC</t>
  </si>
  <si>
    <t>Praça XV de Novembro</t>
  </si>
  <si>
    <t>Shopping Interlagos</t>
  </si>
  <si>
    <t>Shopping</t>
  </si>
  <si>
    <t>Av. Interlagos</t>
  </si>
  <si>
    <t>Shopping Mueller Joinville</t>
  </si>
  <si>
    <t>Joinville</t>
  </si>
  <si>
    <t>R. Visconde de Taunay</t>
  </si>
  <si>
    <t>Shopping Metrópole</t>
  </si>
  <si>
    <t>São Bernardo do Campo</t>
  </si>
  <si>
    <t>Pça. Samuel Sabatini</t>
  </si>
  <si>
    <t>River Shopping</t>
  </si>
  <si>
    <t>PE</t>
  </si>
  <si>
    <t>Petrolina</t>
  </si>
  <si>
    <t>Av. Mons. Ângelo Sampaio</t>
  </si>
  <si>
    <t>Norte Shopping</t>
  </si>
  <si>
    <t>RJ</t>
  </si>
  <si>
    <t>Rio de Janeiro</t>
  </si>
  <si>
    <t>Av. Dom Hélder Câmara</t>
  </si>
  <si>
    <t>Franca Shopping</t>
  </si>
  <si>
    <t>Franca</t>
  </si>
  <si>
    <t>Av. Rio Negro</t>
  </si>
  <si>
    <t>Pátio Brasil Shopping</t>
  </si>
  <si>
    <t>Centro-Oeste</t>
  </si>
  <si>
    <t>DF</t>
  </si>
  <si>
    <t>Brasília</t>
  </si>
  <si>
    <t>Setor Comercial Sul</t>
  </si>
  <si>
    <t>Riverside Shopping</t>
  </si>
  <si>
    <t>Av. Ininga</t>
  </si>
  <si>
    <t xml:space="preserve">Grand Plaza Shopping </t>
  </si>
  <si>
    <t>Santo André</t>
  </si>
  <si>
    <t>Av. Industrial</t>
  </si>
  <si>
    <t>Neumarkt Shopping</t>
  </si>
  <si>
    <t>Blumenau</t>
  </si>
  <si>
    <t>Rua Sete de Setembro</t>
  </si>
  <si>
    <t>Internacional Shopping</t>
  </si>
  <si>
    <t>Guarulhos</t>
  </si>
  <si>
    <t>Rod. Presidente Dutra KM 397/650</t>
  </si>
  <si>
    <t>Buriti Shopping</t>
  </si>
  <si>
    <t>GO</t>
  </si>
  <si>
    <t>Goiânia</t>
  </si>
  <si>
    <t>Av. Rio Verde</t>
  </si>
  <si>
    <t>Litoral Plaza Shopping</t>
  </si>
  <si>
    <t>Praia Grande</t>
  </si>
  <si>
    <t>Av. Ayrton Senna</t>
  </si>
  <si>
    <t>Manaíra Shopping</t>
  </si>
  <si>
    <t>João Pessoa</t>
  </si>
  <si>
    <t>R. Manoel Arruda Cavalcante</t>
  </si>
  <si>
    <t>Alameda Shopping</t>
  </si>
  <si>
    <t>Estr. Shopping Center Csb</t>
  </si>
  <si>
    <t xml:space="preserve">Shopping Aricanduva </t>
  </si>
  <si>
    <t>Av. Aricanduva</t>
  </si>
  <si>
    <t>Continental Shopping</t>
  </si>
  <si>
    <t>Av. Leão Machado</t>
  </si>
  <si>
    <t>Cuiabá</t>
  </si>
  <si>
    <t>MT</t>
  </si>
  <si>
    <t>R. Treze de Junho</t>
  </si>
  <si>
    <t>Manaus</t>
  </si>
  <si>
    <t>Norte</t>
  </si>
  <si>
    <t>AM</t>
  </si>
  <si>
    <t>Av. Sete de Setembro</t>
  </si>
  <si>
    <t>Macapá</t>
  </si>
  <si>
    <t>AP</t>
  </si>
  <si>
    <t>R. Cândido Mendes</t>
  </si>
  <si>
    <t>Santo Amaro</t>
  </si>
  <si>
    <t>Av. Adolfo Pinheiro</t>
  </si>
  <si>
    <t>Rio Branco</t>
  </si>
  <si>
    <t>AC</t>
  </si>
  <si>
    <t>Av. Getúlio Vargas</t>
  </si>
  <si>
    <t>Diadema</t>
  </si>
  <si>
    <t>Av. Pres. Kennedy</t>
  </si>
  <si>
    <t>Porto Velho</t>
  </si>
  <si>
    <t>RO</t>
  </si>
  <si>
    <t>Mauá Plaza Shopping</t>
  </si>
  <si>
    <t>Mauá</t>
  </si>
  <si>
    <t>Av. Antonia Rosa Fioravanti</t>
  </si>
  <si>
    <t>Shopping Metrô Santa Cruz</t>
  </si>
  <si>
    <t>R. Domingos de Morais</t>
  </si>
  <si>
    <t>Rio Mar Aracajú</t>
  </si>
  <si>
    <t>R. Delmiro Gouveia</t>
  </si>
  <si>
    <t>Canoas Shopping</t>
  </si>
  <si>
    <t>Canoas</t>
  </si>
  <si>
    <t>Av. Guilherme Schell</t>
  </si>
  <si>
    <t>North Shopping Fortaleza</t>
  </si>
  <si>
    <t>CE</t>
  </si>
  <si>
    <t>Fortaleza</t>
  </si>
  <si>
    <t>Av. Bezerra de Menezes</t>
  </si>
  <si>
    <t>São Leopondo</t>
  </si>
  <si>
    <t>São Leopoldo</t>
  </si>
  <si>
    <t>R. Independência</t>
  </si>
  <si>
    <t>Via Shopping Barreiro</t>
  </si>
  <si>
    <t>MG</t>
  </si>
  <si>
    <t>Belo Horizonte</t>
  </si>
  <si>
    <t>Av. Afonso Vaz Melo</t>
  </si>
  <si>
    <t>Maxi Shopping Jundiaí</t>
  </si>
  <si>
    <t>Jundiaí</t>
  </si>
  <si>
    <t>Av. Antonio Frederico Ozanam</t>
  </si>
  <si>
    <t>São José dos Pinhais</t>
  </si>
  <si>
    <t>PR</t>
  </si>
  <si>
    <t>R. Quinze de Novembro</t>
  </si>
  <si>
    <t>BH Centro</t>
  </si>
  <si>
    <t>R. Carijós</t>
  </si>
  <si>
    <t>Campo Grande</t>
  </si>
  <si>
    <t>R. Cel. Agostinho</t>
  </si>
  <si>
    <t>Shopping Penha</t>
  </si>
  <si>
    <t>R. Dr. João Ribeiro</t>
  </si>
  <si>
    <t>São Bernardo</t>
  </si>
  <si>
    <t>R. Mal. Deodoro</t>
  </si>
  <si>
    <t>Gonzaga</t>
  </si>
  <si>
    <t>Santos</t>
  </si>
  <si>
    <t>Av. Mal. Floriano Peixoto</t>
  </si>
  <si>
    <t>Curitiba</t>
  </si>
  <si>
    <t>R. Xv de Novembro</t>
  </si>
  <si>
    <t>Novo Shopping Center Ribeirão Preto</t>
  </si>
  <si>
    <t>Ribeirão Preto</t>
  </si>
  <si>
    <t>R. D. Pedro II</t>
  </si>
  <si>
    <t>Midway Mall</t>
  </si>
  <si>
    <t>RN</t>
  </si>
  <si>
    <t>Natal</t>
  </si>
  <si>
    <t>Av. Bernardo Vieira</t>
  </si>
  <si>
    <t>Av. Eduardo Ribeiro</t>
  </si>
  <si>
    <t>Osasco Plaza Shopping</t>
  </si>
  <si>
    <t>Osasco</t>
  </si>
  <si>
    <t>R. Ten. Avelar Pires de Azevedo</t>
  </si>
  <si>
    <t>Castanheira Shopping Center</t>
  </si>
  <si>
    <t>PA</t>
  </si>
  <si>
    <t>Belém</t>
  </si>
  <si>
    <t>Rod. Br. 316</t>
  </si>
  <si>
    <t>Santana</t>
  </si>
  <si>
    <t>R. Leite de Moraes</t>
  </si>
  <si>
    <t>São Miguel Paulista</t>
  </si>
  <si>
    <t>R. Serra Dourada</t>
  </si>
  <si>
    <t>Shopping Guararapes</t>
  </si>
  <si>
    <t>Jaboatão dos Guararapes</t>
  </si>
  <si>
    <t>Av. Gen. Barreto de Menezes</t>
  </si>
  <si>
    <t>Maceió Shopping</t>
  </si>
  <si>
    <t>AL</t>
  </si>
  <si>
    <t>Maceió</t>
  </si>
  <si>
    <t>Av. Gustavo Paiva</t>
  </si>
  <si>
    <t>R. Maj. Facundo</t>
  </si>
  <si>
    <t>Shopping Do Vale</t>
  </si>
  <si>
    <t>Cachoeirinha</t>
  </si>
  <si>
    <t>Av. Flores da Cunha</t>
  </si>
  <si>
    <t>R. Cel. Oliveira Lima</t>
  </si>
  <si>
    <t>Alcântara</t>
  </si>
  <si>
    <t>São Gonçalo</t>
  </si>
  <si>
    <t>R. Dr. Alfredo Backer</t>
  </si>
  <si>
    <t>Parque Dom Pedro Shopping</t>
  </si>
  <si>
    <t>Campinas</t>
  </si>
  <si>
    <t>Av. Guilherme Campos</t>
  </si>
  <si>
    <t>Mogi Shopping</t>
  </si>
  <si>
    <t>Mogi das Cruzes</t>
  </si>
  <si>
    <t>Av. Ver. Narciso Yague Guimaraes</t>
  </si>
  <si>
    <t xml:space="preserve">Farol Shopping </t>
  </si>
  <si>
    <t>Tubarão</t>
  </si>
  <si>
    <t>Av. Marcolino Martins Cabral</t>
  </si>
  <si>
    <t>Shopping Campo Limpo</t>
  </si>
  <si>
    <t>R. Estrada do Campo Limpo</t>
  </si>
  <si>
    <t>Shopping Piracicaba</t>
  </si>
  <si>
    <t>Piracicaba</t>
  </si>
  <si>
    <t>Av. Limeira</t>
  </si>
  <si>
    <t>Porto Alegre (Centro)</t>
  </si>
  <si>
    <t>R. Voluntários da Pátria</t>
  </si>
  <si>
    <t>Shopping Delrey</t>
  </si>
  <si>
    <t>Av. Pres. Carlos Luz</t>
  </si>
  <si>
    <t>Metrô Boulevard Tatuapé</t>
  </si>
  <si>
    <t>R. Gonçalves Crespo</t>
  </si>
  <si>
    <t>Shopping Campo Grande</t>
  </si>
  <si>
    <t>MS</t>
  </si>
  <si>
    <t>Av. Afonso Pena</t>
  </si>
  <si>
    <t>R. do Comércio</t>
  </si>
  <si>
    <t>Big Shopping</t>
  </si>
  <si>
    <t>Contagem</t>
  </si>
  <si>
    <t>Av. João C. de Oliveira</t>
  </si>
  <si>
    <t>Floripa Shopping</t>
  </si>
  <si>
    <t>Rod. Virgilio Várzea</t>
  </si>
  <si>
    <t>Nova Iguaçu</t>
  </si>
  <si>
    <t>Av. Nilo Peçanha</t>
  </si>
  <si>
    <t xml:space="preserve">Shopping Avenida Center </t>
  </si>
  <si>
    <t>Dourados</t>
  </si>
  <si>
    <t>Av. Marcelino Pires</t>
  </si>
  <si>
    <t>Ponta Grossa</t>
  </si>
  <si>
    <t>R. Coronel Cláudio</t>
  </si>
  <si>
    <t>Salvador Shopping</t>
  </si>
  <si>
    <t>BA</t>
  </si>
  <si>
    <t>Salvador</t>
  </si>
  <si>
    <t>Av. Tancredo Neves</t>
  </si>
  <si>
    <t>Shopping Recife</t>
  </si>
  <si>
    <t>Recife</t>
  </si>
  <si>
    <t>R. Padre Carapuceiro</t>
  </si>
  <si>
    <t xml:space="preserve">Balneário Shopping </t>
  </si>
  <si>
    <t>Balneário Camboriú</t>
  </si>
  <si>
    <t>Av. Sta. Catarina</t>
  </si>
  <si>
    <t>Vitória da Conquista</t>
  </si>
  <si>
    <t>R. Monsenhor Olímpio</t>
  </si>
  <si>
    <t>Maringá</t>
  </si>
  <si>
    <t>Av. São Paulo</t>
  </si>
  <si>
    <t>Shopping Vale Do Aço</t>
  </si>
  <si>
    <t>Ipatinga</t>
  </si>
  <si>
    <t>Av. Pedro Linhares</t>
  </si>
  <si>
    <t>Pátio Limeira Shopping</t>
  </si>
  <si>
    <t>Limeira</t>
  </si>
  <si>
    <t>R. Carlos Gomes</t>
  </si>
  <si>
    <t>Taubaté Shopping</t>
  </si>
  <si>
    <t>Taubaté</t>
  </si>
  <si>
    <t>Av. Charles Schnneider</t>
  </si>
  <si>
    <t>Partage Shopping Campina Grande</t>
  </si>
  <si>
    <t>Av. Pref. Severino Bezerra Cabral</t>
  </si>
  <si>
    <t>Itaim Paulista</t>
  </si>
  <si>
    <t>Av. Marechal Tito</t>
  </si>
  <si>
    <t>Av. Vinte e Quatro de Outubro</t>
  </si>
  <si>
    <t>Shopping Jequitiba</t>
  </si>
  <si>
    <t>Itabuna</t>
  </si>
  <si>
    <t>Av. Aziz Maron</t>
  </si>
  <si>
    <t>Shopping Bonsucesso</t>
  </si>
  <si>
    <t>Estr. Juscelino Kubitschek de Oliveira</t>
  </si>
  <si>
    <t>Shopping Metrô Tucuruvi</t>
  </si>
  <si>
    <t>Av. Dr. Antônio Maria Laet</t>
  </si>
  <si>
    <t>Caruaru Shopping</t>
  </si>
  <si>
    <t>Caruaru</t>
  </si>
  <si>
    <t>Av. Adjar da Silva Casé</t>
  </si>
  <si>
    <t>Shopping Vale Sul</t>
  </si>
  <si>
    <t>São José dos Campos</t>
  </si>
  <si>
    <t>Av. Andrômeda</t>
  </si>
  <si>
    <t>R. D. Aquino</t>
  </si>
  <si>
    <t>Shopping Metrô Itaquera</t>
  </si>
  <si>
    <t>Estrada da Pedreira S/N</t>
  </si>
  <si>
    <t>Partage Norte Shopping Natal</t>
  </si>
  <si>
    <t>Av. Dr. João Medeiros Filho</t>
  </si>
  <si>
    <t>Plaza Avenida Shopping</t>
  </si>
  <si>
    <t>São José do Rio Preto</t>
  </si>
  <si>
    <t>Av. Jose Munia</t>
  </si>
  <si>
    <t>Shopping União De Osasco</t>
  </si>
  <si>
    <t>Av. dos Autonomistas</t>
  </si>
  <si>
    <t>Shopping Jardim Das Américas</t>
  </si>
  <si>
    <t>Av. Nossa Senhora de Lourdes</t>
  </si>
  <si>
    <t>Bourbon Shopping</t>
  </si>
  <si>
    <t>Av. Assis Brasil</t>
  </si>
  <si>
    <t>Minas Shopping</t>
  </si>
  <si>
    <t>Av. Cristiano Machado</t>
  </si>
  <si>
    <t>Marília Shppping</t>
  </si>
  <si>
    <t>Marília</t>
  </si>
  <si>
    <t>R. Tucunarés</t>
  </si>
  <si>
    <t>Cubatão</t>
  </si>
  <si>
    <t>Av. Nove de Abril</t>
  </si>
  <si>
    <t>Silvia Bueno</t>
  </si>
  <si>
    <t>R. Silva Bueno</t>
  </si>
  <si>
    <t>Ferraz de Vasconcelos</t>
  </si>
  <si>
    <t>Av. Quinze de Novembro</t>
  </si>
  <si>
    <t>Buriti Shopping Guara</t>
  </si>
  <si>
    <t>Guaratinguetá</t>
  </si>
  <si>
    <t>Av. Juscelino Kubitschek de Oliveira</t>
  </si>
  <si>
    <t>Shopping Tambiá</t>
  </si>
  <si>
    <t>Av. Dep. Odon Bezerra</t>
  </si>
  <si>
    <t>Jacare¡</t>
  </si>
  <si>
    <t>Jacareí</t>
  </si>
  <si>
    <t>R. Dr. Lucio Malta</t>
  </si>
  <si>
    <t>Shopping Da Bahia</t>
  </si>
  <si>
    <t>Vicente de Carvalho</t>
  </si>
  <si>
    <t>Guarujá</t>
  </si>
  <si>
    <t>Av. Thiago Ferreira</t>
  </si>
  <si>
    <t>Shopping Taboão</t>
  </si>
  <si>
    <t>Taboão da Serra</t>
  </si>
  <si>
    <t>Rod. Br. 116</t>
  </si>
  <si>
    <t xml:space="preserve">Palladium Shopping </t>
  </si>
  <si>
    <t>Boulevard Shopping Belém</t>
  </si>
  <si>
    <t>Av. Visconde de Souza Franco</t>
  </si>
  <si>
    <t>Shopping Conjunto Nacional</t>
  </si>
  <si>
    <t>Conjunto Nacional Brasilia</t>
  </si>
  <si>
    <t>Montes Claros Shopping</t>
  </si>
  <si>
    <t>Montes Claros</t>
  </si>
  <si>
    <t>Av. Donato Quintino</t>
  </si>
  <si>
    <t>Shopping Via Sul</t>
  </si>
  <si>
    <t>Av. Washington Soares</t>
  </si>
  <si>
    <t>Shopping Plaza Macaé</t>
  </si>
  <si>
    <t>Macaé</t>
  </si>
  <si>
    <t>R. Aloísio da Silva Gomes</t>
  </si>
  <si>
    <t>Andorinha Hiper Center</t>
  </si>
  <si>
    <t>R. Conselheiro Moreira de Barros</t>
  </si>
  <si>
    <t>Itaboraí</t>
  </si>
  <si>
    <t>Av. Vinte e Dois de Maio</t>
  </si>
  <si>
    <t>Belém (Centro)</t>
  </si>
  <si>
    <t>R. Conselheiro João Alfredo</t>
  </si>
  <si>
    <t>Porto Velho Shopping</t>
  </si>
  <si>
    <t>Av. Rio Madeira</t>
  </si>
  <si>
    <t>Shopping Pátio Maceió</t>
  </si>
  <si>
    <t>Av. Menino Marcelo</t>
  </si>
  <si>
    <t>Lapa</t>
  </si>
  <si>
    <t>R. Doze de Outubro</t>
  </si>
  <si>
    <t>Manauara Shopping</t>
  </si>
  <si>
    <t>Av. Mario Ypiranga</t>
  </si>
  <si>
    <t>Chapecó</t>
  </si>
  <si>
    <t>R. Getulio Dorneles Vargas</t>
  </si>
  <si>
    <t>Itaquaquecetuba</t>
  </si>
  <si>
    <t>Pça. Padre João Álvares</t>
  </si>
  <si>
    <t>Pátio Central Shopping</t>
  </si>
  <si>
    <t>Patos de Minas</t>
  </si>
  <si>
    <t>Pça. Alexina Cândida Conceição</t>
  </si>
  <si>
    <t>Rio Verde</t>
  </si>
  <si>
    <t>Av. Pres. Vargas</t>
  </si>
  <si>
    <t xml:space="preserve">Prudenshopping </t>
  </si>
  <si>
    <t>Presidente Prudente</t>
  </si>
  <si>
    <t>Av. Manoel Goulart</t>
  </si>
  <si>
    <t>Bauru Shopping</t>
  </si>
  <si>
    <t>Bauru</t>
  </si>
  <si>
    <t>R. Henrique Savi</t>
  </si>
  <si>
    <t>Pelotas</t>
  </si>
  <si>
    <t>R. Andrade Neves</t>
  </si>
  <si>
    <t>Bella Città Shopping</t>
  </si>
  <si>
    <t>Passo Fundo</t>
  </si>
  <si>
    <t>R. Cel. Chicuta</t>
  </si>
  <si>
    <t>Rio Anil Shopping</t>
  </si>
  <si>
    <t>Av. São Luis Rei de França</t>
  </si>
  <si>
    <t xml:space="preserve">Shopping Sul </t>
  </si>
  <si>
    <t>Valparaíso de Goiás</t>
  </si>
  <si>
    <t>Rod. Br. 040</t>
  </si>
  <si>
    <t>Imperatriz</t>
  </si>
  <si>
    <t>Portal Shopping</t>
  </si>
  <si>
    <t>Av. Anhanguera</t>
  </si>
  <si>
    <t>Capim Dourado Shopping</t>
  </si>
  <si>
    <t>TO</t>
  </si>
  <si>
    <t>Palmas</t>
  </si>
  <si>
    <t>Av. Juscelino Kubitschesk</t>
  </si>
  <si>
    <t>Tivoli Shopping</t>
  </si>
  <si>
    <t>Santa Bárbara d´Oeste</t>
  </si>
  <si>
    <t>Av. Santa Bárbara</t>
  </si>
  <si>
    <t>Taguatinga Shopping</t>
  </si>
  <si>
    <t>R. 210 Quadra Qs 01 Lote,40</t>
  </si>
  <si>
    <t>Shopping Sete Lagos</t>
  </si>
  <si>
    <t>Sete Lagoas</t>
  </si>
  <si>
    <t>Av. Otavio Campelo Ribeiro</t>
  </si>
  <si>
    <t>Bourbon Shopping Wallig</t>
  </si>
  <si>
    <t xml:space="preserve">Center Shopping </t>
  </si>
  <si>
    <t>Uberlândia</t>
  </si>
  <si>
    <t>Av. João Naves de Ávila</t>
  </si>
  <si>
    <t>Norte Sul Plaza Shopping</t>
  </si>
  <si>
    <t>Av. Pres. Ernesto Geisel</t>
  </si>
  <si>
    <t>Raposo Shopping</t>
  </si>
  <si>
    <t>Rod. Raposo Tavares</t>
  </si>
  <si>
    <t>Shopping Via Catarina</t>
  </si>
  <si>
    <t>Palhoça</t>
  </si>
  <si>
    <t>Av. Atilio Pedro Pagani</t>
  </si>
  <si>
    <t>Itapê Shopping</t>
  </si>
  <si>
    <t>Itapetininga</t>
  </si>
  <si>
    <t>R. Dr. Coutinho</t>
  </si>
  <si>
    <t>Royal Plaza Shopping</t>
  </si>
  <si>
    <t>Santa Maria</t>
  </si>
  <si>
    <t>Av. Nossa Senhora das Dores</t>
  </si>
  <si>
    <t>Av. Paulista</t>
  </si>
  <si>
    <t>Parque Shopping Belém</t>
  </si>
  <si>
    <t>Rod. Augusto Montenegro</t>
  </si>
  <si>
    <t>Shopping Jaraguá Indaiatuba</t>
  </si>
  <si>
    <t>Indaiatuba</t>
  </si>
  <si>
    <t>R. 15 de Novembro</t>
  </si>
  <si>
    <t>R. Tiradentes</t>
  </si>
  <si>
    <t>Itajaí</t>
  </si>
  <si>
    <t>R. Hercilio Luz</t>
  </si>
  <si>
    <t>Garden Shopping Catanduva</t>
  </si>
  <si>
    <t>Catanduva</t>
  </si>
  <si>
    <t>Av. Eng. José Nelson Machado</t>
  </si>
  <si>
    <t>Mossoró</t>
  </si>
  <si>
    <t>R. Coronel Gurgel Pç. Bento Praxedes</t>
  </si>
  <si>
    <t>Bangú Shopping</t>
  </si>
  <si>
    <t>R. Fonseca</t>
  </si>
  <si>
    <t>North Shopping Barretos</t>
  </si>
  <si>
    <t>Barretos</t>
  </si>
  <si>
    <t>Via Conselheiro Antônio Prado</t>
  </si>
  <si>
    <t>Barro Preto</t>
  </si>
  <si>
    <t>Av. Augusto de Lima</t>
  </si>
  <si>
    <t>Cidade Dutra</t>
  </si>
  <si>
    <t>Av. Sen. Teotônio Vilela</t>
  </si>
  <si>
    <t>Salvador Norte Shopping</t>
  </si>
  <si>
    <t>Lauro de Freitas</t>
  </si>
  <si>
    <t>Rod. Ba 526</t>
  </si>
  <si>
    <t>Poços De Caldas Shopping</t>
  </si>
  <si>
    <t>Poços de Caldas</t>
  </si>
  <si>
    <t>Av. Silvio Monteiro dos Santos</t>
  </si>
  <si>
    <t>Andradas</t>
  </si>
  <si>
    <t>R. dos Andradas</t>
  </si>
  <si>
    <t>Shopping Sp Market</t>
  </si>
  <si>
    <t>Av. das Nações Unidas</t>
  </si>
  <si>
    <t>Av. Conde da Boa Vista</t>
  </si>
  <si>
    <t>Juíz de Fora</t>
  </si>
  <si>
    <t>Juiz de Fora</t>
  </si>
  <si>
    <t>R. Halfeld</t>
  </si>
  <si>
    <t>Mooca</t>
  </si>
  <si>
    <t>R. da Mooca</t>
  </si>
  <si>
    <t>Shopping Valinhos</t>
  </si>
  <si>
    <t>Valinhos</t>
  </si>
  <si>
    <t>R. Luiz Spiandorelli Neto</t>
  </si>
  <si>
    <t>Amazonas Shopping</t>
  </si>
  <si>
    <t>Av. Djalma Batista</t>
  </si>
  <si>
    <t>Cariacica</t>
  </si>
  <si>
    <t>ES</t>
  </si>
  <si>
    <t>Av. Expedito Garcia</t>
  </si>
  <si>
    <t>Av. Rui Barbosa</t>
  </si>
  <si>
    <t>Boqueirão</t>
  </si>
  <si>
    <t>Av. Presidente Costa e Silva</t>
  </si>
  <si>
    <t>Ceilândia</t>
  </si>
  <si>
    <t>Quadra QNM 12</t>
  </si>
  <si>
    <t>Gama</t>
  </si>
  <si>
    <t>Setor Central</t>
  </si>
  <si>
    <t>Taguatinga</t>
  </si>
  <si>
    <t>Quadra CNB</t>
  </si>
  <si>
    <t>Shopping Mestre Álvaro</t>
  </si>
  <si>
    <t>Serra</t>
  </si>
  <si>
    <t>Av. João Palácios</t>
  </si>
  <si>
    <t>Duque de Caxias</t>
  </si>
  <si>
    <t>R. José de Alvarenga</t>
  </si>
  <si>
    <t>Shopping West Plaza</t>
  </si>
  <si>
    <t>Av. Antartica</t>
  </si>
  <si>
    <t>Portal Sul Shopping</t>
  </si>
  <si>
    <t>Av. dos Ipês</t>
  </si>
  <si>
    <t>Shopping Uai - São José</t>
  </si>
  <si>
    <t>Av. Cosme Ferreira</t>
  </si>
  <si>
    <t>Parque Shopping Barueri</t>
  </si>
  <si>
    <t>Barueri</t>
  </si>
  <si>
    <t>R. Gen. de Divisão de Pedro Rodrigues da Silva</t>
  </si>
  <si>
    <t>Poá</t>
  </si>
  <si>
    <t>Av. Nove de Julho</t>
  </si>
  <si>
    <t>Pátio Divinópolis</t>
  </si>
  <si>
    <t>Divinópolis</t>
  </si>
  <si>
    <t>R. Moacir José Leite</t>
  </si>
  <si>
    <t>Shopping Bela Vista</t>
  </si>
  <si>
    <t>R. dos Rodoviários</t>
  </si>
  <si>
    <t>Londrina Norte Shopping</t>
  </si>
  <si>
    <t>Londrina</t>
  </si>
  <si>
    <t>Av. Américo Deolindo Garla</t>
  </si>
  <si>
    <t>Av. Henriqueta Mendes Guerra</t>
  </si>
  <si>
    <t>Shopping Da Ilha</t>
  </si>
  <si>
    <t>Av. Daniel de La Touche</t>
  </si>
  <si>
    <t xml:space="preserve">Shopping Hortolândia </t>
  </si>
  <si>
    <t>Hortolândia</t>
  </si>
  <si>
    <t>R. José Camilo de Camargo</t>
  </si>
  <si>
    <t>Shopping Parangaba</t>
  </si>
  <si>
    <t>R. Germano Franck</t>
  </si>
  <si>
    <t>Serra Mar Shopping</t>
  </si>
  <si>
    <t>Caraguatatuba</t>
  </si>
  <si>
    <t>Av. José Herculano</t>
  </si>
  <si>
    <t>Bragança Paulista</t>
  </si>
  <si>
    <t>R. Coronel João Leme</t>
  </si>
  <si>
    <t>Boa Vista</t>
  </si>
  <si>
    <t>RR</t>
  </si>
  <si>
    <t>Av. Sebastião Diniz</t>
  </si>
  <si>
    <t>Via Verde Shopping</t>
  </si>
  <si>
    <t>Estrada da Floresta</t>
  </si>
  <si>
    <t>Moóca Plaza Shopping</t>
  </si>
  <si>
    <t>R. Capitão Pacheco e Chaves</t>
  </si>
  <si>
    <t>Porto Alegre Center Lar</t>
  </si>
  <si>
    <t>Av. Sertório</t>
  </si>
  <si>
    <t>Venda Nova</t>
  </si>
  <si>
    <t>R. Pe. Pedro Pinto</t>
  </si>
  <si>
    <t>Itapevi</t>
  </si>
  <si>
    <t>Av. Cesário de Abreu</t>
  </si>
  <si>
    <t>Santarém</t>
  </si>
  <si>
    <t>R. Siqueira Campos</t>
  </si>
  <si>
    <t>Av. Taboão</t>
  </si>
  <si>
    <t>Av. do Taboão</t>
  </si>
  <si>
    <t xml:space="preserve">Shopping Cidade Norte </t>
  </si>
  <si>
    <t>Av. Alfredo Antônio de Oliveira</t>
  </si>
  <si>
    <t>Vila Nova Cachoeirinha</t>
  </si>
  <si>
    <t>Av. Parada Pinto</t>
  </si>
  <si>
    <t>Vila Maria</t>
  </si>
  <si>
    <t>Av. Guilherme Cotching</t>
  </si>
  <si>
    <t>Franco da Rocha</t>
  </si>
  <si>
    <t>R. Dr. Hamilton Prado</t>
  </si>
  <si>
    <t>Shopping Pátio Belém</t>
  </si>
  <si>
    <t>Travessa Padre Eutíquio</t>
  </si>
  <si>
    <t>Vila Prudente</t>
  </si>
  <si>
    <t>R. Ibitirama</t>
  </si>
  <si>
    <t>Vila Formosa</t>
  </si>
  <si>
    <t>Av. Dr. Eduardo Cotching</t>
  </si>
  <si>
    <t>Campos Goytacazes</t>
  </si>
  <si>
    <t>Campos dos Goytacazes</t>
  </si>
  <si>
    <t>Shopping Estação Bh</t>
  </si>
  <si>
    <t>Jabaquara</t>
  </si>
  <si>
    <t>Av. Jabaquara</t>
  </si>
  <si>
    <t>Luziânia Shopping</t>
  </si>
  <si>
    <t>Luziânia</t>
  </si>
  <si>
    <t>R. Ophir José Braz</t>
  </si>
  <si>
    <t>Amapá Garden Shopping</t>
  </si>
  <si>
    <t>Rod. Juscelino Kubistchek</t>
  </si>
  <si>
    <t>Caxias do Sul</t>
  </si>
  <si>
    <t>R. Sinimbu</t>
  </si>
  <si>
    <t>Bagé</t>
  </si>
  <si>
    <t>Teófilo Otoni</t>
  </si>
  <si>
    <t>R. Epaminondas Otoni</t>
  </si>
  <si>
    <t>Partage Shopping Betim</t>
  </si>
  <si>
    <t>Betim</t>
  </si>
  <si>
    <t>Rod. Br. 381 Fernão Dias</t>
  </si>
  <si>
    <t>Shopping Rio Mar Recife</t>
  </si>
  <si>
    <t>Av. República do Líbano</t>
  </si>
  <si>
    <t>Boulevard Shopping Bauru</t>
  </si>
  <si>
    <t>R. Marcondes Salgado</t>
  </si>
  <si>
    <t>Shopping Praia De Belas</t>
  </si>
  <si>
    <t>Av. Praia de Belas</t>
  </si>
  <si>
    <t>Ermelino Matarazzo</t>
  </si>
  <si>
    <t>Av. Paranaguá</t>
  </si>
  <si>
    <t>Uruguaiana</t>
  </si>
  <si>
    <t>R. General Bento Martins</t>
  </si>
  <si>
    <t>Shopping Prêmio</t>
  </si>
  <si>
    <t>Nossa Senhora do Socorro</t>
  </si>
  <si>
    <t>Av. Coletora A</t>
  </si>
  <si>
    <t>R. José Ernesto dos Santos</t>
  </si>
  <si>
    <t>Cajazeiras</t>
  </si>
  <si>
    <t>Estr. do Coqueiro Grande</t>
  </si>
  <si>
    <t>Icoaraci</t>
  </si>
  <si>
    <t>Trav. Cristovão Colombo</t>
  </si>
  <si>
    <t>Ananindeua</t>
  </si>
  <si>
    <t>Conjunto Cidade Nova 6 WE 62</t>
  </si>
  <si>
    <t>Várzea Grande</t>
  </si>
  <si>
    <t>Av. Couto Magalhaes</t>
  </si>
  <si>
    <t>Shopping Park Lagos</t>
  </si>
  <si>
    <t>Cabo Frio</t>
  </si>
  <si>
    <t>Av. Henrique Terra</t>
  </si>
  <si>
    <t>Rondonópolis</t>
  </si>
  <si>
    <t>Av. Amazonas</t>
  </si>
  <si>
    <t>Guarapuava</t>
  </si>
  <si>
    <t>R. Saldanha Marinho</t>
  </si>
  <si>
    <t>Shopping Vila Velha</t>
  </si>
  <si>
    <t>Vila Velha</t>
  </si>
  <si>
    <t>Av. Luciano das Neves</t>
  </si>
  <si>
    <t>Mangabeiras Shopping</t>
  </si>
  <si>
    <t>Av. Hilton Souto Maior</t>
  </si>
  <si>
    <t xml:space="preserve">Vitória Park Shopping </t>
  </si>
  <si>
    <t>Vitória de Santo Antão</t>
  </si>
  <si>
    <t>Av. Henrique de Holanda</t>
  </si>
  <si>
    <t>Paulo Afonso</t>
  </si>
  <si>
    <t>Av. Apolônio Sales</t>
  </si>
  <si>
    <t>Pátio Cianê Shopping</t>
  </si>
  <si>
    <t>Sorocaba</t>
  </si>
  <si>
    <t>Av. Dr. Afonso Vergueiro</t>
  </si>
  <si>
    <t>North Shopping Jóquei</t>
  </si>
  <si>
    <t>Av. Lineu Machado</t>
  </si>
  <si>
    <t>Paulista North Way Shopping</t>
  </si>
  <si>
    <t>Rod Pe-15 Km 16,5 242</t>
  </si>
  <si>
    <t xml:space="preserve">Shopping Contagem </t>
  </si>
  <si>
    <t>Av. Severino Ballesteros Rodrigues</t>
  </si>
  <si>
    <t>Boulevard Londrina Shopping</t>
  </si>
  <si>
    <t>Rua Theodoro Victorelli</t>
  </si>
  <si>
    <t>Passeio Das Águas Shopping</t>
  </si>
  <si>
    <t>Av. Perimetral Norte</t>
  </si>
  <si>
    <t>Itapicirica Shopping</t>
  </si>
  <si>
    <t>Itapecerica da Serra</t>
  </si>
  <si>
    <t xml:space="preserve">Shopping Db Nova Cidade </t>
  </si>
  <si>
    <t>Av. Margarita</t>
  </si>
  <si>
    <t>Tietê Plaza Shopping</t>
  </si>
  <si>
    <t>Av. Raimundo Pereira de Magalhães</t>
  </si>
  <si>
    <t>Nova Friburgo</t>
  </si>
  <si>
    <t>R. Comandante Ribeiro de Barros</t>
  </si>
  <si>
    <t>Castanhal</t>
  </si>
  <si>
    <t>Av. Barão do Rio Branco</t>
  </si>
  <si>
    <t>Teresina Shopping</t>
  </si>
  <si>
    <t>Av. Raul Lopes</t>
  </si>
  <si>
    <t>São Luis Shopping</t>
  </si>
  <si>
    <t>Av. Prof. Carlos Cunha</t>
  </si>
  <si>
    <t>Sumaúma Park Shopping</t>
  </si>
  <si>
    <t>Av. Noel Nutels</t>
  </si>
  <si>
    <t>Nova Iguaçú Shopping</t>
  </si>
  <si>
    <t>Av. Abílio Augusto Távora</t>
  </si>
  <si>
    <t>3T23 / 3Q23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</si>
</sst>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0000"/>
    <numFmt numFmtId="167" formatCode="_-* #,##0_-;\-* #,##0_-;_-* &quot;-&quot;??_-;_-@_-"/>
    <numFmt numFmtId="168" formatCode="_(* #,##0_);_(* \(#,##0\);_(* &quot;-&quot;??_);_(@_)"/>
    <numFmt numFmtId="169" formatCode="_-* #,##0.0_-;\-* #,##0.0_-;_-* &quot;-&quot;??_-;_-@_-"/>
    <numFmt numFmtId="170" formatCode="General_)"/>
    <numFmt numFmtId="171" formatCode="0."/>
    <numFmt numFmtId="172" formatCode="_(* #,##0.0_);_(* \(#,##0.0\);_(* &quot;-&quot;??_);_(@_)"/>
    <numFmt numFmtId="173" formatCode="_([$€-2]* #,##0.00_);_([$€-2]* \(#,##0.00\);_([$€-2]* &quot;-&quot;??_)"/>
    <numFmt numFmtId="174" formatCode="0.0"/>
    <numFmt numFmtId="175" formatCode="_(* #,##0.0_);_(* \(#,##0.0\);_(* &quot;-&quot;?_);_(@_)"/>
    <numFmt numFmtId="176" formatCode="_-* #,##0.0_-;\-* #,##0.0_-;_-* &quot;-&quot;?_-;_-@_-"/>
    <numFmt numFmtId="177" formatCode="_-* #,##0_-;\-* #,##0_-;_-* &quot;-&quot;?_-;_-@_-"/>
    <numFmt numFmtId="178" formatCode="#,##0.0"/>
    <numFmt numFmtId="179" formatCode="_(* #,##0.00_);_(* \(#,##0.00\);_(* &quot;-&quot;??_);_(@_)"/>
    <numFmt numFmtId="180" formatCode="_(* #,##0.000_);_(* \(#,##0.000\);_(* &quot;-&quot;??_);_(@_)"/>
    <numFmt numFmtId="181" formatCode="_(* #,##0.0000_);_(* \(#,##0.0000\);_(* &quot;-&quot;??_);_(@_)"/>
    <numFmt numFmtId="182" formatCode="0.000000"/>
    <numFmt numFmtId="183" formatCode="#,##0.000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10"/>
      <name val="Helv"/>
    </font>
    <font>
      <b/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Nirmala UI"/>
      <family val="2"/>
    </font>
    <font>
      <sz val="11"/>
      <color theme="0"/>
      <name val="Nirmala UI"/>
      <family val="2"/>
    </font>
    <font>
      <sz val="22"/>
      <color theme="1"/>
      <name val="Nirmala UI"/>
      <family val="2"/>
    </font>
    <font>
      <b/>
      <sz val="30"/>
      <color theme="0"/>
      <name val="Nirmala UI"/>
      <family val="2"/>
    </font>
    <font>
      <b/>
      <sz val="22"/>
      <color rgb="FFEC008C"/>
      <name val="Nirmala UI"/>
      <family val="2"/>
    </font>
    <font>
      <b/>
      <sz val="22"/>
      <color rgb="FFEC008C"/>
      <name val="Pluto Cond Medium"/>
      <family val="2"/>
    </font>
    <font>
      <sz val="11"/>
      <color theme="1"/>
      <name val="Pluto Cond Light"/>
      <family val="2"/>
    </font>
    <font>
      <b/>
      <sz val="13"/>
      <color theme="0"/>
      <name val="Pluto Cond Light"/>
      <family val="2"/>
    </font>
    <font>
      <b/>
      <sz val="13"/>
      <color theme="1" tint="0.34998626667073579"/>
      <name val="Pluto Cond Light"/>
      <family val="2"/>
    </font>
    <font>
      <b/>
      <sz val="14"/>
      <color theme="1" tint="0.34998626667073579"/>
      <name val="Pluto Cond Light"/>
      <family val="2"/>
    </font>
    <font>
      <b/>
      <sz val="13"/>
      <color rgb="FFEC008C"/>
      <name val="Pluto Cond Light"/>
      <family val="2"/>
    </font>
    <font>
      <sz val="10"/>
      <color theme="1"/>
      <name val="Pluto Cond Light"/>
      <family val="2"/>
    </font>
    <font>
      <b/>
      <sz val="10"/>
      <color theme="0"/>
      <name val="Pluto Cond Light"/>
      <family val="2"/>
    </font>
    <font>
      <i/>
      <sz val="10"/>
      <color indexed="14"/>
      <name val="Pluto Cond Light"/>
      <family val="2"/>
    </font>
    <font>
      <b/>
      <sz val="10"/>
      <color indexed="14"/>
      <name val="Pluto Cond Light"/>
      <family val="2"/>
    </font>
    <font>
      <b/>
      <sz val="10"/>
      <name val="Pluto Cond Light"/>
      <family val="2"/>
    </font>
    <font>
      <sz val="10"/>
      <color indexed="14"/>
      <name val="Pluto Cond Light"/>
      <family val="2"/>
    </font>
    <font>
      <sz val="10"/>
      <name val="Pluto Cond Light"/>
      <family val="2"/>
    </font>
    <font>
      <u val="singleAccounting"/>
      <sz val="10"/>
      <name val="Pluto Cond Light"/>
      <family val="2"/>
    </font>
    <font>
      <sz val="10"/>
      <color indexed="8"/>
      <name val="Pluto Cond Light"/>
      <family val="2"/>
    </font>
    <font>
      <b/>
      <sz val="10"/>
      <color theme="1"/>
      <name val="Pluto Cond Light"/>
      <family val="2"/>
    </font>
    <font>
      <b/>
      <i/>
      <sz val="10"/>
      <color theme="1"/>
      <name val="Pluto Cond Light"/>
      <family val="2"/>
    </font>
    <font>
      <i/>
      <sz val="10"/>
      <color indexed="8"/>
      <name val="Pluto Cond Light"/>
      <family val="2"/>
    </font>
    <font>
      <i/>
      <sz val="10"/>
      <color theme="1"/>
      <name val="Pluto Cond Light"/>
      <family val="2"/>
    </font>
    <font>
      <b/>
      <sz val="10"/>
      <color indexed="8"/>
      <name val="Pluto Cond Light"/>
      <family val="2"/>
    </font>
    <font>
      <sz val="10"/>
      <color rgb="FFFF0000"/>
      <name val="Pluto Cond Light"/>
      <family val="2"/>
    </font>
    <font>
      <i/>
      <sz val="10"/>
      <name val="Pluto Cond Light"/>
      <family val="2"/>
    </font>
    <font>
      <sz val="10"/>
      <color theme="8"/>
      <name val="Pluto Cond Light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 tint="-0.499984740745262"/>
      <name val="Pluto Cond Light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Pluto Cond Light"/>
      <family val="2"/>
    </font>
    <font>
      <sz val="8"/>
      <name val="Calibri"/>
      <family val="2"/>
      <scheme val="minor"/>
    </font>
    <font>
      <i/>
      <sz val="6"/>
      <name val="Pluto Cond Light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10"/>
      <color theme="1"/>
      <name val="Pluto Cond Light"/>
      <family val="2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3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5" fillId="0" borderId="0">
      <alignment vertical="top"/>
    </xf>
    <xf numFmtId="170" fontId="6" fillId="0" borderId="0">
      <alignment horizontal="right"/>
    </xf>
    <xf numFmtId="170" fontId="6" fillId="0" borderId="0">
      <alignment horizontal="left"/>
    </xf>
    <xf numFmtId="0" fontId="7" fillId="2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71" fontId="8" fillId="3" borderId="0">
      <alignment horizontal="left" vertical="top"/>
    </xf>
    <xf numFmtId="0" fontId="9" fillId="3" borderId="0">
      <alignment horizontal="left" wrapTex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2" fillId="3" borderId="0">
      <alignment wrapText="1"/>
    </xf>
    <xf numFmtId="0" fontId="3" fillId="0" borderId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1" borderId="0" applyNumberFormat="0" applyBorder="0" applyAlignment="0" applyProtection="0"/>
    <xf numFmtId="0" fontId="4" fillId="44" borderId="0" applyNumberFormat="0" applyBorder="0" applyAlignment="0" applyProtection="0"/>
    <xf numFmtId="0" fontId="1" fillId="17" borderId="0" applyNumberFormat="0" applyBorder="0" applyAlignment="0" applyProtection="0"/>
    <xf numFmtId="0" fontId="4" fillId="43" borderId="0" applyNumberFormat="0" applyBorder="0" applyAlignment="0" applyProtection="0"/>
    <xf numFmtId="0" fontId="1" fillId="13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0" borderId="0" applyNumberFormat="0" applyBorder="0" applyAlignment="0" applyProtection="0"/>
    <xf numFmtId="0" fontId="4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1" fillId="25" borderId="0" applyNumberFormat="0" applyBorder="0" applyAlignment="0" applyProtection="0"/>
    <xf numFmtId="0" fontId="4" fillId="41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7" fillId="14" borderId="0" applyNumberFormat="0" applyBorder="0" applyAlignment="0" applyProtection="0"/>
    <xf numFmtId="0" fontId="28" fillId="43" borderId="0" applyNumberFormat="0" applyBorder="0" applyAlignment="0" applyProtection="0"/>
    <xf numFmtId="0" fontId="27" fillId="18" borderId="0" applyNumberFormat="0" applyBorder="0" applyAlignment="0" applyProtection="0"/>
    <xf numFmtId="0" fontId="28" fillId="44" borderId="0" applyNumberFormat="0" applyBorder="0" applyAlignment="0" applyProtection="0"/>
    <xf numFmtId="0" fontId="27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26" borderId="0" applyNumberFormat="0" applyBorder="0" applyAlignment="0" applyProtection="0"/>
    <xf numFmtId="0" fontId="28" fillId="48" borderId="0" applyNumberFormat="0" applyBorder="0" applyAlignment="0" applyProtection="0"/>
    <xf numFmtId="0" fontId="27" fillId="30" borderId="0" applyNumberFormat="0" applyBorder="0" applyAlignment="0" applyProtection="0"/>
    <xf numFmtId="0" fontId="28" fillId="49" borderId="0" applyNumberFormat="0" applyBorder="0" applyAlignment="0" applyProtection="0"/>
    <xf numFmtId="0" fontId="27" fillId="34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0" fontId="17" fillId="4" borderId="0" applyNumberFormat="0" applyBorder="0" applyAlignment="0" applyProtection="0"/>
    <xf numFmtId="0" fontId="29" fillId="42" borderId="10" applyNumberFormat="0" applyAlignment="0" applyProtection="0"/>
    <xf numFmtId="0" fontId="29" fillId="42" borderId="10" applyNumberFormat="0" applyAlignment="0" applyProtection="0"/>
    <xf numFmtId="0" fontId="22" fillId="8" borderId="4" applyNumberFormat="0" applyAlignment="0" applyProtection="0"/>
    <xf numFmtId="0" fontId="24" fillId="9" borderId="7" applyNumberFormat="0" applyAlignment="0" applyProtection="0"/>
    <xf numFmtId="0" fontId="23" fillId="0" borderId="6" applyNumberFormat="0" applyFill="0" applyAlignment="0" applyProtection="0"/>
    <xf numFmtId="0" fontId="28" fillId="50" borderId="0" applyNumberFormat="0" applyBorder="0" applyAlignment="0" applyProtection="0"/>
    <xf numFmtId="0" fontId="27" fillId="11" borderId="0" applyNumberFormat="0" applyBorder="0" applyAlignment="0" applyProtection="0"/>
    <xf numFmtId="0" fontId="28" fillId="51" borderId="0" applyNumberFormat="0" applyBorder="0" applyAlignment="0" applyProtection="0"/>
    <xf numFmtId="0" fontId="27" fillId="15" borderId="0" applyNumberFormat="0" applyBorder="0" applyAlignment="0" applyProtection="0"/>
    <xf numFmtId="0" fontId="28" fillId="52" borderId="0" applyNumberFormat="0" applyBorder="0" applyAlignment="0" applyProtection="0"/>
    <xf numFmtId="0" fontId="27" fillId="19" borderId="0" applyNumberFormat="0" applyBorder="0" applyAlignment="0" applyProtection="0"/>
    <xf numFmtId="0" fontId="28" fillId="47" borderId="0" applyNumberFormat="0" applyBorder="0" applyAlignment="0" applyProtection="0"/>
    <xf numFmtId="0" fontId="27" fillId="23" borderId="0" applyNumberFormat="0" applyBorder="0" applyAlignment="0" applyProtection="0"/>
    <xf numFmtId="0" fontId="28" fillId="48" borderId="0" applyNumberFormat="0" applyBorder="0" applyAlignment="0" applyProtection="0"/>
    <xf numFmtId="0" fontId="27" fillId="27" borderId="0" applyNumberFormat="0" applyBorder="0" applyAlignment="0" applyProtection="0"/>
    <xf numFmtId="0" fontId="28" fillId="53" borderId="0" applyNumberFormat="0" applyBorder="0" applyAlignment="0" applyProtection="0"/>
    <xf numFmtId="0" fontId="27" fillId="31" borderId="0" applyNumberFormat="0" applyBorder="0" applyAlignment="0" applyProtection="0"/>
    <xf numFmtId="0" fontId="20" fillId="7" borderId="4" applyNumberFormat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18" fillId="5" borderId="0" applyNumberFormat="0" applyBorder="0" applyAlignment="0" applyProtection="0"/>
    <xf numFmtId="0" fontId="9" fillId="3" borderId="0">
      <alignment horizontal="left" wrapText="1" indent="2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" fillId="10" borderId="8" applyNumberFormat="0" applyFont="0" applyAlignment="0" applyProtection="0"/>
    <xf numFmtId="0" fontId="31" fillId="42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42" borderId="14" applyNumberFormat="0" applyAlignment="0" applyProtection="0"/>
    <xf numFmtId="0" fontId="21" fillId="8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4" fillId="0" borderId="1" applyNumberFormat="0" applyFill="0" applyAlignment="0" applyProtection="0"/>
    <xf numFmtId="0" fontId="35" fillId="0" borderId="12" applyNumberFormat="0" applyFill="0" applyAlignment="0" applyProtection="0"/>
    <xf numFmtId="0" fontId="15" fillId="0" borderId="2" applyNumberFormat="0" applyFill="0" applyAlignment="0" applyProtection="0"/>
    <xf numFmtId="0" fontId="36" fillId="0" borderId="13" applyNumberFormat="0" applyFill="0" applyAlignment="0" applyProtection="0"/>
    <xf numFmtId="0" fontId="1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2" fillId="0" borderId="9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42" borderId="10" applyNumberFormat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42" borderId="14" applyNumberForma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1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  <xf numFmtId="0" fontId="3" fillId="0" borderId="0"/>
    <xf numFmtId="43" fontId="1" fillId="0" borderId="0" applyFont="0" applyFill="0" applyBorder="0" applyAlignment="0" applyProtection="0"/>
    <xf numFmtId="0" fontId="7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39" fillId="54" borderId="0" xfId="0" applyFont="1" applyFill="1"/>
    <xf numFmtId="0" fontId="40" fillId="54" borderId="0" xfId="0" applyFont="1" applyFill="1"/>
    <xf numFmtId="0" fontId="41" fillId="54" borderId="0" xfId="0" applyFont="1" applyFill="1"/>
    <xf numFmtId="0" fontId="39" fillId="54" borderId="0" xfId="0" applyFont="1" applyFill="1" applyAlignment="1">
      <alignment vertical="center"/>
    </xf>
    <xf numFmtId="0" fontId="42" fillId="54" borderId="0" xfId="0" applyFont="1" applyFill="1" applyAlignment="1">
      <alignment vertical="center"/>
    </xf>
    <xf numFmtId="0" fontId="39" fillId="54" borderId="20" xfId="0" applyFont="1" applyFill="1" applyBorder="1"/>
    <xf numFmtId="0" fontId="39" fillId="54" borderId="22" xfId="0" applyFont="1" applyFill="1" applyBorder="1"/>
    <xf numFmtId="0" fontId="40" fillId="54" borderId="23" xfId="0" applyFont="1" applyFill="1" applyBorder="1"/>
    <xf numFmtId="0" fontId="39" fillId="54" borderId="24" xfId="0" applyFont="1" applyFill="1" applyBorder="1"/>
    <xf numFmtId="0" fontId="39" fillId="54" borderId="23" xfId="0" applyFont="1" applyFill="1" applyBorder="1"/>
    <xf numFmtId="0" fontId="41" fillId="54" borderId="23" xfId="0" applyFont="1" applyFill="1" applyBorder="1"/>
    <xf numFmtId="0" fontId="41" fillId="54" borderId="24" xfId="0" applyFont="1" applyFill="1" applyBorder="1"/>
    <xf numFmtId="0" fontId="39" fillId="54" borderId="26" xfId="0" applyFont="1" applyFill="1" applyBorder="1"/>
    <xf numFmtId="0" fontId="43" fillId="54" borderId="21" xfId="0" applyFont="1" applyFill="1" applyBorder="1"/>
    <xf numFmtId="0" fontId="43" fillId="54" borderId="0" xfId="0" applyFont="1" applyFill="1"/>
    <xf numFmtId="0" fontId="45" fillId="54" borderId="23" xfId="0" applyFont="1" applyFill="1" applyBorder="1"/>
    <xf numFmtId="0" fontId="45" fillId="54" borderId="0" xfId="0" applyFont="1" applyFill="1"/>
    <xf numFmtId="0" fontId="47" fillId="54" borderId="0" xfId="0" applyFont="1" applyFill="1" applyAlignment="1">
      <alignment vertical="center"/>
    </xf>
    <xf numFmtId="0" fontId="47" fillId="54" borderId="0" xfId="0" applyFont="1" applyFill="1" applyAlignment="1">
      <alignment horizontal="center" vertical="center"/>
    </xf>
    <xf numFmtId="0" fontId="47" fillId="54" borderId="0" xfId="0" applyFont="1" applyFill="1" applyAlignment="1">
      <alignment horizontal="left" vertical="center"/>
    </xf>
    <xf numFmtId="0" fontId="49" fillId="54" borderId="0" xfId="0" applyFont="1" applyFill="1" applyAlignment="1">
      <alignment vertical="center"/>
    </xf>
    <xf numFmtId="0" fontId="45" fillId="54" borderId="0" xfId="0" applyFont="1" applyFill="1" applyAlignment="1">
      <alignment vertical="center"/>
    </xf>
    <xf numFmtId="0" fontId="45" fillId="54" borderId="25" xfId="0" applyFont="1" applyFill="1" applyBorder="1"/>
    <xf numFmtId="0" fontId="45" fillId="54" borderId="19" xfId="0" applyFont="1" applyFill="1" applyBorder="1"/>
    <xf numFmtId="0" fontId="50" fillId="0" borderId="0" xfId="0" applyFont="1"/>
    <xf numFmtId="0" fontId="51" fillId="55" borderId="0" xfId="15" applyFont="1" applyFill="1" applyAlignment="1" applyProtection="1">
      <alignment horizontal="center"/>
      <protection hidden="1"/>
    </xf>
    <xf numFmtId="0" fontId="50" fillId="0" borderId="0" xfId="0" applyFont="1" applyAlignment="1">
      <alignment horizontal="right"/>
    </xf>
    <xf numFmtId="0" fontId="51" fillId="55" borderId="0" xfId="15" applyFont="1" applyFill="1" applyAlignment="1" applyProtection="1">
      <alignment horizontal="right"/>
      <protection hidden="1"/>
    </xf>
    <xf numFmtId="14" fontId="52" fillId="0" borderId="0" xfId="0" applyNumberFormat="1" applyFont="1" applyAlignment="1" applyProtection="1">
      <alignment horizontal="left" vertical="center"/>
      <protection hidden="1"/>
    </xf>
    <xf numFmtId="0" fontId="53" fillId="0" borderId="0" xfId="4" applyFont="1" applyAlignment="1">
      <alignment horizontal="right" vertical="center"/>
    </xf>
    <xf numFmtId="0" fontId="53" fillId="0" borderId="16" xfId="4" applyFont="1" applyBorder="1" applyAlignment="1">
      <alignment horizontal="right" vertical="center"/>
    </xf>
    <xf numFmtId="0" fontId="50" fillId="0" borderId="16" xfId="0" applyFont="1" applyBorder="1" applyAlignment="1">
      <alignment horizontal="right"/>
    </xf>
    <xf numFmtId="0" fontId="50" fillId="0" borderId="16" xfId="0" applyFont="1" applyBorder="1"/>
    <xf numFmtId="0" fontId="54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168" fontId="56" fillId="0" borderId="0" xfId="30" applyNumberFormat="1" applyFont="1" applyAlignment="1">
      <alignment horizontal="right" vertical="center"/>
    </xf>
    <xf numFmtId="165" fontId="50" fillId="0" borderId="0" xfId="2" applyNumberFormat="1" applyFont="1"/>
    <xf numFmtId="168" fontId="54" fillId="0" borderId="0" xfId="3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hidden="1"/>
    </xf>
    <xf numFmtId="168" fontId="56" fillId="0" borderId="0" xfId="3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  <protection hidden="1"/>
    </xf>
    <xf numFmtId="0" fontId="54" fillId="0" borderId="17" xfId="0" applyFont="1" applyBorder="1" applyAlignment="1" applyProtection="1">
      <alignment horizontal="left" vertical="center"/>
      <protection hidden="1"/>
    </xf>
    <xf numFmtId="168" fontId="54" fillId="0" borderId="17" xfId="3" applyNumberFormat="1" applyFont="1" applyBorder="1" applyAlignment="1">
      <alignment horizontal="right" vertical="center"/>
    </xf>
    <xf numFmtId="41" fontId="50" fillId="0" borderId="0" xfId="0" applyNumberFormat="1" applyFont="1" applyAlignment="1">
      <alignment horizontal="right"/>
    </xf>
    <xf numFmtId="0" fontId="53" fillId="0" borderId="0" xfId="0" applyFont="1" applyAlignment="1" applyProtection="1">
      <alignment horizontal="left" vertical="center"/>
      <protection hidden="1"/>
    </xf>
    <xf numFmtId="14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41" fontId="56" fillId="0" borderId="0" xfId="0" applyNumberFormat="1" applyFont="1" applyAlignment="1">
      <alignment horizontal="right" vertical="center"/>
    </xf>
    <xf numFmtId="0" fontId="56" fillId="54" borderId="0" xfId="0" applyFont="1" applyFill="1" applyAlignment="1" applyProtection="1">
      <alignment horizontal="left" vertical="center"/>
      <protection hidden="1"/>
    </xf>
    <xf numFmtId="41" fontId="54" fillId="0" borderId="0" xfId="0" applyNumberFormat="1" applyFont="1" applyAlignment="1">
      <alignment horizontal="right" vertical="center"/>
    </xf>
    <xf numFmtId="41" fontId="57" fillId="0" borderId="0" xfId="0" applyNumberFormat="1" applyFont="1" applyAlignment="1">
      <alignment horizontal="right" vertical="center"/>
    </xf>
    <xf numFmtId="168" fontId="50" fillId="0" borderId="0" xfId="0" applyNumberFormat="1" applyFont="1" applyAlignment="1">
      <alignment horizontal="right"/>
    </xf>
    <xf numFmtId="0" fontId="58" fillId="0" borderId="0" xfId="244" applyFont="1" applyAlignment="1" applyProtection="1">
      <alignment horizontal="left"/>
      <protection hidden="1"/>
    </xf>
    <xf numFmtId="0" fontId="58" fillId="0" borderId="0" xfId="244" applyFont="1"/>
    <xf numFmtId="168" fontId="59" fillId="0" borderId="17" xfId="243" applyNumberFormat="1" applyFont="1" applyBorder="1" applyProtection="1">
      <protection hidden="1"/>
    </xf>
    <xf numFmtId="168" fontId="59" fillId="0" borderId="17" xfId="192" applyNumberFormat="1" applyFont="1" applyBorder="1"/>
    <xf numFmtId="168" fontId="59" fillId="54" borderId="17" xfId="192" applyNumberFormat="1" applyFont="1" applyFill="1" applyBorder="1"/>
    <xf numFmtId="168" fontId="50" fillId="0" borderId="0" xfId="243" applyNumberFormat="1" applyFont="1"/>
    <xf numFmtId="168" fontId="50" fillId="54" borderId="0" xfId="192" applyNumberFormat="1" applyFont="1" applyFill="1"/>
    <xf numFmtId="168" fontId="50" fillId="0" borderId="0" xfId="192" applyNumberFormat="1" applyFont="1"/>
    <xf numFmtId="0" fontId="50" fillId="0" borderId="0" xfId="15" quotePrefix="1" applyFont="1" applyAlignment="1" applyProtection="1">
      <alignment horizontal="left" indent="1"/>
      <protection hidden="1"/>
    </xf>
    <xf numFmtId="168" fontId="50" fillId="54" borderId="0" xfId="192" quotePrefix="1" applyNumberFormat="1" applyFont="1" applyFill="1"/>
    <xf numFmtId="168" fontId="50" fillId="0" borderId="0" xfId="192" quotePrefix="1" applyNumberFormat="1" applyFont="1"/>
    <xf numFmtId="0" fontId="59" fillId="0" borderId="0" xfId="0" applyFont="1"/>
    <xf numFmtId="0" fontId="50" fillId="0" borderId="0" xfId="15" quotePrefix="1" applyFont="1" applyProtection="1">
      <protection hidden="1"/>
    </xf>
    <xf numFmtId="168" fontId="59" fillId="0" borderId="0" xfId="243" applyNumberFormat="1" applyFont="1"/>
    <xf numFmtId="168" fontId="59" fillId="0" borderId="0" xfId="192" applyNumberFormat="1" applyFont="1"/>
    <xf numFmtId="168" fontId="50" fillId="0" borderId="0" xfId="243" quotePrefix="1" applyNumberFormat="1" applyFont="1" applyProtection="1">
      <protection hidden="1"/>
    </xf>
    <xf numFmtId="168" fontId="50" fillId="0" borderId="0" xfId="243" quotePrefix="1" applyNumberFormat="1" applyFont="1"/>
    <xf numFmtId="168" fontId="50" fillId="54" borderId="0" xfId="192" quotePrefix="1" applyNumberFormat="1" applyFont="1" applyFill="1" applyAlignment="1">
      <alignment horizontal="right"/>
    </xf>
    <xf numFmtId="0" fontId="50" fillId="0" borderId="0" xfId="0" applyFont="1" applyProtection="1">
      <protection hidden="1"/>
    </xf>
    <xf numFmtId="165" fontId="60" fillId="0" borderId="0" xfId="242" applyNumberFormat="1" applyFont="1"/>
    <xf numFmtId="0" fontId="61" fillId="0" borderId="0" xfId="244" applyFont="1"/>
    <xf numFmtId="0" fontId="58" fillId="54" borderId="0" xfId="244" applyFont="1" applyFill="1"/>
    <xf numFmtId="0" fontId="50" fillId="54" borderId="0" xfId="0" applyFont="1" applyFill="1"/>
    <xf numFmtId="0" fontId="50" fillId="0" borderId="18" xfId="0" applyFont="1" applyBorder="1"/>
    <xf numFmtId="168" fontId="59" fillId="0" borderId="18" xfId="243" applyNumberFormat="1" applyFont="1" applyBorder="1" applyProtection="1">
      <protection hidden="1"/>
    </xf>
    <xf numFmtId="168" fontId="59" fillId="54" borderId="18" xfId="192" applyNumberFormat="1" applyFont="1" applyFill="1" applyBorder="1"/>
    <xf numFmtId="168" fontId="50" fillId="0" borderId="0" xfId="243" applyNumberFormat="1" applyFont="1" applyProtection="1">
      <protection hidden="1"/>
    </xf>
    <xf numFmtId="168" fontId="59" fillId="0" borderId="16" xfId="243" applyNumberFormat="1" applyFont="1" applyBorder="1" applyProtection="1">
      <protection hidden="1"/>
    </xf>
    <xf numFmtId="168" fontId="59" fillId="54" borderId="16" xfId="192" applyNumberFormat="1" applyFont="1" applyFill="1" applyBorder="1"/>
    <xf numFmtId="9" fontId="62" fillId="54" borderId="0" xfId="2" quotePrefix="1" applyFont="1" applyFill="1"/>
    <xf numFmtId="0" fontId="50" fillId="0" borderId="17" xfId="0" applyFont="1" applyBorder="1"/>
    <xf numFmtId="0" fontId="50" fillId="0" borderId="16" xfId="15" quotePrefix="1" applyFont="1" applyBorder="1" applyAlignment="1" applyProtection="1">
      <alignment horizontal="left" indent="1"/>
      <protection hidden="1"/>
    </xf>
    <xf numFmtId="165" fontId="50" fillId="54" borderId="16" xfId="2" applyNumberFormat="1" applyFont="1" applyFill="1" applyBorder="1"/>
    <xf numFmtId="165" fontId="50" fillId="54" borderId="0" xfId="2" quotePrefix="1" applyNumberFormat="1" applyFont="1" applyFill="1"/>
    <xf numFmtId="165" fontId="51" fillId="55" borderId="0" xfId="242" applyNumberFormat="1" applyFont="1" applyFill="1" applyAlignment="1" applyProtection="1">
      <alignment horizontal="center"/>
      <protection hidden="1"/>
    </xf>
    <xf numFmtId="165" fontId="51" fillId="55" borderId="0" xfId="242" applyNumberFormat="1" applyFont="1" applyFill="1" applyAlignment="1" applyProtection="1">
      <alignment horizontal="right"/>
      <protection hidden="1"/>
    </xf>
    <xf numFmtId="0" fontId="53" fillId="0" borderId="0" xfId="0" applyFont="1" applyAlignment="1" applyProtection="1">
      <alignment vertical="center"/>
      <protection hidden="1"/>
    </xf>
    <xf numFmtId="0" fontId="56" fillId="0" borderId="0" xfId="0" applyFont="1" applyAlignment="1">
      <alignment horizontal="right"/>
    </xf>
    <xf numFmtId="0" fontId="54" fillId="0" borderId="16" xfId="246" applyNumberFormat="1" applyFont="1" applyBorder="1" applyProtection="1">
      <protection hidden="1"/>
    </xf>
    <xf numFmtId="0" fontId="56" fillId="0" borderId="16" xfId="0" applyFont="1" applyBorder="1" applyAlignment="1">
      <alignment horizontal="right"/>
    </xf>
    <xf numFmtId="0" fontId="56" fillId="0" borderId="0" xfId="0" applyFont="1" applyProtection="1">
      <protection hidden="1"/>
    </xf>
    <xf numFmtId="172" fontId="56" fillId="0" borderId="0" xfId="5" applyNumberFormat="1" applyFont="1" applyAlignment="1">
      <alignment horizontal="right" vertical="center"/>
    </xf>
    <xf numFmtId="0" fontId="56" fillId="0" borderId="0" xfId="15" applyFont="1" applyProtection="1">
      <protection hidden="1"/>
    </xf>
    <xf numFmtId="0" fontId="54" fillId="0" borderId="17" xfId="15" applyFont="1" applyBorder="1" applyAlignment="1" applyProtection="1">
      <alignment vertical="center"/>
      <protection hidden="1"/>
    </xf>
    <xf numFmtId="172" fontId="54" fillId="0" borderId="17" xfId="5" applyNumberFormat="1" applyFont="1" applyBorder="1" applyAlignment="1">
      <alignment horizontal="right" vertical="center"/>
    </xf>
    <xf numFmtId="172" fontId="63" fillId="0" borderId="17" xfId="5" applyNumberFormat="1" applyFont="1" applyBorder="1" applyAlignment="1">
      <alignment horizontal="right" vertical="center"/>
    </xf>
    <xf numFmtId="0" fontId="54" fillId="0" borderId="0" xfId="15" applyFont="1" applyAlignment="1" applyProtection="1">
      <alignment vertical="center"/>
      <protection hidden="1"/>
    </xf>
    <xf numFmtId="0" fontId="56" fillId="0" borderId="0" xfId="15" applyFont="1" applyAlignment="1" applyProtection="1">
      <alignment vertical="center"/>
      <protection hidden="1"/>
    </xf>
    <xf numFmtId="172" fontId="58" fillId="0" borderId="0" xfId="5" applyNumberFormat="1" applyFont="1" applyAlignment="1">
      <alignment horizontal="right" vertical="center"/>
    </xf>
    <xf numFmtId="176" fontId="50" fillId="0" borderId="0" xfId="0" applyNumberFormat="1" applyFont="1" applyAlignment="1">
      <alignment horizontal="right"/>
    </xf>
    <xf numFmtId="174" fontId="64" fillId="0" borderId="0" xfId="0" applyNumberFormat="1" applyFont="1" applyAlignment="1">
      <alignment horizontal="right"/>
    </xf>
    <xf numFmtId="176" fontId="56" fillId="0" borderId="0" xfId="0" applyNumberFormat="1" applyFont="1" applyAlignment="1">
      <alignment horizontal="right"/>
    </xf>
    <xf numFmtId="176" fontId="64" fillId="0" borderId="0" xfId="0" applyNumberFormat="1" applyFont="1" applyAlignment="1">
      <alignment horizontal="right"/>
    </xf>
    <xf numFmtId="0" fontId="50" fillId="0" borderId="0" xfId="0" applyFont="1" applyAlignment="1">
      <alignment vertical="center" wrapText="1"/>
    </xf>
    <xf numFmtId="2" fontId="50" fillId="0" borderId="0" xfId="2" applyNumberFormat="1" applyFont="1" applyAlignment="1">
      <alignment horizontal="right"/>
    </xf>
    <xf numFmtId="172" fontId="50" fillId="0" borderId="0" xfId="0" applyNumberFormat="1" applyFont="1" applyAlignment="1">
      <alignment horizontal="right"/>
    </xf>
    <xf numFmtId="43" fontId="50" fillId="0" borderId="0" xfId="0" applyNumberFormat="1" applyFont="1" applyAlignment="1">
      <alignment horizontal="right"/>
    </xf>
    <xf numFmtId="1" fontId="51" fillId="55" borderId="0" xfId="1" applyNumberFormat="1" applyFont="1" applyFill="1" applyAlignment="1" applyProtection="1">
      <alignment horizontal="right"/>
      <protection hidden="1"/>
    </xf>
    <xf numFmtId="167" fontId="51" fillId="55" borderId="0" xfId="1" applyNumberFormat="1" applyFont="1" applyFill="1" applyAlignment="1" applyProtection="1">
      <alignment horizontal="right"/>
      <protection hidden="1"/>
    </xf>
    <xf numFmtId="174" fontId="50" fillId="0" borderId="0" xfId="0" applyNumberFormat="1" applyFont="1"/>
    <xf numFmtId="166" fontId="63" fillId="0" borderId="0" xfId="4" applyNumberFormat="1" applyFont="1" applyAlignment="1" applyProtection="1">
      <alignment wrapText="1"/>
      <protection hidden="1"/>
    </xf>
    <xf numFmtId="41" fontId="58" fillId="0" borderId="0" xfId="4" applyNumberFormat="1" applyFont="1" applyAlignment="1">
      <alignment horizontal="right"/>
    </xf>
    <xf numFmtId="41" fontId="63" fillId="0" borderId="0" xfId="4" applyNumberFormat="1" applyFont="1" applyAlignment="1">
      <alignment horizontal="right"/>
    </xf>
    <xf numFmtId="165" fontId="50" fillId="0" borderId="0" xfId="2" applyNumberFormat="1" applyFont="1" applyAlignment="1">
      <alignment horizontal="right"/>
    </xf>
    <xf numFmtId="165" fontId="59" fillId="0" borderId="0" xfId="2" applyNumberFormat="1" applyFont="1" applyAlignment="1">
      <alignment horizontal="right"/>
    </xf>
    <xf numFmtId="0" fontId="59" fillId="0" borderId="0" xfId="0" applyFont="1" applyProtection="1">
      <protection hidden="1"/>
    </xf>
    <xf numFmtId="169" fontId="50" fillId="0" borderId="0" xfId="1" applyNumberFormat="1" applyFont="1" applyAlignment="1">
      <alignment horizontal="right"/>
    </xf>
    <xf numFmtId="169" fontId="59" fillId="0" borderId="0" xfId="1" applyNumberFormat="1" applyFont="1" applyAlignment="1">
      <alignment horizontal="right"/>
    </xf>
    <xf numFmtId="169" fontId="50" fillId="54" borderId="0" xfId="1" applyNumberFormat="1" applyFont="1" applyFill="1" applyAlignment="1">
      <alignment horizontal="right"/>
    </xf>
    <xf numFmtId="167" fontId="50" fillId="0" borderId="0" xfId="1" applyNumberFormat="1" applyFont="1" applyAlignment="1">
      <alignment horizontal="right"/>
    </xf>
    <xf numFmtId="167" fontId="59" fillId="0" borderId="0" xfId="1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167" fontId="56" fillId="0" borderId="0" xfId="1" applyNumberFormat="1" applyFont="1" applyAlignment="1">
      <alignment horizontal="right"/>
    </xf>
    <xf numFmtId="167" fontId="54" fillId="0" borderId="0" xfId="1" applyNumberFormat="1" applyFont="1" applyAlignment="1">
      <alignment horizontal="right"/>
    </xf>
    <xf numFmtId="167" fontId="59" fillId="0" borderId="0" xfId="0" applyNumberFormat="1" applyFont="1" applyAlignment="1">
      <alignment horizontal="right"/>
    </xf>
    <xf numFmtId="165" fontId="59" fillId="0" borderId="0" xfId="0" applyNumberFormat="1" applyFont="1" applyAlignment="1">
      <alignment horizontal="right"/>
    </xf>
    <xf numFmtId="165" fontId="50" fillId="0" borderId="0" xfId="0" applyNumberFormat="1" applyFont="1"/>
    <xf numFmtId="43" fontId="50" fillId="0" borderId="0" xfId="1" applyFont="1" applyAlignment="1">
      <alignment horizontal="right"/>
    </xf>
    <xf numFmtId="43" fontId="59" fillId="0" borderId="0" xfId="0" applyNumberFormat="1" applyFont="1" applyAlignment="1">
      <alignment horizontal="right"/>
    </xf>
    <xf numFmtId="43" fontId="59" fillId="0" borderId="0" xfId="1" applyFont="1" applyAlignment="1">
      <alignment horizontal="right"/>
    </xf>
    <xf numFmtId="177" fontId="50" fillId="54" borderId="0" xfId="0" applyNumberFormat="1" applyFont="1" applyFill="1" applyAlignment="1">
      <alignment horizontal="right"/>
    </xf>
    <xf numFmtId="169" fontId="59" fillId="0" borderId="0" xfId="0" applyNumberFormat="1" applyFont="1" applyAlignment="1">
      <alignment horizontal="right"/>
    </xf>
    <xf numFmtId="0" fontId="53" fillId="0" borderId="0" xfId="0" applyFont="1" applyAlignment="1">
      <alignment vertical="center"/>
    </xf>
    <xf numFmtId="0" fontId="53" fillId="0" borderId="0" xfId="1" applyNumberFormat="1" applyFont="1" applyAlignment="1">
      <alignment horizontal="right" vertical="center"/>
    </xf>
    <xf numFmtId="168" fontId="53" fillId="0" borderId="0" xfId="1" applyNumberFormat="1" applyFont="1" applyAlignment="1">
      <alignment horizontal="right" vertical="center"/>
    </xf>
    <xf numFmtId="17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172" fontId="56" fillId="0" borderId="0" xfId="1" applyNumberFormat="1" applyFont="1" applyAlignment="1">
      <alignment horizontal="right" vertical="center"/>
    </xf>
    <xf numFmtId="0" fontId="56" fillId="0" borderId="0" xfId="0" applyFont="1" applyAlignment="1" applyProtection="1">
      <alignment horizontal="left" vertical="center" indent="1"/>
      <protection hidden="1"/>
    </xf>
    <xf numFmtId="0" fontId="56" fillId="0" borderId="0" xfId="0" applyFont="1" applyAlignment="1">
      <alignment horizontal="left" vertical="center" indent="1"/>
    </xf>
    <xf numFmtId="175" fontId="54" fillId="0" borderId="17" xfId="0" applyNumberFormat="1" applyFont="1" applyBorder="1" applyAlignment="1" applyProtection="1">
      <alignment horizontal="left" vertical="center"/>
      <protection hidden="1"/>
    </xf>
    <xf numFmtId="175" fontId="54" fillId="54" borderId="17" xfId="0" applyNumberFormat="1" applyFont="1" applyFill="1" applyBorder="1" applyAlignment="1" applyProtection="1">
      <alignment horizontal="left" vertical="center"/>
      <protection hidden="1"/>
    </xf>
    <xf numFmtId="175" fontId="54" fillId="0" borderId="17" xfId="0" applyNumberFormat="1" applyFont="1" applyBorder="1" applyAlignment="1">
      <alignment horizontal="right" vertical="center"/>
    </xf>
    <xf numFmtId="174" fontId="54" fillId="0" borderId="17" xfId="0" applyNumberFormat="1" applyFont="1" applyBorder="1" applyAlignment="1">
      <alignment horizontal="right" vertical="center"/>
    </xf>
    <xf numFmtId="175" fontId="54" fillId="0" borderId="0" xfId="0" applyNumberFormat="1" applyFont="1" applyAlignment="1" applyProtection="1">
      <alignment horizontal="left" vertical="center"/>
      <protection hidden="1"/>
    </xf>
    <xf numFmtId="175" fontId="54" fillId="54" borderId="0" xfId="0" applyNumberFormat="1" applyFont="1" applyFill="1" applyAlignment="1" applyProtection="1">
      <alignment horizontal="left" vertical="center"/>
      <protection hidden="1"/>
    </xf>
    <xf numFmtId="175" fontId="54" fillId="0" borderId="0" xfId="0" applyNumberFormat="1" applyFont="1" applyAlignment="1">
      <alignment horizontal="right" vertical="center"/>
    </xf>
    <xf numFmtId="174" fontId="54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6" fillId="0" borderId="0" xfId="0" applyFont="1"/>
    <xf numFmtId="165" fontId="56" fillId="0" borderId="0" xfId="2" applyNumberFormat="1" applyFont="1" applyAlignment="1">
      <alignment horizontal="right" vertical="center"/>
    </xf>
    <xf numFmtId="165" fontId="65" fillId="54" borderId="0" xfId="242" applyNumberFormat="1" applyFont="1" applyFill="1" applyAlignment="1" applyProtection="1">
      <alignment horizontal="left"/>
      <protection hidden="1"/>
    </xf>
    <xf numFmtId="175" fontId="65" fillId="0" borderId="0" xfId="0" applyNumberFormat="1" applyFont="1" applyAlignment="1" applyProtection="1">
      <alignment horizontal="left" vertical="center"/>
      <protection hidden="1"/>
    </xf>
    <xf numFmtId="4" fontId="50" fillId="0" borderId="0" xfId="0" applyNumberFormat="1" applyFont="1"/>
    <xf numFmtId="172" fontId="56" fillId="54" borderId="0" xfId="1" applyNumberFormat="1" applyFont="1" applyFill="1" applyAlignment="1">
      <alignment horizontal="right" vertical="center"/>
    </xf>
    <xf numFmtId="0" fontId="52" fillId="0" borderId="0" xfId="0" applyFont="1" applyAlignment="1" applyProtection="1">
      <alignment vertical="center"/>
      <protection hidden="1"/>
    </xf>
    <xf numFmtId="0" fontId="53" fillId="0" borderId="0" xfId="154" applyNumberFormat="1" applyFont="1" applyAlignment="1">
      <alignment horizontal="right" vertical="center"/>
    </xf>
    <xf numFmtId="3" fontId="59" fillId="0" borderId="17" xfId="1" applyNumberFormat="1" applyFont="1" applyBorder="1" applyAlignment="1">
      <alignment horizontal="right"/>
    </xf>
    <xf numFmtId="166" fontId="58" fillId="0" borderId="0" xfId="4" applyNumberFormat="1" applyFont="1" applyAlignment="1" applyProtection="1">
      <alignment horizontal="left" vertical="center"/>
      <protection hidden="1"/>
    </xf>
    <xf numFmtId="168" fontId="50" fillId="0" borderId="0" xfId="0" applyNumberFormat="1" applyFont="1" applyAlignment="1">
      <alignment horizontal="right" indent="3"/>
    </xf>
    <xf numFmtId="168" fontId="50" fillId="0" borderId="0" xfId="192" applyNumberFormat="1" applyFont="1" applyAlignment="1">
      <alignment horizontal="right"/>
    </xf>
    <xf numFmtId="168" fontId="50" fillId="0" borderId="0" xfId="192" applyNumberFormat="1" applyFont="1" applyAlignment="1">
      <alignment horizontal="right" indent="3"/>
    </xf>
    <xf numFmtId="166" fontId="58" fillId="0" borderId="0" xfId="4" applyNumberFormat="1" applyFont="1" applyAlignment="1" applyProtection="1">
      <alignment vertical="center"/>
      <protection hidden="1"/>
    </xf>
    <xf numFmtId="41" fontId="66" fillId="54" borderId="0" xfId="156" applyNumberFormat="1" applyFont="1" applyFill="1" applyAlignment="1">
      <alignment horizontal="right" vertical="center"/>
    </xf>
    <xf numFmtId="41" fontId="66" fillId="0" borderId="0" xfId="156" applyNumberFormat="1" applyFont="1" applyAlignment="1">
      <alignment horizontal="right" vertical="center"/>
    </xf>
    <xf numFmtId="168" fontId="59" fillId="0" borderId="17" xfId="1" applyNumberFormat="1" applyFont="1" applyBorder="1" applyAlignment="1">
      <alignment horizontal="right"/>
    </xf>
    <xf numFmtId="41" fontId="56" fillId="54" borderId="0" xfId="156" applyNumberFormat="1" applyFont="1" applyFill="1" applyAlignment="1">
      <alignment horizontal="right" vertical="center"/>
    </xf>
    <xf numFmtId="41" fontId="59" fillId="0" borderId="17" xfId="1" applyNumberFormat="1" applyFont="1" applyBorder="1" applyAlignment="1">
      <alignment horizontal="right"/>
    </xf>
    <xf numFmtId="41" fontId="66" fillId="54" borderId="0" xfId="156" applyNumberFormat="1" applyFont="1" applyFill="1" applyAlignment="1" applyProtection="1">
      <alignment horizontal="right" vertical="center"/>
      <protection hidden="1"/>
    </xf>
    <xf numFmtId="166" fontId="58" fillId="54" borderId="0" xfId="4" applyNumberFormat="1" applyFont="1" applyFill="1" applyAlignment="1" applyProtection="1">
      <alignment vertical="center"/>
      <protection hidden="1"/>
    </xf>
    <xf numFmtId="168" fontId="50" fillId="54" borderId="0" xfId="192" applyNumberFormat="1" applyFont="1" applyFill="1" applyAlignment="1">
      <alignment horizontal="right"/>
    </xf>
    <xf numFmtId="0" fontId="54" fillId="0" borderId="18" xfId="0" applyFont="1" applyBorder="1" applyProtection="1">
      <protection hidden="1"/>
    </xf>
    <xf numFmtId="3" fontId="59" fillId="0" borderId="18" xfId="1" applyNumberFormat="1" applyFont="1" applyBorder="1" applyAlignment="1">
      <alignment horizontal="right"/>
    </xf>
    <xf numFmtId="0" fontId="54" fillId="0" borderId="16" xfId="0" applyFont="1" applyBorder="1" applyProtection="1">
      <protection hidden="1"/>
    </xf>
    <xf numFmtId="3" fontId="59" fillId="0" borderId="16" xfId="1" applyNumberFormat="1" applyFont="1" applyBorder="1" applyAlignment="1">
      <alignment horizontal="right"/>
    </xf>
    <xf numFmtId="165" fontId="50" fillId="54" borderId="0" xfId="2" applyNumberFormat="1" applyFont="1" applyFill="1" applyAlignment="1">
      <alignment horizontal="right"/>
    </xf>
    <xf numFmtId="168" fontId="59" fillId="0" borderId="16" xfId="192" applyNumberFormat="1" applyFont="1" applyBorder="1"/>
    <xf numFmtId="168" fontId="59" fillId="54" borderId="17" xfId="192" applyNumberFormat="1" applyFont="1" applyFill="1" applyBorder="1" applyAlignment="1">
      <alignment horizontal="right"/>
    </xf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167" fontId="50" fillId="0" borderId="0" xfId="1" applyNumberFormat="1" applyFont="1"/>
    <xf numFmtId="178" fontId="50" fillId="0" borderId="0" xfId="0" applyNumberFormat="1" applyFont="1"/>
    <xf numFmtId="178" fontId="56" fillId="0" borderId="0" xfId="1" applyNumberFormat="1" applyFont="1" applyAlignment="1">
      <alignment horizontal="right" vertical="center"/>
    </xf>
    <xf numFmtId="1" fontId="50" fillId="0" borderId="0" xfId="0" applyNumberFormat="1" applyFont="1"/>
    <xf numFmtId="179" fontId="50" fillId="0" borderId="0" xfId="0" applyNumberFormat="1" applyFont="1" applyAlignment="1">
      <alignment horizontal="right"/>
    </xf>
    <xf numFmtId="180" fontId="50" fillId="0" borderId="0" xfId="0" applyNumberFormat="1" applyFont="1" applyAlignment="1">
      <alignment horizontal="right"/>
    </xf>
    <xf numFmtId="181" fontId="50" fillId="0" borderId="0" xfId="0" applyNumberFormat="1" applyFont="1" applyAlignment="1">
      <alignment horizontal="right"/>
    </xf>
    <xf numFmtId="41" fontId="50" fillId="0" borderId="0" xfId="0" applyNumberFormat="1" applyFont="1"/>
    <xf numFmtId="172" fontId="50" fillId="0" borderId="0" xfId="0" applyNumberFormat="1" applyFont="1"/>
    <xf numFmtId="9" fontId="50" fillId="0" borderId="0" xfId="2" quotePrefix="1" applyFont="1"/>
    <xf numFmtId="182" fontId="50" fillId="0" borderId="0" xfId="0" applyNumberFormat="1" applyFont="1"/>
    <xf numFmtId="1" fontId="50" fillId="0" borderId="0" xfId="2" applyNumberFormat="1" applyFont="1"/>
    <xf numFmtId="9" fontId="59" fillId="0" borderId="16" xfId="2" applyFont="1" applyBorder="1"/>
    <xf numFmtId="165" fontId="59" fillId="0" borderId="16" xfId="2" applyNumberFormat="1" applyFont="1" applyBorder="1"/>
    <xf numFmtId="0" fontId="67" fillId="0" borderId="0" xfId="0" applyFont="1" applyAlignment="1">
      <alignment horizontal="center"/>
    </xf>
    <xf numFmtId="1" fontId="51" fillId="55" borderId="0" xfId="1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43" fontId="50" fillId="0" borderId="0" xfId="1" applyFont="1" applyAlignment="1">
      <alignment horizontal="center" vertical="center"/>
    </xf>
    <xf numFmtId="172" fontId="50" fillId="0" borderId="0" xfId="1" applyNumberFormat="1" applyFont="1" applyBorder="1" applyAlignment="1">
      <alignment horizontal="right"/>
    </xf>
    <xf numFmtId="167" fontId="59" fillId="0" borderId="0" xfId="1" applyNumberFormat="1" applyFont="1"/>
    <xf numFmtId="167" fontId="59" fillId="0" borderId="0" xfId="0" applyNumberFormat="1" applyFont="1"/>
    <xf numFmtId="172" fontId="50" fillId="54" borderId="0" xfId="1" applyNumberFormat="1" applyFont="1" applyFill="1" applyBorder="1" applyAlignment="1">
      <alignment horizontal="right"/>
    </xf>
    <xf numFmtId="168" fontId="59" fillId="0" borderId="17" xfId="0" applyNumberFormat="1" applyFont="1" applyBorder="1" applyAlignment="1">
      <alignment horizontal="right"/>
    </xf>
    <xf numFmtId="168" fontId="50" fillId="0" borderId="0" xfId="0" applyNumberFormat="1" applyFont="1"/>
    <xf numFmtId="0" fontId="69" fillId="55" borderId="0" xfId="15" applyFont="1" applyFill="1" applyAlignment="1" applyProtection="1">
      <alignment horizontal="center"/>
      <protection hidden="1"/>
    </xf>
    <xf numFmtId="183" fontId="71" fillId="0" borderId="0" xfId="250" applyNumberFormat="1" applyFont="1" applyAlignment="1">
      <alignment horizontal="right" vertical="center" wrapText="1"/>
    </xf>
    <xf numFmtId="172" fontId="50" fillId="0" borderId="0" xfId="1" applyNumberFormat="1" applyFont="1" applyFill="1" applyBorder="1" applyAlignment="1">
      <alignment horizontal="right"/>
    </xf>
    <xf numFmtId="0" fontId="50" fillId="0" borderId="0" xfId="0" quotePrefix="1" applyFont="1"/>
    <xf numFmtId="169" fontId="50" fillId="0" borderId="0" xfId="0" applyNumberFormat="1" applyFont="1"/>
    <xf numFmtId="168" fontId="59" fillId="0" borderId="17" xfId="1" applyNumberFormat="1" applyFont="1" applyFill="1" applyBorder="1" applyAlignment="1">
      <alignment horizontal="right"/>
    </xf>
    <xf numFmtId="168" fontId="50" fillId="0" borderId="0" xfId="192" applyNumberFormat="1" applyFont="1" applyFill="1" applyAlignment="1">
      <alignment horizontal="right"/>
    </xf>
    <xf numFmtId="2" fontId="50" fillId="0" borderId="0" xfId="0" applyNumberFormat="1" applyFont="1"/>
    <xf numFmtId="167" fontId="50" fillId="0" borderId="0" xfId="1" applyNumberFormat="1" applyFont="1" applyFill="1" applyAlignment="1">
      <alignment horizontal="right"/>
    </xf>
    <xf numFmtId="168" fontId="56" fillId="54" borderId="0" xfId="156" applyNumberFormat="1" applyFont="1" applyFill="1" applyAlignment="1">
      <alignment horizontal="right" vertical="center"/>
    </xf>
    <xf numFmtId="168" fontId="56" fillId="0" borderId="0" xfId="156" applyNumberFormat="1" applyFont="1" applyFill="1" applyAlignment="1">
      <alignment horizontal="right" vertical="center"/>
    </xf>
    <xf numFmtId="165" fontId="50" fillId="0" borderId="0" xfId="2" applyNumberFormat="1" applyFont="1" applyFill="1" applyAlignment="1">
      <alignment horizontal="right"/>
    </xf>
    <xf numFmtId="172" fontId="56" fillId="0" borderId="0" xfId="1" applyNumberFormat="1" applyFont="1" applyFill="1" applyAlignment="1">
      <alignment horizontal="right" vertical="center"/>
    </xf>
    <xf numFmtId="3" fontId="50" fillId="0" borderId="0" xfId="0" applyNumberFormat="1" applyFont="1" applyAlignment="1">
      <alignment horizontal="right"/>
    </xf>
    <xf numFmtId="165" fontId="59" fillId="54" borderId="0" xfId="2" applyNumberFormat="1" applyFont="1" applyFill="1" applyAlignment="1">
      <alignment horizontal="right"/>
    </xf>
    <xf numFmtId="177" fontId="64" fillId="54" borderId="0" xfId="0" applyNumberFormat="1" applyFont="1" applyFill="1" applyAlignment="1">
      <alignment horizontal="right"/>
    </xf>
    <xf numFmtId="0" fontId="64" fillId="0" borderId="0" xfId="0" applyFont="1" applyAlignment="1">
      <alignment horizontal="right"/>
    </xf>
    <xf numFmtId="172" fontId="56" fillId="0" borderId="0" xfId="5" applyNumberFormat="1" applyFont="1" applyFill="1" applyAlignment="1">
      <alignment horizontal="right" vertical="center"/>
    </xf>
    <xf numFmtId="172" fontId="63" fillId="0" borderId="17" xfId="5" applyNumberFormat="1" applyFont="1" applyFill="1" applyBorder="1" applyAlignment="1">
      <alignment horizontal="right" vertical="center"/>
    </xf>
    <xf numFmtId="169" fontId="59" fillId="0" borderId="0" xfId="1" applyNumberFormat="1" applyFont="1" applyFill="1" applyAlignment="1">
      <alignment horizontal="right"/>
    </xf>
    <xf numFmtId="169" fontId="50" fillId="0" borderId="0" xfId="1" applyNumberFormat="1" applyFont="1" applyFill="1" applyAlignment="1">
      <alignment horizontal="right"/>
    </xf>
    <xf numFmtId="168" fontId="64" fillId="0" borderId="0" xfId="0" applyNumberFormat="1" applyFont="1" applyAlignment="1">
      <alignment horizontal="right"/>
    </xf>
    <xf numFmtId="165" fontId="59" fillId="0" borderId="0" xfId="2" applyNumberFormat="1" applyFont="1" applyFill="1" applyAlignment="1">
      <alignment horizontal="right"/>
    </xf>
    <xf numFmtId="166" fontId="72" fillId="0" borderId="0" xfId="4" applyNumberFormat="1" applyFont="1" applyAlignment="1" applyProtection="1">
      <alignment horizontal="left" vertical="center"/>
      <protection hidden="1"/>
    </xf>
    <xf numFmtId="168" fontId="62" fillId="54" borderId="0" xfId="2" quotePrefix="1" applyNumberFormat="1" applyFont="1" applyFill="1"/>
    <xf numFmtId="168" fontId="50" fillId="54" borderId="0" xfId="2" quotePrefix="1" applyNumberFormat="1" applyFont="1" applyFill="1"/>
    <xf numFmtId="167" fontId="59" fillId="0" borderId="0" xfId="1" applyNumberFormat="1" applyFont="1" applyFill="1" applyAlignment="1">
      <alignment horizontal="right"/>
    </xf>
    <xf numFmtId="168" fontId="59" fillId="0" borderId="17" xfId="192" applyNumberFormat="1" applyFont="1" applyFill="1" applyBorder="1"/>
    <xf numFmtId="168" fontId="59" fillId="0" borderId="0" xfId="192" applyNumberFormat="1" applyFont="1" applyFill="1"/>
    <xf numFmtId="0" fontId="51" fillId="55" borderId="0" xfId="15" applyFont="1" applyFill="1" applyAlignment="1" applyProtection="1">
      <alignment horizontal="right" wrapText="1"/>
      <protection hidden="1"/>
    </xf>
    <xf numFmtId="1" fontId="51" fillId="55" borderId="0" xfId="1" applyNumberFormat="1" applyFont="1" applyFill="1" applyAlignment="1" applyProtection="1">
      <alignment horizontal="right" wrapText="1"/>
      <protection hidden="1"/>
    </xf>
    <xf numFmtId="0" fontId="51" fillId="55" borderId="0" xfId="15" applyFont="1" applyFill="1" applyAlignment="1" applyProtection="1">
      <alignment horizontal="center" wrapText="1"/>
      <protection hidden="1"/>
    </xf>
    <xf numFmtId="168" fontId="50" fillId="0" borderId="0" xfId="192" applyNumberFormat="1" applyFont="1" applyFill="1"/>
    <xf numFmtId="168" fontId="50" fillId="0" borderId="0" xfId="192" quotePrefix="1" applyNumberFormat="1" applyFont="1" applyFill="1"/>
    <xf numFmtId="168" fontId="56" fillId="0" borderId="0" xfId="30" applyNumberFormat="1" applyFont="1" applyFill="1" applyAlignment="1">
      <alignment horizontal="right" vertical="center"/>
    </xf>
    <xf numFmtId="43" fontId="50" fillId="0" borderId="0" xfId="1" applyFont="1" applyFill="1" applyAlignment="1">
      <alignment horizontal="right"/>
    </xf>
    <xf numFmtId="175" fontId="74" fillId="0" borderId="0" xfId="0" applyNumberFormat="1" applyFont="1" applyAlignment="1" applyProtection="1">
      <alignment horizontal="left" vertical="center"/>
      <protection hidden="1"/>
    </xf>
    <xf numFmtId="3" fontId="76" fillId="0" borderId="0" xfId="0" applyNumberFormat="1" applyFont="1" applyAlignment="1">
      <alignment horizontal="right" vertical="center"/>
    </xf>
    <xf numFmtId="3" fontId="50" fillId="0" borderId="0" xfId="0" applyNumberFormat="1" applyFont="1"/>
    <xf numFmtId="3" fontId="75" fillId="0" borderId="0" xfId="0" applyNumberFormat="1" applyFont="1" applyAlignment="1">
      <alignment horizontal="right" vertical="center"/>
    </xf>
    <xf numFmtId="3" fontId="77" fillId="0" borderId="0" xfId="0" applyNumberFormat="1" applyFont="1" applyAlignment="1">
      <alignment horizontal="right" vertical="center"/>
    </xf>
    <xf numFmtId="3" fontId="78" fillId="0" borderId="0" xfId="0" applyNumberFormat="1" applyFont="1" applyAlignment="1">
      <alignment horizontal="right" vertical="center"/>
    </xf>
    <xf numFmtId="0" fontId="77" fillId="0" borderId="0" xfId="0" applyFont="1" applyAlignment="1">
      <alignment horizontal="right" vertical="center"/>
    </xf>
    <xf numFmtId="168" fontId="78" fillId="0" borderId="0" xfId="0" applyNumberFormat="1" applyFont="1" applyAlignment="1">
      <alignment horizontal="right" vertical="center"/>
    </xf>
    <xf numFmtId="3" fontId="79" fillId="0" borderId="0" xfId="0" applyNumberFormat="1" applyFont="1" applyAlignment="1">
      <alignment horizontal="right" vertical="center"/>
    </xf>
    <xf numFmtId="3" fontId="80" fillId="0" borderId="0" xfId="0" applyNumberFormat="1" applyFont="1" applyAlignment="1">
      <alignment horizontal="right" vertical="center"/>
    </xf>
    <xf numFmtId="168" fontId="81" fillId="0" borderId="0" xfId="243" quotePrefix="1" applyNumberFormat="1" applyFont="1" applyProtection="1">
      <protection hidden="1"/>
    </xf>
    <xf numFmtId="168" fontId="59" fillId="0" borderId="16" xfId="192" applyNumberFormat="1" applyFont="1" applyFill="1" applyBorder="1"/>
    <xf numFmtId="168" fontId="50" fillId="0" borderId="0" xfId="192" quotePrefix="1" applyNumberFormat="1" applyFont="1" applyFill="1" applyAlignment="1">
      <alignment horizontal="right"/>
    </xf>
    <xf numFmtId="14" fontId="50" fillId="0" borderId="0" xfId="0" applyNumberFormat="1" applyFont="1" applyAlignment="1">
      <alignment horizontal="center" vertical="center"/>
    </xf>
    <xf numFmtId="9" fontId="50" fillId="0" borderId="0" xfId="2" quotePrefix="1" applyFont="1" applyFill="1"/>
    <xf numFmtId="168" fontId="59" fillId="0" borderId="18" xfId="192" applyNumberFormat="1" applyFont="1" applyFill="1" applyBorder="1"/>
    <xf numFmtId="168" fontId="62" fillId="0" borderId="0" xfId="2" quotePrefix="1" applyNumberFormat="1" applyFont="1" applyFill="1"/>
    <xf numFmtId="165" fontId="50" fillId="0" borderId="16" xfId="2" applyNumberFormat="1" applyFont="1" applyFill="1" applyBorder="1"/>
    <xf numFmtId="168" fontId="50" fillId="0" borderId="0" xfId="2" quotePrefix="1" applyNumberFormat="1" applyFont="1" applyFill="1"/>
    <xf numFmtId="168" fontId="59" fillId="0" borderId="17" xfId="192" applyNumberFormat="1" applyFont="1" applyFill="1" applyBorder="1" applyAlignment="1">
      <alignment horizontal="right"/>
    </xf>
    <xf numFmtId="172" fontId="58" fillId="0" borderId="0" xfId="5" applyNumberFormat="1" applyFont="1" applyFill="1" applyAlignment="1">
      <alignment horizontal="right" vertical="center"/>
    </xf>
    <xf numFmtId="172" fontId="54" fillId="0" borderId="17" xfId="5" applyNumberFormat="1" applyFont="1" applyFill="1" applyBorder="1" applyAlignment="1">
      <alignment horizontal="right" vertical="center"/>
    </xf>
    <xf numFmtId="41" fontId="66" fillId="0" borderId="0" xfId="156" applyNumberFormat="1" applyFont="1" applyFill="1" applyAlignment="1">
      <alignment horizontal="right" vertical="center"/>
    </xf>
    <xf numFmtId="3" fontId="59" fillId="0" borderId="18" xfId="1" applyNumberFormat="1" applyFont="1" applyFill="1" applyBorder="1" applyAlignment="1">
      <alignment horizontal="right"/>
    </xf>
    <xf numFmtId="3" fontId="59" fillId="0" borderId="16" xfId="1" applyNumberFormat="1" applyFont="1" applyFill="1" applyBorder="1" applyAlignment="1">
      <alignment horizontal="right"/>
    </xf>
    <xf numFmtId="3" fontId="59" fillId="0" borderId="17" xfId="1" applyNumberFormat="1" applyFont="1" applyFill="1" applyBorder="1" applyAlignment="1">
      <alignment horizontal="right"/>
    </xf>
    <xf numFmtId="165" fontId="50" fillId="0" borderId="0" xfId="0" applyNumberFormat="1" applyFont="1" applyAlignment="1">
      <alignment horizontal="right"/>
    </xf>
    <xf numFmtId="0" fontId="44" fillId="54" borderId="21" xfId="0" applyFont="1" applyFill="1" applyBorder="1" applyAlignment="1">
      <alignment horizontal="left" indent="1"/>
    </xf>
    <xf numFmtId="0" fontId="44" fillId="54" borderId="0" xfId="0" applyFont="1" applyFill="1" applyAlignment="1">
      <alignment horizontal="left" indent="1"/>
    </xf>
    <xf numFmtId="0" fontId="44" fillId="54" borderId="19" xfId="0" applyFont="1" applyFill="1" applyBorder="1" applyAlignment="1">
      <alignment horizontal="left" vertical="center" indent="1"/>
    </xf>
    <xf numFmtId="0" fontId="47" fillId="54" borderId="19" xfId="0" applyFont="1" applyFill="1" applyBorder="1" applyAlignment="1">
      <alignment horizontal="left" vertical="center"/>
    </xf>
    <xf numFmtId="0" fontId="46" fillId="56" borderId="0" xfId="0" applyFont="1" applyFill="1" applyAlignment="1">
      <alignment horizontal="center" vertical="center" wrapText="1"/>
    </xf>
    <xf numFmtId="0" fontId="48" fillId="54" borderId="16" xfId="0" applyFont="1" applyFill="1" applyBorder="1" applyAlignment="1">
      <alignment horizontal="center"/>
    </xf>
  </cellXfs>
  <cellStyles count="304">
    <cellStyle name="20% - Accent1" xfId="66" xr:uid="{00000000-0005-0000-0000-000000000000}"/>
    <cellStyle name="20% - Accent2" xfId="65" xr:uid="{00000000-0005-0000-0000-000001000000}"/>
    <cellStyle name="20% - Accent3" xfId="64" xr:uid="{00000000-0005-0000-0000-000002000000}"/>
    <cellStyle name="20% - Accent4" xfId="43" xr:uid="{00000000-0005-0000-0000-000003000000}"/>
    <cellStyle name="20% - Accent5" xfId="42" xr:uid="{00000000-0005-0000-0000-000004000000}"/>
    <cellStyle name="20% - Accent6" xfId="40" xr:uid="{00000000-0005-0000-0000-000005000000}"/>
    <cellStyle name="20% - Ênfase1 2" xfId="62" xr:uid="{00000000-0005-0000-0000-000006000000}"/>
    <cellStyle name="20% - Ênfase1 3" xfId="199" xr:uid="{00000000-0005-0000-0000-000007000000}"/>
    <cellStyle name="20% - Ênfase1 4" xfId="63" xr:uid="{00000000-0005-0000-0000-000008000000}"/>
    <cellStyle name="20% - Ênfase2 2" xfId="61" xr:uid="{00000000-0005-0000-0000-000009000000}"/>
    <cellStyle name="20% - Ênfase2 3" xfId="200" xr:uid="{00000000-0005-0000-0000-00000A000000}"/>
    <cellStyle name="20% - Ênfase2 4" xfId="39" xr:uid="{00000000-0005-0000-0000-00000B000000}"/>
    <cellStyle name="20% - Ênfase3 2" xfId="59" xr:uid="{00000000-0005-0000-0000-00000C000000}"/>
    <cellStyle name="20% - Ênfase3 3" xfId="201" xr:uid="{00000000-0005-0000-0000-00000D000000}"/>
    <cellStyle name="20% - Ênfase3 4" xfId="60" xr:uid="{00000000-0005-0000-0000-00000E000000}"/>
    <cellStyle name="20% - Ênfase4 2" xfId="44" xr:uid="{00000000-0005-0000-0000-00000F000000}"/>
    <cellStyle name="20% - Ênfase4 3" xfId="202" xr:uid="{00000000-0005-0000-0000-000010000000}"/>
    <cellStyle name="20% - Ênfase4 4" xfId="58" xr:uid="{00000000-0005-0000-0000-000011000000}"/>
    <cellStyle name="20% - Ênfase5 2" xfId="56" xr:uid="{00000000-0005-0000-0000-000012000000}"/>
    <cellStyle name="20% - Ênfase5 3" xfId="203" xr:uid="{00000000-0005-0000-0000-000013000000}"/>
    <cellStyle name="20% - Ênfase5 4" xfId="57" xr:uid="{00000000-0005-0000-0000-000014000000}"/>
    <cellStyle name="20% - Ênfase6 2" xfId="55" xr:uid="{00000000-0005-0000-0000-000015000000}"/>
    <cellStyle name="20% - Ênfase6 3" xfId="204" xr:uid="{00000000-0005-0000-0000-000016000000}"/>
    <cellStyle name="20% - Ênfase6 4" xfId="37" xr:uid="{00000000-0005-0000-0000-000017000000}"/>
    <cellStyle name="40% - Accent1" xfId="41" xr:uid="{00000000-0005-0000-0000-000018000000}"/>
    <cellStyle name="40% - Accent2" xfId="54" xr:uid="{00000000-0005-0000-0000-000019000000}"/>
    <cellStyle name="40% - Accent3" xfId="53" xr:uid="{00000000-0005-0000-0000-00001A000000}"/>
    <cellStyle name="40% - Accent4" xfId="67" xr:uid="{00000000-0005-0000-0000-00001B000000}"/>
    <cellStyle name="40% - Accent5" xfId="52" xr:uid="{00000000-0005-0000-0000-00001C000000}"/>
    <cellStyle name="40% - Accent6" xfId="38" xr:uid="{00000000-0005-0000-0000-00001D000000}"/>
    <cellStyle name="40% - Ênfase1 2" xfId="50" xr:uid="{00000000-0005-0000-0000-00001E000000}"/>
    <cellStyle name="40% - Ênfase1 3" xfId="205" xr:uid="{00000000-0005-0000-0000-00001F000000}"/>
    <cellStyle name="40% - Ênfase1 4" xfId="51" xr:uid="{00000000-0005-0000-0000-000020000000}"/>
    <cellStyle name="40% - Ênfase2 2" xfId="48" xr:uid="{00000000-0005-0000-0000-000021000000}"/>
    <cellStyle name="40% - Ênfase2 3" xfId="206" xr:uid="{00000000-0005-0000-0000-000022000000}"/>
    <cellStyle name="40% - Ênfase2 4" xfId="49" xr:uid="{00000000-0005-0000-0000-000023000000}"/>
    <cellStyle name="40% - Ênfase3 2" xfId="46" xr:uid="{00000000-0005-0000-0000-000024000000}"/>
    <cellStyle name="40% - Ênfase3 3" xfId="207" xr:uid="{00000000-0005-0000-0000-000025000000}"/>
    <cellStyle name="40% - Ênfase3 4" xfId="47" xr:uid="{00000000-0005-0000-0000-000026000000}"/>
    <cellStyle name="40% - Ênfase4 2" xfId="68" xr:uid="{00000000-0005-0000-0000-000027000000}"/>
    <cellStyle name="40% - Ênfase4 3" xfId="208" xr:uid="{00000000-0005-0000-0000-000028000000}"/>
    <cellStyle name="40% - Ênfase4 4" xfId="45" xr:uid="{00000000-0005-0000-0000-000029000000}"/>
    <cellStyle name="40% - Ênfase5 2" xfId="70" xr:uid="{00000000-0005-0000-0000-00002A000000}"/>
    <cellStyle name="40% - Ênfase5 3" xfId="209" xr:uid="{00000000-0005-0000-0000-00002B000000}"/>
    <cellStyle name="40% - Ênfase5 4" xfId="69" xr:uid="{00000000-0005-0000-0000-00002C000000}"/>
    <cellStyle name="40% - Ênfase6 2" xfId="72" xr:uid="{00000000-0005-0000-0000-00002D000000}"/>
    <cellStyle name="40% - Ênfase6 3" xfId="210" xr:uid="{00000000-0005-0000-0000-00002E000000}"/>
    <cellStyle name="40% - Ênfase6 4" xfId="71" xr:uid="{00000000-0005-0000-0000-00002F000000}"/>
    <cellStyle name="60% - Accent1" xfId="73" xr:uid="{00000000-0005-0000-0000-000030000000}"/>
    <cellStyle name="60% - Accent2" xfId="74" xr:uid="{00000000-0005-0000-0000-000031000000}"/>
    <cellStyle name="60% - Accent3" xfId="75" xr:uid="{00000000-0005-0000-0000-000032000000}"/>
    <cellStyle name="60% - Accent4" xfId="76" xr:uid="{00000000-0005-0000-0000-000033000000}"/>
    <cellStyle name="60% - Accent5" xfId="77" xr:uid="{00000000-0005-0000-0000-000034000000}"/>
    <cellStyle name="60% - Accent6" xfId="78" xr:uid="{00000000-0005-0000-0000-000035000000}"/>
    <cellStyle name="60% - Ênfase1 2" xfId="80" xr:uid="{00000000-0005-0000-0000-000036000000}"/>
    <cellStyle name="60% - Ênfase1 3" xfId="211" xr:uid="{00000000-0005-0000-0000-000037000000}"/>
    <cellStyle name="60% - Ênfase1 4" xfId="79" xr:uid="{00000000-0005-0000-0000-000038000000}"/>
    <cellStyle name="60% - Ênfase2 2" xfId="82" xr:uid="{00000000-0005-0000-0000-000039000000}"/>
    <cellStyle name="60% - Ênfase2 3" xfId="212" xr:uid="{00000000-0005-0000-0000-00003A000000}"/>
    <cellStyle name="60% - Ênfase2 4" xfId="81" xr:uid="{00000000-0005-0000-0000-00003B000000}"/>
    <cellStyle name="60% - Ênfase3 2" xfId="84" xr:uid="{00000000-0005-0000-0000-00003C000000}"/>
    <cellStyle name="60% - Ênfase3 3" xfId="213" xr:uid="{00000000-0005-0000-0000-00003D000000}"/>
    <cellStyle name="60% - Ênfase3 4" xfId="83" xr:uid="{00000000-0005-0000-0000-00003E000000}"/>
    <cellStyle name="60% - Ênfase4 2" xfId="86" xr:uid="{00000000-0005-0000-0000-00003F000000}"/>
    <cellStyle name="60% - Ênfase4 3" xfId="214" xr:uid="{00000000-0005-0000-0000-000040000000}"/>
    <cellStyle name="60% - Ênfase4 4" xfId="85" xr:uid="{00000000-0005-0000-0000-000041000000}"/>
    <cellStyle name="60% - Ênfase5 2" xfId="88" xr:uid="{00000000-0005-0000-0000-000042000000}"/>
    <cellStyle name="60% - Ênfase5 3" xfId="215" xr:uid="{00000000-0005-0000-0000-000043000000}"/>
    <cellStyle name="60% - Ênfase5 4" xfId="87" xr:uid="{00000000-0005-0000-0000-000044000000}"/>
    <cellStyle name="60% - Ênfase6 2" xfId="90" xr:uid="{00000000-0005-0000-0000-000045000000}"/>
    <cellStyle name="60% - Ênfase6 3" xfId="216" xr:uid="{00000000-0005-0000-0000-000046000000}"/>
    <cellStyle name="60% - Ênfase6 4" xfId="89" xr:uid="{00000000-0005-0000-0000-000047000000}"/>
    <cellStyle name="Accent1" xfId="91" xr:uid="{00000000-0005-0000-0000-000048000000}"/>
    <cellStyle name="Accent2" xfId="92" xr:uid="{00000000-0005-0000-0000-000049000000}"/>
    <cellStyle name="Accent3" xfId="93" xr:uid="{00000000-0005-0000-0000-00004A000000}"/>
    <cellStyle name="Accent4" xfId="94" xr:uid="{00000000-0005-0000-0000-00004B000000}"/>
    <cellStyle name="Accent5" xfId="95" xr:uid="{00000000-0005-0000-0000-00004C000000}"/>
    <cellStyle name="Accent6" xfId="96" xr:uid="{00000000-0005-0000-0000-00004D000000}"/>
    <cellStyle name="Bad" xfId="97" xr:uid="{00000000-0005-0000-0000-00004E000000}"/>
    <cellStyle name="Bol-Data" xfId="8" xr:uid="{00000000-0005-0000-0000-00004F000000}"/>
    <cellStyle name="bolet" xfId="9" xr:uid="{00000000-0005-0000-0000-000050000000}"/>
    <cellStyle name="Boletim" xfId="10" xr:uid="{00000000-0005-0000-0000-000051000000}"/>
    <cellStyle name="Bom 2" xfId="98" xr:uid="{00000000-0005-0000-0000-000052000000}"/>
    <cellStyle name="Calculation" xfId="99" xr:uid="{00000000-0005-0000-0000-000053000000}"/>
    <cellStyle name="Cálculo 2" xfId="101" xr:uid="{00000000-0005-0000-0000-000054000000}"/>
    <cellStyle name="Cálculo 3" xfId="217" xr:uid="{00000000-0005-0000-0000-000055000000}"/>
    <cellStyle name="Cálculo 4" xfId="100" xr:uid="{00000000-0005-0000-0000-000056000000}"/>
    <cellStyle name="Célula de Verificação 2" xfId="102" xr:uid="{00000000-0005-0000-0000-000057000000}"/>
    <cellStyle name="Célula Vinculada 2" xfId="103" xr:uid="{00000000-0005-0000-0000-000058000000}"/>
    <cellStyle name="Dan" xfId="11" xr:uid="{00000000-0005-0000-0000-00005B000000}"/>
    <cellStyle name="Ênfase1 2" xfId="105" xr:uid="{00000000-0005-0000-0000-00005C000000}"/>
    <cellStyle name="Ênfase1 3" xfId="218" xr:uid="{00000000-0005-0000-0000-00005D000000}"/>
    <cellStyle name="Ênfase1 4" xfId="104" xr:uid="{00000000-0005-0000-0000-00005E000000}"/>
    <cellStyle name="Ênfase2 2" xfId="107" xr:uid="{00000000-0005-0000-0000-00005F000000}"/>
    <cellStyle name="Ênfase2 3" xfId="219" xr:uid="{00000000-0005-0000-0000-000060000000}"/>
    <cellStyle name="Ênfase2 4" xfId="106" xr:uid="{00000000-0005-0000-0000-000061000000}"/>
    <cellStyle name="Ênfase3 2" xfId="109" xr:uid="{00000000-0005-0000-0000-000062000000}"/>
    <cellStyle name="Ênfase3 3" xfId="220" xr:uid="{00000000-0005-0000-0000-000063000000}"/>
    <cellStyle name="Ênfase3 4" xfId="108" xr:uid="{00000000-0005-0000-0000-000064000000}"/>
    <cellStyle name="Ênfase4 2" xfId="111" xr:uid="{00000000-0005-0000-0000-000065000000}"/>
    <cellStyle name="Ênfase4 3" xfId="221" xr:uid="{00000000-0005-0000-0000-000066000000}"/>
    <cellStyle name="Ênfase4 4" xfId="110" xr:uid="{00000000-0005-0000-0000-000067000000}"/>
    <cellStyle name="Ênfase5 2" xfId="113" xr:uid="{00000000-0005-0000-0000-000068000000}"/>
    <cellStyle name="Ênfase5 3" xfId="222" xr:uid="{00000000-0005-0000-0000-000069000000}"/>
    <cellStyle name="Ênfase5 4" xfId="112" xr:uid="{00000000-0005-0000-0000-00006A000000}"/>
    <cellStyle name="Ênfase6 2" xfId="115" xr:uid="{00000000-0005-0000-0000-00006B000000}"/>
    <cellStyle name="Ênfase6 3" xfId="223" xr:uid="{00000000-0005-0000-0000-00006C000000}"/>
    <cellStyle name="Ênfase6 4" xfId="114" xr:uid="{00000000-0005-0000-0000-00006D000000}"/>
    <cellStyle name="Entrada 2" xfId="116" xr:uid="{00000000-0005-0000-0000-00006E000000}"/>
    <cellStyle name="Euro" xfId="12" xr:uid="{00000000-0005-0000-0000-00006F000000}"/>
    <cellStyle name="Euro 2" xfId="117" xr:uid="{00000000-0005-0000-0000-000070000000}"/>
    <cellStyle name="Euro 2 2" xfId="118" xr:uid="{00000000-0005-0000-0000-000071000000}"/>
    <cellStyle name="Euro 3" xfId="119" xr:uid="{00000000-0005-0000-0000-000072000000}"/>
    <cellStyle name="Explanatory Text" xfId="120" xr:uid="{00000000-0005-0000-0000-000073000000}"/>
    <cellStyle name="Heading" xfId="13" xr:uid="{00000000-0005-0000-0000-000074000000}"/>
    <cellStyle name="Heading 1" xfId="121" xr:uid="{00000000-0005-0000-0000-000075000000}"/>
    <cellStyle name="Heading 2" xfId="122" xr:uid="{00000000-0005-0000-0000-000076000000}"/>
    <cellStyle name="Heading 3" xfId="123" xr:uid="{00000000-0005-0000-0000-000077000000}"/>
    <cellStyle name="Heading 4" xfId="124" xr:uid="{00000000-0005-0000-0000-000078000000}"/>
    <cellStyle name="Incorreto 2" xfId="126" xr:uid="{00000000-0005-0000-0000-000079000000}"/>
    <cellStyle name="Incorreto 3" xfId="224" xr:uid="{00000000-0005-0000-0000-00007A000000}"/>
    <cellStyle name="Incorreto 4" xfId="125" xr:uid="{00000000-0005-0000-0000-00007B000000}"/>
    <cellStyle name="Indent" xfId="14" xr:uid="{00000000-0005-0000-0000-00007C000000}"/>
    <cellStyle name="Indent 2" xfId="127" xr:uid="{00000000-0005-0000-0000-00007D000000}"/>
    <cellStyle name="Moeda 2" xfId="129" xr:uid="{00000000-0005-0000-0000-00007E000000}"/>
    <cellStyle name="Moeda 3" xfId="225" xr:uid="{00000000-0005-0000-0000-00007F000000}"/>
    <cellStyle name="Moeda 4" xfId="128" xr:uid="{00000000-0005-0000-0000-000080000000}"/>
    <cellStyle name="Neutra 2" xfId="130" xr:uid="{00000000-0005-0000-0000-000081000000}"/>
    <cellStyle name="Normal" xfId="0" builtinId="0"/>
    <cellStyle name="Normal 12" xfId="245" xr:uid="{00000000-0005-0000-0000-000083000000}"/>
    <cellStyle name="Normal 2" xfId="15" xr:uid="{00000000-0005-0000-0000-000084000000}"/>
    <cellStyle name="Normal 2 2" xfId="36" xr:uid="{00000000-0005-0000-0000-000085000000}"/>
    <cellStyle name="Normal 2 3" xfId="197" xr:uid="{00000000-0005-0000-0000-000086000000}"/>
    <cellStyle name="Normal 3" xfId="16" xr:uid="{00000000-0005-0000-0000-000087000000}"/>
    <cellStyle name="Normal 3 2" xfId="131" xr:uid="{00000000-0005-0000-0000-000088000000}"/>
    <cellStyle name="Normal 4" xfId="132" xr:uid="{00000000-0005-0000-0000-000089000000}"/>
    <cellStyle name="Normal 4 2" xfId="17" xr:uid="{00000000-0005-0000-0000-00008A000000}"/>
    <cellStyle name="Normal 4 3" xfId="133" xr:uid="{00000000-0005-0000-0000-00008B000000}"/>
    <cellStyle name="Normal 5" xfId="195" xr:uid="{00000000-0005-0000-0000-00008C000000}"/>
    <cellStyle name="Normal 6" xfId="239" xr:uid="{00000000-0005-0000-0000-00008D000000}"/>
    <cellStyle name="Normal 7" xfId="241" xr:uid="{00000000-0005-0000-0000-00008E000000}"/>
    <cellStyle name="Normal 8" xfId="247" xr:uid="{BA7B41C5-1B3B-41C6-B9C6-D5C7F9F064A3}"/>
    <cellStyle name="Normal 8 2" xfId="301" xr:uid="{66CB5290-4760-4043-9913-71A0FAD75ECA}"/>
    <cellStyle name="Normal 9" xfId="250" xr:uid="{1B87B281-FC9D-45BB-A177-A78DEB1B2D9E}"/>
    <cellStyle name="Normal_DRE Marisa 3T07 MZ" xfId="4" xr:uid="{00000000-0005-0000-0000-00008F000000}"/>
    <cellStyle name="Normal_Pasta1" xfId="244" xr:uid="{00000000-0005-0000-0000-000090000000}"/>
    <cellStyle name="Nota 2" xfId="134" xr:uid="{00000000-0005-0000-0000-000091000000}"/>
    <cellStyle name="Output" xfId="135" xr:uid="{00000000-0005-0000-0000-000092000000}"/>
    <cellStyle name="Percent 2" xfId="18" xr:uid="{00000000-0005-0000-0000-000093000000}"/>
    <cellStyle name="Porcentagem" xfId="2" builtinId="5"/>
    <cellStyle name="Porcentagem 10" xfId="226" xr:uid="{00000000-0005-0000-0000-000096000000}"/>
    <cellStyle name="Porcentagem 11" xfId="238" xr:uid="{00000000-0005-0000-0000-000097000000}"/>
    <cellStyle name="Porcentagem 12" xfId="242" xr:uid="{00000000-0005-0000-0000-000098000000}"/>
    <cellStyle name="Porcentagem 2" xfId="19" xr:uid="{00000000-0005-0000-0000-000099000000}"/>
    <cellStyle name="Porcentagem 2 2" xfId="136" xr:uid="{00000000-0005-0000-0000-00009A000000}"/>
    <cellStyle name="Porcentagem 2 2 2" xfId="240" xr:uid="{00000000-0005-0000-0000-00009B000000}"/>
    <cellStyle name="Porcentagem 2 3" xfId="198" xr:uid="{00000000-0005-0000-0000-00009C000000}"/>
    <cellStyle name="Porcentagem 3" xfId="20" xr:uid="{00000000-0005-0000-0000-00009D000000}"/>
    <cellStyle name="Porcentagem 3 2" xfId="137" xr:uid="{00000000-0005-0000-0000-00009E000000}"/>
    <cellStyle name="Porcentagem 3 3" xfId="138" xr:uid="{00000000-0005-0000-0000-00009F000000}"/>
    <cellStyle name="Porcentagem 4" xfId="7" xr:uid="{00000000-0005-0000-0000-0000A0000000}"/>
    <cellStyle name="Porcentagem 4 2" xfId="139" xr:uid="{00000000-0005-0000-0000-0000A1000000}"/>
    <cellStyle name="Porcentagem 5" xfId="21" xr:uid="{00000000-0005-0000-0000-0000A2000000}"/>
    <cellStyle name="Porcentagem 5 2" xfId="140" xr:uid="{00000000-0005-0000-0000-0000A3000000}"/>
    <cellStyle name="Porcentagem 6" xfId="22" xr:uid="{00000000-0005-0000-0000-0000A4000000}"/>
    <cellStyle name="Porcentagem 6 2" xfId="141" xr:uid="{00000000-0005-0000-0000-0000A5000000}"/>
    <cellStyle name="Porcentagem 7" xfId="23" xr:uid="{00000000-0005-0000-0000-0000A6000000}"/>
    <cellStyle name="Porcentagem 7 2" xfId="142" xr:uid="{00000000-0005-0000-0000-0000A7000000}"/>
    <cellStyle name="Porcentagem 8" xfId="143" xr:uid="{00000000-0005-0000-0000-0000A8000000}"/>
    <cellStyle name="Porcentagem 9" xfId="144" xr:uid="{00000000-0005-0000-0000-0000A9000000}"/>
    <cellStyle name="Saída 2" xfId="146" xr:uid="{00000000-0005-0000-0000-0000AA000000}"/>
    <cellStyle name="Saída 3" xfId="227" xr:uid="{00000000-0005-0000-0000-0000AB000000}"/>
    <cellStyle name="Saída 4" xfId="145" xr:uid="{00000000-0005-0000-0000-0000AC000000}"/>
    <cellStyle name="Sep. milhar [0]" xfId="24" xr:uid="{00000000-0005-0000-0000-0000AD000000}"/>
    <cellStyle name="Separador de milhares 10" xfId="228" xr:uid="{00000000-0005-0000-0000-0000AE000000}"/>
    <cellStyle name="Separador de milhares 10 2" xfId="296" xr:uid="{C748C168-7121-402C-A315-FD6E0378F05D}"/>
    <cellStyle name="Separador de milhares 11" xfId="191" xr:uid="{00000000-0005-0000-0000-0000AF000000}"/>
    <cellStyle name="Separador de milhares 11 2" xfId="291" xr:uid="{B03F03CC-16AD-4F73-A76E-46B8165D8087}"/>
    <cellStyle name="Separador de milhares 2" xfId="25" xr:uid="{00000000-0005-0000-0000-0000B0000000}"/>
    <cellStyle name="Separador de milhares 2 2" xfId="26" xr:uid="{00000000-0005-0000-0000-0000B1000000}"/>
    <cellStyle name="Separador de milhares 2 2 2" xfId="149" xr:uid="{00000000-0005-0000-0000-0000B2000000}"/>
    <cellStyle name="Separador de milhares 2 2 2 2" xfId="265" xr:uid="{08C7644D-BFA7-4103-A259-F755B7CC7C71}"/>
    <cellStyle name="Separador de milhares 2 2 3" xfId="148" xr:uid="{00000000-0005-0000-0000-0000B3000000}"/>
    <cellStyle name="Separador de milhares 2 2 3 2" xfId="264" xr:uid="{B5AB041A-EF35-4B15-8004-F162416ABB72}"/>
    <cellStyle name="Separador de milhares 2 2 4" xfId="256" xr:uid="{4FA56CAE-4C1A-4381-A13B-EA6A5BBEB7CC}"/>
    <cellStyle name="Separador de milhares 2 3" xfId="150" xr:uid="{00000000-0005-0000-0000-0000B4000000}"/>
    <cellStyle name="Separador de milhares 2 3 2" xfId="266" xr:uid="{6218F67D-3688-440E-BAE9-8391A2C6F9BF}"/>
    <cellStyle name="Separador de milhares 2 4" xfId="147" xr:uid="{00000000-0005-0000-0000-0000B5000000}"/>
    <cellStyle name="Separador de milhares 2 4 2" xfId="263" xr:uid="{B0120C4B-26C3-4EAD-9DEA-4795217F7076}"/>
    <cellStyle name="Separador de milhares 2 5" xfId="255" xr:uid="{E86CCBC4-783D-4041-89CE-67833B44CB49}"/>
    <cellStyle name="Separador de milhares 3" xfId="3" xr:uid="{00000000-0005-0000-0000-0000B6000000}"/>
    <cellStyle name="Separador de milhares 3 2" xfId="152" xr:uid="{00000000-0005-0000-0000-0000B7000000}"/>
    <cellStyle name="Separador de milhares 3 2 2" xfId="268" xr:uid="{4A2CE3FE-83F2-4F39-B6A9-11F0C2A3BBEB}"/>
    <cellStyle name="Separador de milhares 3 3" xfId="153" xr:uid="{00000000-0005-0000-0000-0000B8000000}"/>
    <cellStyle name="Separador de milhares 3 3 2" xfId="269" xr:uid="{316734BC-D65F-4691-90A0-F8641509D0BE}"/>
    <cellStyle name="Separador de milhares 3 4" xfId="154" xr:uid="{00000000-0005-0000-0000-0000B9000000}"/>
    <cellStyle name="Separador de milhares 3 4 2" xfId="270" xr:uid="{5ED3F931-C53C-4BB3-B327-41F887AA305B}"/>
    <cellStyle name="Separador de milhares 3 5" xfId="151" xr:uid="{00000000-0005-0000-0000-0000BA000000}"/>
    <cellStyle name="Separador de milhares 3 5 2" xfId="267" xr:uid="{8804E1CE-F429-4E29-AF89-615BF7D457B2}"/>
    <cellStyle name="Separador de milhares 3 6" xfId="252" xr:uid="{E9CCAF50-0FBC-4784-BD8C-6F3A85E0E40A}"/>
    <cellStyle name="Separador de milhares 4" xfId="5" xr:uid="{00000000-0005-0000-0000-0000BB000000}"/>
    <cellStyle name="Separador de milhares 4 2" xfId="6" xr:uid="{00000000-0005-0000-0000-0000BC000000}"/>
    <cellStyle name="Separador de milhares 4 2 2" xfId="157" xr:uid="{00000000-0005-0000-0000-0000BD000000}"/>
    <cellStyle name="Separador de milhares 4 2 2 2" xfId="273" xr:uid="{A3A3ED32-7C79-41DE-BCA4-CB97FF36ECA0}"/>
    <cellStyle name="Separador de milhares 4 2 3" xfId="156" xr:uid="{00000000-0005-0000-0000-0000BE000000}"/>
    <cellStyle name="Separador de milhares 4 2 3 2" xfId="272" xr:uid="{8739E033-8BB3-40D0-93D7-7FB3D0CBE961}"/>
    <cellStyle name="Separador de milhares 4 2 4" xfId="254" xr:uid="{436B638D-234D-4D1C-9D11-A4330D6E01A0}"/>
    <cellStyle name="Separador de milhares 4 3" xfId="158" xr:uid="{00000000-0005-0000-0000-0000BF000000}"/>
    <cellStyle name="Separador de milhares 4 3 2" xfId="274" xr:uid="{991ADAE4-2A64-4B56-B777-FB6534AC78D8}"/>
    <cellStyle name="Separador de milhares 4 4" xfId="236" xr:uid="{00000000-0005-0000-0000-0000C0000000}"/>
    <cellStyle name="Separador de milhares 4 4 2" xfId="297" xr:uid="{A24C3C38-1C09-45BD-8DD1-C0B851E2DCFC}"/>
    <cellStyle name="Separador de milhares 4 5" xfId="155" xr:uid="{00000000-0005-0000-0000-0000C1000000}"/>
    <cellStyle name="Separador de milhares 4 5 2" xfId="271" xr:uid="{33C4163D-A315-4BBE-A554-E7DC21321594}"/>
    <cellStyle name="Separador de milhares 4 6" xfId="253" xr:uid="{D2F6515A-4F8C-4DB0-A0C7-9A93FA735728}"/>
    <cellStyle name="Separador de milhares 5" xfId="27" xr:uid="{00000000-0005-0000-0000-0000C2000000}"/>
    <cellStyle name="Separador de milhares 5 2" xfId="28" xr:uid="{00000000-0005-0000-0000-0000C3000000}"/>
    <cellStyle name="Separador de milhares 5 2 2" xfId="161" xr:uid="{00000000-0005-0000-0000-0000C4000000}"/>
    <cellStyle name="Separador de milhares 5 2 2 2" xfId="277" xr:uid="{5718C8A6-AFDB-436F-A3C7-20C2EA93EC16}"/>
    <cellStyle name="Separador de milhares 5 2 3" xfId="160" xr:uid="{00000000-0005-0000-0000-0000C5000000}"/>
    <cellStyle name="Separador de milhares 5 2 3 2" xfId="276" xr:uid="{99CD3976-528E-4D59-8BD3-19B754ADF2DB}"/>
    <cellStyle name="Separador de milhares 5 2 4" xfId="258" xr:uid="{9CA49015-7603-4B2E-974F-84CF7C710CDE}"/>
    <cellStyle name="Separador de milhares 5 3" xfId="162" xr:uid="{00000000-0005-0000-0000-0000C6000000}"/>
    <cellStyle name="Separador de milhares 5 3 2" xfId="278" xr:uid="{A6C97D13-38E5-4934-84D6-29CB85BCC379}"/>
    <cellStyle name="Separador de milhares 5 4" xfId="159" xr:uid="{00000000-0005-0000-0000-0000C7000000}"/>
    <cellStyle name="Separador de milhares 5 4 2" xfId="275" xr:uid="{3311F43C-8569-413F-B055-A9EC15B038EA}"/>
    <cellStyle name="Separador de milhares 5 5" xfId="257" xr:uid="{CDA6CC6B-8AE7-46A7-BBD0-B3665624D742}"/>
    <cellStyle name="Separador de milhares 6" xfId="29" xr:uid="{00000000-0005-0000-0000-0000C8000000}"/>
    <cellStyle name="Separador de milhares 6 2" xfId="164" xr:uid="{00000000-0005-0000-0000-0000C9000000}"/>
    <cellStyle name="Separador de milhares 6 2 2" xfId="280" xr:uid="{715C6638-884B-4CEA-939C-95576D56DB13}"/>
    <cellStyle name="Separador de milhares 6 3" xfId="165" xr:uid="{00000000-0005-0000-0000-0000CA000000}"/>
    <cellStyle name="Separador de milhares 6 3 2" xfId="281" xr:uid="{1E4EBF65-F8D1-48EF-A15B-85A07B7A015F}"/>
    <cellStyle name="Separador de milhares 6 4" xfId="163" xr:uid="{00000000-0005-0000-0000-0000CB000000}"/>
    <cellStyle name="Separador de milhares 6 4 2" xfId="279" xr:uid="{5945FCB4-FDBB-4008-994C-3EC998A421CC}"/>
    <cellStyle name="Separador de milhares 6 5" xfId="259" xr:uid="{6A52B3D0-9273-4DAF-A0C7-B028B7366B6C}"/>
    <cellStyle name="Separador de milhares 7" xfId="30" xr:uid="{00000000-0005-0000-0000-0000CC000000}"/>
    <cellStyle name="Separador de milhares 7 2" xfId="167" xr:uid="{00000000-0005-0000-0000-0000CD000000}"/>
    <cellStyle name="Separador de milhares 7 2 2" xfId="283" xr:uid="{22E2A1BF-D6BC-4C29-9562-B8AC1E6D47E2}"/>
    <cellStyle name="Separador de milhares 7 3" xfId="168" xr:uid="{00000000-0005-0000-0000-0000CE000000}"/>
    <cellStyle name="Separador de milhares 7 3 2" xfId="284" xr:uid="{7A0DD63A-4790-42C0-8441-C5E4378C1D52}"/>
    <cellStyle name="Separador de milhares 7 4" xfId="166" xr:uid="{00000000-0005-0000-0000-0000CF000000}"/>
    <cellStyle name="Separador de milhares 7 4 2" xfId="282" xr:uid="{717FBB3C-5DAA-42ED-8B70-79A7F40FF7F1}"/>
    <cellStyle name="Separador de milhares 7 5" xfId="260" xr:uid="{12D596C8-DC75-49AF-9969-BCC80067E59C}"/>
    <cellStyle name="Separador de milhares 8" xfId="31" xr:uid="{00000000-0005-0000-0000-0000D0000000}"/>
    <cellStyle name="Separador de milhares 8 2" xfId="170" xr:uid="{00000000-0005-0000-0000-0000D1000000}"/>
    <cellStyle name="Separador de milhares 8 2 2" xfId="286" xr:uid="{66DDB58B-37F8-4305-804C-5846479F4C99}"/>
    <cellStyle name="Separador de milhares 8 3" xfId="171" xr:uid="{00000000-0005-0000-0000-0000D2000000}"/>
    <cellStyle name="Separador de milhares 8 3 2" xfId="287" xr:uid="{EC35369C-89E8-48DB-84E9-C8C778CE9F4E}"/>
    <cellStyle name="Separador de milhares 8 4" xfId="169" xr:uid="{00000000-0005-0000-0000-0000D3000000}"/>
    <cellStyle name="Separador de milhares 8 4 2" xfId="285" xr:uid="{183BF49D-28E6-44AF-AE8D-34574157C3E0}"/>
    <cellStyle name="Separador de milhares 8 5" xfId="261" xr:uid="{62114ADC-3433-4B1D-9698-CB9EC037751D}"/>
    <cellStyle name="Separador de milhares 9" xfId="32" xr:uid="{00000000-0005-0000-0000-0000D4000000}"/>
    <cellStyle name="Separador de milhares 9 2" xfId="173" xr:uid="{00000000-0005-0000-0000-0000D5000000}"/>
    <cellStyle name="Separador de milhares 9 2 2" xfId="289" xr:uid="{9A1DBD1E-7EDB-4FFE-8E33-AD828FB750B2}"/>
    <cellStyle name="Separador de milhares 9 3" xfId="174" xr:uid="{00000000-0005-0000-0000-0000D6000000}"/>
    <cellStyle name="Separador de milhares 9 3 2" xfId="290" xr:uid="{4CD04319-1780-4646-B3E3-36BEDC58AE02}"/>
    <cellStyle name="Separador de milhares 9 4" xfId="172" xr:uid="{00000000-0005-0000-0000-0000D7000000}"/>
    <cellStyle name="Separador de milhares 9 4 2" xfId="288" xr:uid="{DC025B23-6283-4D25-8BAF-61D366822E83}"/>
    <cellStyle name="Separador de milhares 9 5" xfId="262" xr:uid="{7633244D-BD98-4B08-A1A1-2AD3C13750E5}"/>
    <cellStyle name="STYLE1 - Style1" xfId="33" xr:uid="{00000000-0005-0000-0000-0000D8000000}"/>
    <cellStyle name="STYLE2 - Style2" xfId="34" xr:uid="{00000000-0005-0000-0000-0000D9000000}"/>
    <cellStyle name="SubHeading" xfId="35" xr:uid="{00000000-0005-0000-0000-0000DA000000}"/>
    <cellStyle name="Texto de Aviso 2" xfId="175" xr:uid="{00000000-0005-0000-0000-0000DB000000}"/>
    <cellStyle name="Texto Explicativo 2" xfId="177" xr:uid="{00000000-0005-0000-0000-0000DC000000}"/>
    <cellStyle name="Texto Explicativo 3" xfId="229" xr:uid="{00000000-0005-0000-0000-0000DD000000}"/>
    <cellStyle name="Texto Explicativo 4" xfId="176" xr:uid="{00000000-0005-0000-0000-0000DE000000}"/>
    <cellStyle name="Title" xfId="178" xr:uid="{00000000-0005-0000-0000-0000DF000000}"/>
    <cellStyle name="Título 1 2" xfId="181" xr:uid="{00000000-0005-0000-0000-0000E0000000}"/>
    <cellStyle name="Título 1 3" xfId="230" xr:uid="{00000000-0005-0000-0000-0000E1000000}"/>
    <cellStyle name="Título 1 4" xfId="180" xr:uid="{00000000-0005-0000-0000-0000E2000000}"/>
    <cellStyle name="Título 2 2" xfId="183" xr:uid="{00000000-0005-0000-0000-0000E3000000}"/>
    <cellStyle name="Título 2 3" xfId="231" xr:uid="{00000000-0005-0000-0000-0000E4000000}"/>
    <cellStyle name="Título 2 4" xfId="182" xr:uid="{00000000-0005-0000-0000-0000E5000000}"/>
    <cellStyle name="Título 3 2" xfId="185" xr:uid="{00000000-0005-0000-0000-0000E6000000}"/>
    <cellStyle name="Título 3 3" xfId="232" xr:uid="{00000000-0005-0000-0000-0000E7000000}"/>
    <cellStyle name="Título 3 4" xfId="184" xr:uid="{00000000-0005-0000-0000-0000E8000000}"/>
    <cellStyle name="Título 4 2" xfId="187" xr:uid="{00000000-0005-0000-0000-0000E9000000}"/>
    <cellStyle name="Título 4 3" xfId="233" xr:uid="{00000000-0005-0000-0000-0000EA000000}"/>
    <cellStyle name="Título 4 4" xfId="186" xr:uid="{00000000-0005-0000-0000-0000EB000000}"/>
    <cellStyle name="Título 5" xfId="188" xr:uid="{00000000-0005-0000-0000-0000EC000000}"/>
    <cellStyle name="Título 6" xfId="234" xr:uid="{00000000-0005-0000-0000-0000ED000000}"/>
    <cellStyle name="Título 7" xfId="179" xr:uid="{00000000-0005-0000-0000-0000EE000000}"/>
    <cellStyle name="Total 2" xfId="190" xr:uid="{00000000-0005-0000-0000-0000EF000000}"/>
    <cellStyle name="Total 3" xfId="235" xr:uid="{00000000-0005-0000-0000-0000F0000000}"/>
    <cellStyle name="Total 4" xfId="189" xr:uid="{00000000-0005-0000-0000-0000F1000000}"/>
    <cellStyle name="Vírgula" xfId="1" builtinId="3"/>
    <cellStyle name="Vírgula 2" xfId="192" xr:uid="{00000000-0005-0000-0000-0000F3000000}"/>
    <cellStyle name="Vírgula 2 2" xfId="249" xr:uid="{0EA2D383-FC4A-4AB8-BC9A-98F50DB3F00E}"/>
    <cellStyle name="Vírgula 2 2 2" xfId="303" xr:uid="{960328AD-7C28-4538-BEE0-A19993DEA586}"/>
    <cellStyle name="Vírgula 2 3" xfId="292" xr:uid="{7B5B44DB-0C34-472E-ADD8-B3F0CDA04E98}"/>
    <cellStyle name="Vírgula 3" xfId="193" xr:uid="{00000000-0005-0000-0000-0000F4000000}"/>
    <cellStyle name="Vírgula 3 2" xfId="293" xr:uid="{2EB2AB3B-9E18-4F83-AB57-5BC137264429}"/>
    <cellStyle name="Vírgula 4" xfId="194" xr:uid="{00000000-0005-0000-0000-0000F5000000}"/>
    <cellStyle name="Vírgula 4 2" xfId="294" xr:uid="{D6701F6F-7478-4520-BBDA-58C9630E69AC}"/>
    <cellStyle name="Vírgula 5" xfId="196" xr:uid="{00000000-0005-0000-0000-0000F6000000}"/>
    <cellStyle name="Vírgula 5 2" xfId="295" xr:uid="{65B67E63-8112-4BFE-8DD1-EAAB02DE873A}"/>
    <cellStyle name="Vírgula 6" xfId="237" xr:uid="{00000000-0005-0000-0000-0000F7000000}"/>
    <cellStyle name="Vírgula 6 2" xfId="298" xr:uid="{948D4995-6C63-4806-8580-2CC0077A5E3D}"/>
    <cellStyle name="Vírgula 7" xfId="248" xr:uid="{56366935-E0F4-4C09-83C8-9F68946D6A3A}"/>
    <cellStyle name="Vírgula 7 2" xfId="246" xr:uid="{00000000-0005-0000-0000-0000F8000000}"/>
    <cellStyle name="Vírgula 7 2 2" xfId="300" xr:uid="{75B5B37F-68AA-45A1-8DE5-20FC728A8ED8}"/>
    <cellStyle name="Vírgula 7 3" xfId="302" xr:uid="{631B5508-6EFB-4F28-9637-905CAAD25898}"/>
    <cellStyle name="Vírgula 8" xfId="251" xr:uid="{6884BBE9-CFE3-4397-B4FC-9A926828F32A}"/>
    <cellStyle name="Vírgula 9" xfId="243" xr:uid="{00000000-0005-0000-0000-0000F9000000}"/>
    <cellStyle name="Vírgula 9 2" xfId="299" xr:uid="{4B977DDA-E71F-4E3C-918E-23BBE0033A2A}"/>
  </cellStyles>
  <dxfs count="0"/>
  <tableStyles count="0" defaultTableStyle="TableStyleMedium9" defaultPivotStyle="PivotStyleLight16"/>
  <colors>
    <mruColors>
      <color rgb="FFEC008C"/>
      <color rgb="FFFFCCFF"/>
      <color rgb="FFFF99FF"/>
      <color rgb="FFEC006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&#205;ndice -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hyperlink" Target="#'&#205;ndice - Index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&#205;ndice - Index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hyperlink" Target="#'&#205;ndice - Index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hyperlink" Target="#'&#205;ndice - Index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'&#205;ndice -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526677</xdr:colOff>
      <xdr:row>16</xdr:row>
      <xdr:rowOff>3</xdr:rowOff>
    </xdr:from>
    <xdr:to>
      <xdr:col>9</xdr:col>
      <xdr:colOff>526676</xdr:colOff>
      <xdr:row>24</xdr:row>
      <xdr:rowOff>212914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27412" y="3675532"/>
          <a:ext cx="3978088" cy="19386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Contatos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- Contact Information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u="sng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Investor Relations</a:t>
          </a:r>
          <a:r>
            <a:rPr lang="pt-BR" sz="1300" b="1" u="sng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Team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João Pinheiro Nogueira Batista</a:t>
          </a: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Email: dri@marisa.com.br</a:t>
          </a:r>
          <a:endParaRPr lang="pt-BR" sz="13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</xdr:txBody>
    </xdr:sp>
    <xdr:clientData/>
  </xdr:twoCellAnchor>
  <xdr:twoCellAnchor editAs="oneCell">
    <xdr:from>
      <xdr:col>2</xdr:col>
      <xdr:colOff>67234</xdr:colOff>
      <xdr:row>2</xdr:row>
      <xdr:rowOff>85689</xdr:rowOff>
    </xdr:from>
    <xdr:to>
      <xdr:col>6</xdr:col>
      <xdr:colOff>277758</xdr:colOff>
      <xdr:row>5</xdr:row>
      <xdr:rowOff>11205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4FA685-AD69-4C8B-8ED8-EDEF1E02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69" y="511513"/>
          <a:ext cx="2624645" cy="564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116204</xdr:rowOff>
    </xdr:from>
    <xdr:to>
      <xdr:col>0</xdr:col>
      <xdr:colOff>590550</xdr:colOff>
      <xdr:row>3</xdr:row>
      <xdr:rowOff>63500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627FEA-F8FC-4545-89F2-FBE37BCAFABF}"/>
            </a:ext>
          </a:extLst>
        </xdr:cNvPr>
        <xdr:cNvGrpSpPr/>
      </xdr:nvGrpSpPr>
      <xdr:grpSpPr>
        <a:xfrm>
          <a:off x="44450" y="116204"/>
          <a:ext cx="546100" cy="487046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78DBD6-744C-4002-B2B6-577C32E4B2C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7949F8C6-4332-4C0E-A891-1C162B3F90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0</xdr:row>
      <xdr:rowOff>19050</xdr:rowOff>
    </xdr:from>
    <xdr:to>
      <xdr:col>47</xdr:col>
      <xdr:colOff>590550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03F28-267F-4A21-8A0C-550AF87B4FF1}"/>
            </a:ext>
          </a:extLst>
        </xdr:cNvPr>
        <xdr:cNvGrpSpPr/>
      </xdr:nvGrpSpPr>
      <xdr:grpSpPr>
        <a:xfrm>
          <a:off x="12909903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FEF10BE-7884-4128-A774-4338602A475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CFBFF94-F495-48B2-8A1E-B7CF548C98E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75266</xdr:colOff>
      <xdr:row>0</xdr:row>
      <xdr:rowOff>8032</xdr:rowOff>
    </xdr:from>
    <xdr:to>
      <xdr:col>72</xdr:col>
      <xdr:colOff>621366</xdr:colOff>
      <xdr:row>2</xdr:row>
      <xdr:rowOff>155727</xdr:rowOff>
    </xdr:to>
    <xdr:grpSp>
      <xdr:nvGrpSpPr>
        <xdr:cNvPr id="11" name="Agrupar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65365-31EB-46C2-B694-8B69DF610A48}"/>
            </a:ext>
          </a:extLst>
        </xdr:cNvPr>
        <xdr:cNvGrpSpPr/>
      </xdr:nvGrpSpPr>
      <xdr:grpSpPr>
        <a:xfrm>
          <a:off x="17474266" y="8032"/>
          <a:ext cx="546100" cy="490595"/>
          <a:chOff x="5677535" y="949959"/>
          <a:chExt cx="582930" cy="533400"/>
        </a:xfrm>
      </xdr:grpSpPr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C71B9647-0732-446B-BB91-DABABD66BE7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C414DD5B-6146-4D0D-9B8D-7A6E423B31A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19050</xdr:rowOff>
    </xdr:from>
    <xdr:to>
      <xdr:col>2</xdr:col>
      <xdr:colOff>1476375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11932-3644-4E61-A6B3-50B95A33DABD}"/>
            </a:ext>
          </a:extLst>
        </xdr:cNvPr>
        <xdr:cNvGrpSpPr/>
      </xdr:nvGrpSpPr>
      <xdr:grpSpPr>
        <a:xfrm>
          <a:off x="1624894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EF4783-D9DE-4DA8-9B0F-EC6CE7B193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72C5664-0F68-42AE-BDE5-45A0A2E1254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628650</xdr:colOff>
      <xdr:row>2</xdr:row>
      <xdr:rowOff>140971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2ADD-F4B8-4360-A8BD-B97DA59E7B4C}"/>
            </a:ext>
          </a:extLst>
        </xdr:cNvPr>
        <xdr:cNvGrpSpPr/>
      </xdr:nvGrpSpPr>
      <xdr:grpSpPr>
        <a:xfrm>
          <a:off x="85725" y="0"/>
          <a:ext cx="542925" cy="485685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81AC737-0998-4A76-BB7B-161212442E6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01AABE-D8C0-49DE-B56C-1F185692C0A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53975</xdr:rowOff>
    </xdr:from>
    <xdr:to>
      <xdr:col>0</xdr:col>
      <xdr:colOff>657225</xdr:colOff>
      <xdr:row>3</xdr:row>
      <xdr:rowOff>26671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7DA27-D7D1-4E38-8CE0-F4EAAEB0B7B4}"/>
            </a:ext>
          </a:extLst>
        </xdr:cNvPr>
        <xdr:cNvGrpSpPr/>
      </xdr:nvGrpSpPr>
      <xdr:grpSpPr>
        <a:xfrm>
          <a:off x="111125" y="53975"/>
          <a:ext cx="546100" cy="49224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701E1-5AD6-4112-AE1B-229EF11CB6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A3090DC-B5D2-4607-9F1B-B1A528C0A58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78441</xdr:colOff>
      <xdr:row>0</xdr:row>
      <xdr:rowOff>33618</xdr:rowOff>
    </xdr:from>
    <xdr:to>
      <xdr:col>60</xdr:col>
      <xdr:colOff>621366</xdr:colOff>
      <xdr:row>3</xdr:row>
      <xdr:rowOff>6874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B99D3-0816-4F2A-8BB2-20184CE1534A}"/>
            </a:ext>
          </a:extLst>
        </xdr:cNvPr>
        <xdr:cNvGrpSpPr/>
      </xdr:nvGrpSpPr>
      <xdr:grpSpPr>
        <a:xfrm>
          <a:off x="44049305" y="33618"/>
          <a:ext cx="542925" cy="49280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4EC6EF2-2439-4967-858A-23BB0B6C98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C86E23A-FE8A-4805-B413-606C11BEE1F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45508</xdr:rowOff>
    </xdr:from>
    <xdr:to>
      <xdr:col>0</xdr:col>
      <xdr:colOff>669925</xdr:colOff>
      <xdr:row>2</xdr:row>
      <xdr:rowOff>84879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CBFF8-8D30-4DB5-8145-BF5F430FFFFC}"/>
            </a:ext>
          </a:extLst>
        </xdr:cNvPr>
        <xdr:cNvGrpSpPr/>
      </xdr:nvGrpSpPr>
      <xdr:grpSpPr>
        <a:xfrm>
          <a:off x="123825" y="45508"/>
          <a:ext cx="546100" cy="4909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597146E-34E3-4E46-BA21-1E7B3010DEC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D1CE6811-EB72-4188-A314-FCE52A093A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006F"/>
  </sheetPr>
  <dimension ref="A1:AG31"/>
  <sheetViews>
    <sheetView showGridLines="0" zoomScale="85" zoomScaleNormal="85" workbookViewId="0"/>
  </sheetViews>
  <sheetFormatPr defaultColWidth="9.1796875" defaultRowHeight="16.5" x14ac:dyDescent="0.45"/>
  <cols>
    <col min="1" max="1" width="14.81640625" style="1" customWidth="1"/>
    <col min="2" max="2" width="6.453125" style="1" customWidth="1"/>
    <col min="3" max="6" width="9.1796875" style="1"/>
    <col min="7" max="7" width="5.453125" style="1" customWidth="1"/>
    <col min="8" max="18" width="9.1796875" style="1"/>
    <col min="19" max="19" width="6.453125" style="1" customWidth="1"/>
    <col min="20" max="16384" width="9.1796875" style="1"/>
  </cols>
  <sheetData>
    <row r="1" spans="1:33" x14ac:dyDescent="0.45">
      <c r="AG1" s="2"/>
    </row>
    <row r="2" spans="1:33" ht="16.5" customHeight="1" x14ac:dyDescent="0.85"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7"/>
      <c r="AG2" s="2" t="s">
        <v>12</v>
      </c>
    </row>
    <row r="3" spans="1:33" ht="16.5" customHeight="1" x14ac:dyDescent="0.85">
      <c r="B3" s="1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AG3" s="2"/>
    </row>
    <row r="4" spans="1:33" ht="16.5" customHeight="1" x14ac:dyDescent="0.85"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"/>
      <c r="AG4" s="2"/>
    </row>
    <row r="5" spans="1:33" ht="16.5" customHeight="1" x14ac:dyDescent="0.85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9"/>
      <c r="AG5" s="2"/>
    </row>
    <row r="6" spans="1:33" ht="16.5" customHeight="1" x14ac:dyDescent="0.85">
      <c r="B6" s="1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  <c r="AG6" s="2"/>
    </row>
    <row r="7" spans="1:33" ht="16.5" customHeight="1" x14ac:dyDescent="0.45">
      <c r="A7" s="2"/>
      <c r="B7" s="8"/>
      <c r="C7" s="275" t="s">
        <v>18</v>
      </c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9"/>
    </row>
    <row r="8" spans="1:33" ht="16.5" customHeight="1" x14ac:dyDescent="0.45">
      <c r="B8" s="10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9"/>
    </row>
    <row r="9" spans="1:33" s="3" customFormat="1" ht="33.75" customHeight="1" x14ac:dyDescent="0.85">
      <c r="B9" s="11"/>
      <c r="C9" s="277" t="s">
        <v>643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12"/>
    </row>
    <row r="10" spans="1:33" ht="16.5" customHeight="1" x14ac:dyDescent="0.45">
      <c r="B10" s="10"/>
      <c r="D10" s="5"/>
      <c r="E10" s="5"/>
      <c r="F10" s="5"/>
      <c r="S10" s="9"/>
    </row>
    <row r="11" spans="1:33" x14ac:dyDescent="0.4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9"/>
    </row>
    <row r="12" spans="1:33" ht="16.5" customHeight="1" x14ac:dyDescent="0.45">
      <c r="B12" s="16"/>
      <c r="C12" s="17"/>
      <c r="D12" s="279" t="s">
        <v>11</v>
      </c>
      <c r="E12" s="279"/>
      <c r="F12" s="279"/>
      <c r="G12" s="17"/>
      <c r="H12" s="17"/>
      <c r="I12" s="17"/>
      <c r="J12" s="17"/>
      <c r="K12" s="17"/>
      <c r="L12" s="278" t="s">
        <v>8</v>
      </c>
      <c r="M12" s="278"/>
      <c r="N12" s="278"/>
      <c r="O12" s="278"/>
      <c r="P12" s="278"/>
      <c r="Q12" s="278"/>
      <c r="R12" s="18"/>
      <c r="S12" s="9"/>
    </row>
    <row r="13" spans="1:33" ht="16.5" customHeight="1" x14ac:dyDescent="0.45">
      <c r="B13" s="16"/>
      <c r="C13" s="17"/>
      <c r="D13" s="279"/>
      <c r="E13" s="279"/>
      <c r="F13" s="279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7"/>
      <c r="S13" s="9"/>
    </row>
    <row r="14" spans="1:33" ht="19.5" customHeight="1" x14ac:dyDescent="0.5">
      <c r="B14" s="16"/>
      <c r="C14" s="17"/>
      <c r="D14" s="280" t="s">
        <v>22</v>
      </c>
      <c r="E14" s="280"/>
      <c r="F14" s="280"/>
      <c r="G14" s="17"/>
      <c r="H14" s="17"/>
      <c r="I14" s="17"/>
      <c r="J14" s="17"/>
      <c r="K14" s="17"/>
      <c r="L14" s="278" t="s">
        <v>17</v>
      </c>
      <c r="M14" s="278"/>
      <c r="N14" s="278"/>
      <c r="O14" s="278"/>
      <c r="P14" s="278"/>
      <c r="Q14" s="278"/>
      <c r="R14" s="20"/>
      <c r="S14" s="9"/>
    </row>
    <row r="15" spans="1:33" ht="17.25" customHeight="1" x14ac:dyDescent="0.4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21"/>
      <c r="N15" s="17"/>
      <c r="O15" s="17"/>
      <c r="P15" s="17"/>
      <c r="Q15" s="17"/>
      <c r="R15" s="17"/>
      <c r="S15" s="9"/>
    </row>
    <row r="16" spans="1:33" ht="17.5" x14ac:dyDescent="0.45">
      <c r="B16" s="16"/>
      <c r="C16" s="17"/>
      <c r="D16" s="17"/>
      <c r="E16" s="17"/>
      <c r="F16" s="17"/>
      <c r="G16" s="17"/>
      <c r="H16" s="22"/>
      <c r="I16" s="22"/>
      <c r="J16" s="22"/>
      <c r="K16" s="17"/>
      <c r="L16" s="278" t="s">
        <v>9</v>
      </c>
      <c r="M16" s="278"/>
      <c r="N16" s="278"/>
      <c r="O16" s="278"/>
      <c r="P16" s="278"/>
      <c r="Q16" s="278"/>
      <c r="R16" s="20"/>
      <c r="S16" s="9"/>
    </row>
    <row r="17" spans="2:19" ht="16.5" customHeight="1" x14ac:dyDescent="0.45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21"/>
      <c r="N17" s="17"/>
      <c r="O17" s="17"/>
      <c r="P17" s="17"/>
      <c r="Q17" s="17"/>
      <c r="R17" s="17"/>
      <c r="S17" s="9"/>
    </row>
    <row r="18" spans="2:19" ht="16.5" customHeight="1" x14ac:dyDescent="0.4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78" t="s">
        <v>13</v>
      </c>
      <c r="M18" s="278"/>
      <c r="N18" s="278"/>
      <c r="O18" s="278"/>
      <c r="P18" s="278"/>
      <c r="Q18" s="278"/>
      <c r="R18" s="20"/>
      <c r="S18" s="9"/>
    </row>
    <row r="19" spans="2:19" ht="17.5" x14ac:dyDescent="0.45">
      <c r="B19" s="16"/>
      <c r="C19" s="17"/>
      <c r="D19" s="17"/>
      <c r="E19" s="17"/>
      <c r="F19" s="17"/>
      <c r="G19" s="17"/>
      <c r="H19" s="22"/>
      <c r="I19" s="22"/>
      <c r="J19" s="22"/>
      <c r="K19" s="17"/>
      <c r="L19" s="18"/>
      <c r="M19" s="21"/>
      <c r="N19" s="17"/>
      <c r="O19" s="17"/>
      <c r="P19" s="17"/>
      <c r="Q19" s="17"/>
      <c r="R19" s="17"/>
      <c r="S19" s="9"/>
    </row>
    <row r="20" spans="2:19" ht="16.5" customHeight="1" x14ac:dyDescent="0.4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78" t="s">
        <v>36</v>
      </c>
      <c r="M20" s="278"/>
      <c r="N20" s="278"/>
      <c r="O20" s="278"/>
      <c r="P20" s="278"/>
      <c r="Q20" s="278"/>
      <c r="S20" s="9"/>
    </row>
    <row r="21" spans="2:19" ht="16.5" customHeight="1" x14ac:dyDescent="0.4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21"/>
      <c r="N21" s="17"/>
      <c r="O21" s="17"/>
      <c r="P21" s="17"/>
      <c r="Q21" s="17"/>
      <c r="R21" s="17"/>
      <c r="S21" s="9"/>
    </row>
    <row r="22" spans="2:19" ht="17.5" x14ac:dyDescent="0.45">
      <c r="B22" s="16"/>
      <c r="C22" s="17"/>
      <c r="D22" s="17"/>
      <c r="E22" s="17"/>
      <c r="F22" s="17"/>
      <c r="G22" s="17"/>
      <c r="H22" s="22"/>
      <c r="I22" s="22"/>
      <c r="J22" s="22"/>
      <c r="K22" s="17"/>
      <c r="L22" s="278" t="s">
        <v>37</v>
      </c>
      <c r="M22" s="278"/>
      <c r="N22" s="278"/>
      <c r="O22" s="278"/>
      <c r="P22" s="278"/>
      <c r="Q22" s="278"/>
      <c r="R22" s="20"/>
      <c r="S22" s="9"/>
    </row>
    <row r="23" spans="2:19" ht="16.5" customHeight="1" x14ac:dyDescent="0.4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21"/>
      <c r="N23" s="17"/>
      <c r="O23" s="17"/>
      <c r="P23" s="17"/>
      <c r="Q23" s="17"/>
      <c r="R23" s="17"/>
      <c r="S23" s="9"/>
    </row>
    <row r="24" spans="2:19" ht="16.5" customHeight="1" x14ac:dyDescent="0.4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78" t="s">
        <v>10</v>
      </c>
      <c r="M24" s="278"/>
      <c r="N24" s="278"/>
      <c r="O24" s="278"/>
      <c r="P24" s="278"/>
      <c r="Q24" s="278"/>
      <c r="R24" s="20"/>
      <c r="S24" s="9"/>
    </row>
    <row r="25" spans="2:19" ht="17.5" x14ac:dyDescent="0.45">
      <c r="B25" s="16"/>
      <c r="C25" s="17"/>
      <c r="D25" s="17"/>
      <c r="E25" s="17"/>
      <c r="F25" s="17"/>
      <c r="G25" s="17"/>
      <c r="H25" s="22"/>
      <c r="I25" s="22"/>
      <c r="J25" s="22"/>
      <c r="K25" s="17"/>
      <c r="L25" s="17"/>
      <c r="M25" s="21"/>
      <c r="N25" s="17"/>
      <c r="O25" s="17"/>
      <c r="P25" s="17"/>
      <c r="Q25" s="17"/>
      <c r="R25" s="17"/>
      <c r="S25" s="9"/>
    </row>
    <row r="26" spans="2:19" ht="16.5" customHeight="1" x14ac:dyDescent="0.4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13"/>
    </row>
    <row r="27" spans="2:19" x14ac:dyDescent="0.45">
      <c r="H27" s="4"/>
      <c r="I27" s="4"/>
      <c r="J27" s="4"/>
    </row>
    <row r="28" spans="2:19" ht="16.5" customHeight="1" x14ac:dyDescent="0.45"/>
    <row r="29" spans="2:19" ht="16.5" customHeight="1" x14ac:dyDescent="0.45"/>
    <row r="31" spans="2:19" ht="16.5" customHeight="1" x14ac:dyDescent="0.45"/>
  </sheetData>
  <mergeCells count="11">
    <mergeCell ref="L18:Q18"/>
    <mergeCell ref="L20:Q20"/>
    <mergeCell ref="L22:Q22"/>
    <mergeCell ref="L24:Q24"/>
    <mergeCell ref="D12:F13"/>
    <mergeCell ref="D14:F14"/>
    <mergeCell ref="C7:R8"/>
    <mergeCell ref="C9:R9"/>
    <mergeCell ref="L12:Q12"/>
    <mergeCell ref="L14:Q14"/>
    <mergeCell ref="L16:Q16"/>
  </mergeCells>
  <dataValidations count="1">
    <dataValidation type="list" allowBlank="1" showInputMessage="1" showErrorMessage="1" sqref="D14:F14" xr:uid="{00000000-0002-0000-0000-000000000000}">
      <formula1>"Português, Inglês - English"</formula1>
    </dataValidation>
  </dataValidations>
  <hyperlinks>
    <hyperlink ref="L15:M16" location="'DRE - Income Statement (New)'!A1" display="DRE Novo - Income Statements (new)" xr:uid="{00000000-0004-0000-0000-000000000000}"/>
    <hyperlink ref="L17:M18" location="'DRE Varejo - Retail IS (New)'!A1" display="DRE Varejo - Retail Income Statements" xr:uid="{00000000-0004-0000-0000-000001000000}"/>
    <hyperlink ref="L21:M22" location="'PSF - FPS Portfolio'!A1" display="PFS - FPS Portfolio" xr:uid="{00000000-0004-0000-0000-000002000000}"/>
    <hyperlink ref="L23:M24" location="'DRE_PSF Novo Formato'!A1" display="DRE PFS - FPS Income Statements" xr:uid="{00000000-0004-0000-0000-000003000000}"/>
    <hyperlink ref="K25:M25" location="'Fluxo de Caixa - Cash Flow'!A1" display="Fluxo de Caixa - Cash Flow" xr:uid="{00000000-0004-0000-0000-000004000000}"/>
    <hyperlink ref="L19:M20" location="'Destaques - Highlights'!A1" display="Destaques - Highlights" xr:uid="{00000000-0004-0000-0000-000005000000}"/>
    <hyperlink ref="L12:Q12" location="'Balanço - Balance Sheet'!A1" display="Balanço - Balance Sheet" xr:uid="{00000000-0004-0000-0000-000006000000}"/>
    <hyperlink ref="L14:Q14" location="'DRE Consolidado | P&amp;L '!A1" display="DRE - Income Statements" xr:uid="{00000000-0004-0000-0000-000007000000}"/>
    <hyperlink ref="L16:Q16" location="'DRE Varejo - Retail P&amp;L'!A1" display="DRE Varejo - Retail Income Statements" xr:uid="{00000000-0004-0000-0000-000008000000}"/>
    <hyperlink ref="L18:Q18" location="'Destaques - Highlights'!A1" display="Destaques - Highlights" xr:uid="{00000000-0004-0000-0000-000009000000}"/>
    <hyperlink ref="L20:Q20" location="'Mbank - Mbank Portfolio'!A1" display="Mbank - Mbank Portfolio" xr:uid="{00000000-0004-0000-0000-00000A000000}"/>
    <hyperlink ref="L22:Q22" location="'DRE Mbank - Mbank P&amp;L'!A1" display="DRE Mbank - Mbank Income Statements" xr:uid="{00000000-0004-0000-0000-00000B000000}"/>
    <hyperlink ref="L24:Q24" location="'Fluxo de Caixa - Cash Flow'!A1" display="Fluxo de Caixa - Cash Flow" xr:uid="{00000000-0004-0000-0000-00000C0000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BF82"/>
  <sheetViews>
    <sheetView showGridLines="0" zoomScaleNormal="100" zoomScaleSheetLayoutView="52" workbookViewId="0">
      <pane xSplit="2" ySplit="4" topLeftCell="AQ5" activePane="bottomRight" state="frozen"/>
      <selection activeCell="B1" sqref="B1"/>
      <selection pane="topRight" activeCell="B1" sqref="B1"/>
      <selection pane="bottomLeft" activeCell="B1" sqref="B1"/>
      <selection pane="bottomRight" activeCell="BF1" sqref="BF1"/>
    </sheetView>
  </sheetViews>
  <sheetFormatPr defaultColWidth="9.1796875" defaultRowHeight="13.5" outlineLevelRow="1" outlineLevelCol="1" x14ac:dyDescent="0.35"/>
  <cols>
    <col min="1" max="1" width="9.453125" style="25" customWidth="1"/>
    <col min="2" max="2" width="44.54296875" style="25" bestFit="1" customWidth="1"/>
    <col min="3" max="3" width="13.1796875" style="27" bestFit="1" customWidth="1"/>
    <col min="4" max="6" width="13.1796875" style="27" hidden="1" customWidth="1" outlineLevel="1"/>
    <col min="7" max="7" width="13.1796875" style="27" bestFit="1" customWidth="1" collapsed="1"/>
    <col min="8" max="10" width="13.1796875" style="27" hidden="1" customWidth="1" outlineLevel="1"/>
    <col min="11" max="11" width="13.1796875" style="27" bestFit="1" customWidth="1" collapsed="1"/>
    <col min="12" max="12" width="13.1796875" style="27" hidden="1" customWidth="1" outlineLevel="1"/>
    <col min="13" max="13" width="11" style="27" hidden="1" customWidth="1" outlineLevel="1"/>
    <col min="14" max="14" width="13.1796875" style="27" hidden="1" customWidth="1" outlineLevel="1"/>
    <col min="15" max="15" width="13.1796875" style="27" bestFit="1" customWidth="1" collapsed="1"/>
    <col min="16" max="18" width="13.1796875" style="27" hidden="1" customWidth="1" outlineLevel="1"/>
    <col min="19" max="19" width="13.1796875" style="27" bestFit="1" customWidth="1" collapsed="1"/>
    <col min="20" max="22" width="13.1796875" style="27" hidden="1" customWidth="1" outlineLevel="1"/>
    <col min="23" max="23" width="13.1796875" style="27" bestFit="1" customWidth="1" collapsed="1"/>
    <col min="24" max="26" width="13.1796875" style="27" hidden="1" customWidth="1" outlineLevel="1"/>
    <col min="27" max="27" width="13.1796875" style="27" bestFit="1" customWidth="1" collapsed="1"/>
    <col min="28" max="30" width="13.1796875" style="27" hidden="1" customWidth="1" outlineLevel="1"/>
    <col min="31" max="31" width="13.1796875" style="27" bestFit="1" customWidth="1" collapsed="1"/>
    <col min="32" max="34" width="13.453125" style="27" hidden="1" customWidth="1" outlineLevel="1"/>
    <col min="35" max="35" width="13.54296875" style="27" customWidth="1" collapsed="1"/>
    <col min="36" max="38" width="13.54296875" style="25" hidden="1" customWidth="1" outlineLevel="1"/>
    <col min="39" max="39" width="13.54296875" style="25" customWidth="1" collapsed="1"/>
    <col min="40" max="42" width="13.54296875" style="25" hidden="1" customWidth="1" outlineLevel="1"/>
    <col min="43" max="43" width="13.54296875" style="25" customWidth="1" collapsed="1"/>
    <col min="44" max="46" width="13.54296875" style="25" hidden="1" customWidth="1" outlineLevel="1"/>
    <col min="47" max="47" width="13.54296875" style="25" customWidth="1" collapsed="1"/>
    <col min="48" max="48" width="13.54296875" style="25" hidden="1" customWidth="1" outlineLevel="1"/>
    <col min="49" max="49" width="11.26953125" style="25" hidden="1" customWidth="1" outlineLevel="1"/>
    <col min="50" max="50" width="10.81640625" style="25" hidden="1" customWidth="1" outlineLevel="1"/>
    <col min="51" max="51" width="15.453125" style="25" customWidth="1" collapsed="1"/>
    <col min="52" max="52" width="12.1796875" style="25" hidden="1" customWidth="1" outlineLevel="1"/>
    <col min="53" max="53" width="13.6328125" style="25" hidden="1" customWidth="1" outlineLevel="1"/>
    <col min="54" max="54" width="13.90625" style="25" hidden="1" customWidth="1" outlineLevel="1"/>
    <col min="55" max="55" width="15.453125" style="25" customWidth="1" collapsed="1"/>
    <col min="56" max="58" width="13.90625" style="25" bestFit="1" customWidth="1" collapsed="1"/>
    <col min="59" max="16384" width="9.1796875" style="25"/>
  </cols>
  <sheetData>
    <row r="1" spans="1:58" ht="14.5" x14ac:dyDescent="0.35">
      <c r="A1"/>
    </row>
    <row r="2" spans="1:58" ht="14.5" x14ac:dyDescent="0.35">
      <c r="H2"/>
    </row>
    <row r="3" spans="1:58" x14ac:dyDescent="0.35">
      <c r="B3" s="26" t="str">
        <f>IF('Índice - Index'!$D$14="Português","Balanço Patrimonial","Balance Sheet")</f>
        <v>Balanço Patrimonial</v>
      </c>
    </row>
    <row r="4" spans="1:58" ht="27" x14ac:dyDescent="0.35">
      <c r="B4" s="26" t="str">
        <f>IF('Índice - Index'!$D$14="Português","(R$ milhares)","(R$ million)")</f>
        <v>(R$ milhares)</v>
      </c>
      <c r="C4" s="28" t="str">
        <f>IF('Índice - Index'!$D$14="Português","4T09","4Q09")</f>
        <v>4T09</v>
      </c>
      <c r="D4" s="28" t="str">
        <f>IF('Índice - Index'!$D$14="Português","1T10","1Q10")</f>
        <v>1T10</v>
      </c>
      <c r="E4" s="28" t="str">
        <f>IF('Índice - Index'!$D$14="Português","2T10","2Q10")</f>
        <v>2T10</v>
      </c>
      <c r="F4" s="28" t="str">
        <f>IF('Índice - Index'!$D$14="Português","3T10","3Q10")</f>
        <v>3T10</v>
      </c>
      <c r="G4" s="28" t="str">
        <f>IF('Índice - Index'!$D$14="Português","4T10","4Q10")</f>
        <v>4T10</v>
      </c>
      <c r="H4" s="28" t="str">
        <f>IF('Índice - Index'!$D$14="Português","1T11","1Q11")</f>
        <v>1T11</v>
      </c>
      <c r="I4" s="28" t="str">
        <f>IF('Índice - Index'!$D$14="Português","2T11","2Q11")</f>
        <v>2T11</v>
      </c>
      <c r="J4" s="28" t="str">
        <f>IF('Índice - Index'!$D$14="Português","3T11","3Q11")</f>
        <v>3T11</v>
      </c>
      <c r="K4" s="28" t="str">
        <f>IF('Índice - Index'!$D$14="Português","4T11","4Q11")</f>
        <v>4T11</v>
      </c>
      <c r="L4" s="28" t="str">
        <f>IF('Índice - Index'!$D$14="Português","1T12","1Q12")</f>
        <v>1T12</v>
      </c>
      <c r="M4" s="28" t="str">
        <f>IF('Índice - Index'!$D$14="Português","2T12","2Q12")</f>
        <v>2T12</v>
      </c>
      <c r="N4" s="28" t="str">
        <f>IF('Índice - Index'!$D$14="Português","3T12","3Q12")</f>
        <v>3T12</v>
      </c>
      <c r="O4" s="28" t="str">
        <f>IF('Índice - Index'!$D$14="Português","4T12","4Q12")</f>
        <v>4T12</v>
      </c>
      <c r="P4" s="28" t="str">
        <f>IF('Índice - Index'!$D$14="Português","1T13","1Q13")</f>
        <v>1T13</v>
      </c>
      <c r="Q4" s="28" t="str">
        <f>IF('Índice - Index'!$D$14="Português","2T13","2Q13")</f>
        <v>2T13</v>
      </c>
      <c r="R4" s="28" t="str">
        <f>IF('Índice - Index'!$D$14="Português","3T13","3Q13")</f>
        <v>3T13</v>
      </c>
      <c r="S4" s="28" t="str">
        <f>IF('Índice - Index'!$D$14="Português","4T13","4Q13")</f>
        <v>4T13</v>
      </c>
      <c r="T4" s="28" t="str">
        <f>IF('Índice - Index'!$D$14="Português","1T14","1Q14")</f>
        <v>1T14</v>
      </c>
      <c r="U4" s="28" t="str">
        <f>IF('Índice - Index'!$D$14="Português","2T14","2Q14")</f>
        <v>2T14</v>
      </c>
      <c r="V4" s="28" t="str">
        <f>IF('Índice - Index'!$D$14="Português","3T14","3Q14")</f>
        <v>3T14</v>
      </c>
      <c r="W4" s="28" t="str">
        <f>IF('Índice - Index'!$D$14="Português","4T14","4Q14")</f>
        <v>4T14</v>
      </c>
      <c r="X4" s="28" t="str">
        <f>IF('Índice - Index'!$D$14="Português","1T15","1Q15")</f>
        <v>1T15</v>
      </c>
      <c r="Y4" s="28" t="str">
        <f>IF('Índice - Index'!$D$14="Português","2T15","2Q15")</f>
        <v>2T15</v>
      </c>
      <c r="Z4" s="28" t="str">
        <f>IF('Índice - Index'!$D$14="Português","3T15","3Q15")</f>
        <v>3T15</v>
      </c>
      <c r="AA4" s="28" t="str">
        <f>IF('Índice - Index'!$D$14="Português","4T15","4Q15")</f>
        <v>4T15</v>
      </c>
      <c r="AB4" s="28" t="str">
        <f>IF('Índice - Index'!$D$14="Português","1T16","1Q16")</f>
        <v>1T16</v>
      </c>
      <c r="AC4" s="28" t="str">
        <f>IF('Índice - Index'!$D$14="Português","2T16","2Q16")</f>
        <v>2T16</v>
      </c>
      <c r="AD4" s="28" t="str">
        <f>IF('Índice - Index'!$D$14="Português","3T16","3Q16")</f>
        <v>3T16</v>
      </c>
      <c r="AE4" s="28" t="str">
        <f>IF('Índice - Index'!$D$14="Português","4T16","4Q16")</f>
        <v>4T16</v>
      </c>
      <c r="AF4" s="28" t="str">
        <f>IF('Índice - Index'!$D$14="Português","1T17","1Q17")</f>
        <v>1T17</v>
      </c>
      <c r="AG4" s="28" t="str">
        <f>IF('Índice - Index'!$D$14="Português","2T17","2Q17")</f>
        <v>2T17</v>
      </c>
      <c r="AH4" s="28" t="str">
        <f>IF('Índice - Index'!$D$14="Português","3T17","3Q17")</f>
        <v>3T17</v>
      </c>
      <c r="AI4" s="28" t="str">
        <f>IF('Índice - Index'!$D$14="Português","4T17","4Q17")</f>
        <v>4T17</v>
      </c>
      <c r="AJ4" s="28" t="str">
        <f>IF('Índice - Index'!$D$14="Português","1T18","1Q18")</f>
        <v>1T18</v>
      </c>
      <c r="AK4" s="28" t="str">
        <f>IF('Índice - Index'!$D$14="Português","2T18","2Q18")</f>
        <v>2T18</v>
      </c>
      <c r="AL4" s="28" t="str">
        <f>IF('Índice - Index'!$D$14="Português","3T18","3Q18")</f>
        <v>3T18</v>
      </c>
      <c r="AM4" s="28" t="str">
        <f>IF('Índice - Index'!$D$14="Português","4T18","4Q18")</f>
        <v>4T18</v>
      </c>
      <c r="AN4" s="28" t="str">
        <f>IF('Índice - Index'!$D$14="Português","1T19","1Q19")</f>
        <v>1T19</v>
      </c>
      <c r="AO4" s="28" t="str">
        <f>IF('Índice - Index'!$D$14="Português","2T19","2Q19")</f>
        <v>2T19</v>
      </c>
      <c r="AP4" s="28" t="str">
        <f>IF('Índice - Index'!$D$14="Português","3T19","3Q19")</f>
        <v>3T19</v>
      </c>
      <c r="AQ4" s="28" t="str">
        <f>IF('Índice - Index'!$D$14="Português","4T19","4Q19")</f>
        <v>4T19</v>
      </c>
      <c r="AR4" s="28" t="str">
        <f>IF('Índice - Index'!$D$14="Português","1T20","1Q20")</f>
        <v>1T20</v>
      </c>
      <c r="AS4" s="28" t="str">
        <f>IF('Índice - Index'!$D$14="Português","2T20","2Q20")</f>
        <v>2T20</v>
      </c>
      <c r="AT4" s="28" t="str">
        <f>IF('Índice - Index'!$D$14="Português","3T20","3Q20")</f>
        <v>3T20</v>
      </c>
      <c r="AU4" s="28" t="str">
        <f>IF('Índice - Index'!$D$14="Português","4T20","4Q20")</f>
        <v>4T20</v>
      </c>
      <c r="AV4" s="28" t="str">
        <f>IF('Índice - Index'!$D$14="Português","1T21","1Q21")</f>
        <v>1T21</v>
      </c>
      <c r="AW4" s="28" t="str">
        <f>IF('Índice - Index'!$D$14="Português","2T21","2Q21")</f>
        <v>2T21</v>
      </c>
      <c r="AX4" s="28" t="str">
        <f>IF('Índice - Index'!$D$14="Português","3T21","3Q21")</f>
        <v>3T21</v>
      </c>
      <c r="AY4" s="241" t="str">
        <f>IF('Índice - Index'!$D$14="Português","4T21 (reapresentado)","4Q21 (restated)")</f>
        <v>4T21 (reapresentado)</v>
      </c>
      <c r="AZ4" s="28" t="s">
        <v>49</v>
      </c>
      <c r="BA4" s="28" t="s">
        <v>50</v>
      </c>
      <c r="BB4" s="28" t="s">
        <v>51</v>
      </c>
      <c r="BC4" s="241" t="str">
        <f>IF('Índice - Index'!$D$14="Português","4T22 (reapresentado)","4Q22 (restated)")</f>
        <v>4T22 (reapresentado)</v>
      </c>
      <c r="BD4" s="28" t="str">
        <f>IF('Índice - Index'!$D$14="Português","1T23","1Q23")</f>
        <v>1T23</v>
      </c>
      <c r="BE4" s="28" t="str">
        <f>IF('Índice - Index'!$D$14="Português","2T23","2Q23")</f>
        <v>2T23</v>
      </c>
      <c r="BF4" s="28" t="str">
        <f>IF('Índice - Index'!$D$14="Português","3T23","3Q23")</f>
        <v>3T23</v>
      </c>
    </row>
    <row r="5" spans="1:58" x14ac:dyDescent="0.35"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58" s="33" customFormat="1" x14ac:dyDescent="0.35">
      <c r="A6" s="25"/>
      <c r="B6" s="26" t="str">
        <f>IF('Índice - Index'!$D$14="Português","ATIVO (R$ milhares)","ASSETS (R$ million)")</f>
        <v>ATIVO (R$ milhares)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58" x14ac:dyDescent="0.35">
      <c r="B7" s="34"/>
      <c r="C7" s="30"/>
      <c r="D7" s="30"/>
      <c r="E7" s="30"/>
      <c r="F7" s="30"/>
      <c r="G7" s="30"/>
      <c r="H7" s="30"/>
      <c r="I7" s="30"/>
      <c r="J7" s="30"/>
      <c r="K7" s="30"/>
    </row>
    <row r="8" spans="1:58" x14ac:dyDescent="0.35">
      <c r="B8" s="34" t="str">
        <f>IF('Índice - Index'!$D$14="Português","CIRCULANTE","CURRENT ASSETS")</f>
        <v>CIRCULANTE</v>
      </c>
      <c r="C8" s="35"/>
      <c r="D8" s="35"/>
      <c r="E8" s="35"/>
      <c r="F8" s="35"/>
      <c r="G8" s="35"/>
      <c r="H8" s="35"/>
      <c r="I8" s="35"/>
      <c r="J8" s="35"/>
      <c r="K8" s="35"/>
    </row>
    <row r="9" spans="1:58" x14ac:dyDescent="0.35">
      <c r="B9" s="36" t="str">
        <f>IF('Índice - Index'!$D$14="Português","Caixa e equivalentes de caixa","Cash and cash equivalents")</f>
        <v>Caixa e equivalentes de caixa</v>
      </c>
      <c r="C9" s="37">
        <v>333960</v>
      </c>
      <c r="D9" s="37">
        <v>239859</v>
      </c>
      <c r="E9" s="37">
        <v>204425</v>
      </c>
      <c r="F9" s="37">
        <v>287231</v>
      </c>
      <c r="G9" s="37">
        <v>521688</v>
      </c>
      <c r="H9" s="37">
        <v>647474</v>
      </c>
      <c r="I9" s="37">
        <v>806366</v>
      </c>
      <c r="J9" s="37">
        <v>281068</v>
      </c>
      <c r="K9" s="37">
        <v>641294</v>
      </c>
      <c r="L9" s="37">
        <v>309719</v>
      </c>
      <c r="M9" s="37">
        <v>286893</v>
      </c>
      <c r="N9" s="37">
        <v>267709</v>
      </c>
      <c r="O9" s="37">
        <v>285319</v>
      </c>
      <c r="P9" s="37">
        <v>111265</v>
      </c>
      <c r="Q9" s="37">
        <v>147018</v>
      </c>
      <c r="R9" s="37">
        <v>188674</v>
      </c>
      <c r="S9" s="37">
        <v>257883</v>
      </c>
      <c r="T9" s="37">
        <v>156223</v>
      </c>
      <c r="U9" s="37">
        <v>278846</v>
      </c>
      <c r="V9" s="37">
        <v>393525</v>
      </c>
      <c r="W9" s="37">
        <v>510680</v>
      </c>
      <c r="X9" s="37">
        <v>374652</v>
      </c>
      <c r="Y9" s="37">
        <v>495951</v>
      </c>
      <c r="Z9" s="37">
        <v>645328</v>
      </c>
      <c r="AA9" s="37">
        <v>551613</v>
      </c>
      <c r="AB9" s="37">
        <v>431358</v>
      </c>
      <c r="AC9" s="37">
        <v>451815</v>
      </c>
      <c r="AD9" s="37">
        <v>457851</v>
      </c>
      <c r="AE9" s="37">
        <v>419058</v>
      </c>
      <c r="AF9" s="37">
        <v>436643</v>
      </c>
      <c r="AG9" s="37">
        <v>275761</v>
      </c>
      <c r="AH9" s="37">
        <v>391123</v>
      </c>
      <c r="AI9" s="37">
        <v>457534</v>
      </c>
      <c r="AJ9" s="37">
        <v>382270</v>
      </c>
      <c r="AK9" s="37">
        <v>237954</v>
      </c>
      <c r="AL9" s="37">
        <v>281527</v>
      </c>
      <c r="AM9" s="37">
        <v>396735</v>
      </c>
      <c r="AN9" s="37">
        <v>267244</v>
      </c>
      <c r="AO9" s="37">
        <v>210785</v>
      </c>
      <c r="AP9" s="37">
        <v>170072</v>
      </c>
      <c r="AQ9" s="37">
        <v>725498</v>
      </c>
      <c r="AR9" s="37">
        <v>251314</v>
      </c>
      <c r="AS9" s="37">
        <v>308885</v>
      </c>
      <c r="AT9" s="37">
        <v>318767</v>
      </c>
      <c r="AU9" s="37">
        <v>526932</v>
      </c>
      <c r="AV9" s="37">
        <v>274338</v>
      </c>
      <c r="AW9" s="37">
        <v>293345</v>
      </c>
      <c r="AX9" s="37">
        <v>275437</v>
      </c>
      <c r="AY9" s="37">
        <v>261974</v>
      </c>
      <c r="AZ9" s="37">
        <v>121895</v>
      </c>
      <c r="BA9" s="37">
        <v>255968</v>
      </c>
      <c r="BB9" s="37">
        <v>183281</v>
      </c>
      <c r="BC9" s="37">
        <v>241233</v>
      </c>
      <c r="BD9" s="37">
        <v>200464</v>
      </c>
      <c r="BE9" s="37">
        <v>339717</v>
      </c>
      <c r="BF9" s="37">
        <v>210083</v>
      </c>
    </row>
    <row r="10" spans="1:58" x14ac:dyDescent="0.35">
      <c r="B10" s="36" t="str">
        <f>IF('Índice - Index'!$D$14="Português","Títulos e valores mobiliários","Securities")</f>
        <v>Títulos e valores mobiliários</v>
      </c>
      <c r="C10" s="37">
        <v>24808</v>
      </c>
      <c r="D10" s="37">
        <v>22738</v>
      </c>
      <c r="E10" s="37">
        <v>21375</v>
      </c>
      <c r="F10" s="37">
        <v>23080</v>
      </c>
      <c r="G10" s="37">
        <v>18952</v>
      </c>
      <c r="H10" s="37">
        <v>19440</v>
      </c>
      <c r="I10" s="37">
        <v>19184</v>
      </c>
      <c r="J10" s="37">
        <v>476</v>
      </c>
      <c r="K10" s="37">
        <v>360</v>
      </c>
      <c r="L10" s="37">
        <v>373</v>
      </c>
      <c r="M10" s="37">
        <v>1418</v>
      </c>
      <c r="N10" s="37">
        <v>1154</v>
      </c>
      <c r="O10" s="37">
        <v>1198</v>
      </c>
      <c r="P10" s="37">
        <v>9587</v>
      </c>
      <c r="Q10" s="37">
        <v>1182</v>
      </c>
      <c r="R10" s="37">
        <v>217</v>
      </c>
      <c r="S10" s="37">
        <v>217</v>
      </c>
      <c r="T10" s="37">
        <v>218</v>
      </c>
      <c r="U10" s="37">
        <v>218</v>
      </c>
      <c r="V10" s="37">
        <v>205</v>
      </c>
      <c r="W10" s="37">
        <v>205</v>
      </c>
      <c r="X10" s="37">
        <v>219</v>
      </c>
      <c r="Y10" s="37">
        <v>161</v>
      </c>
      <c r="Z10" s="37">
        <v>169</v>
      </c>
      <c r="AA10" s="37">
        <v>328</v>
      </c>
      <c r="AB10" s="37">
        <v>274</v>
      </c>
      <c r="AC10" s="37">
        <v>225</v>
      </c>
      <c r="AD10" s="37">
        <v>343</v>
      </c>
      <c r="AE10" s="37">
        <v>965</v>
      </c>
      <c r="AF10" s="37">
        <v>3010</v>
      </c>
      <c r="AG10" s="37">
        <v>3139</v>
      </c>
      <c r="AH10" s="37">
        <v>3064</v>
      </c>
      <c r="AI10" s="37">
        <v>970</v>
      </c>
      <c r="AJ10" s="37">
        <v>971</v>
      </c>
      <c r="AK10" s="37">
        <v>911</v>
      </c>
      <c r="AL10" s="37">
        <v>1029</v>
      </c>
      <c r="AM10" s="37">
        <v>1029</v>
      </c>
      <c r="AN10" s="37">
        <v>1079</v>
      </c>
      <c r="AO10" s="37">
        <v>1081</v>
      </c>
      <c r="AP10" s="37">
        <v>536</v>
      </c>
      <c r="AQ10" s="37">
        <v>515</v>
      </c>
      <c r="AR10" s="37">
        <v>407</v>
      </c>
      <c r="AS10" s="37">
        <v>407</v>
      </c>
      <c r="AT10" s="37">
        <v>406</v>
      </c>
      <c r="AU10" s="37">
        <v>388</v>
      </c>
      <c r="AV10" s="37">
        <v>63301</v>
      </c>
      <c r="AW10" s="37">
        <v>17888</v>
      </c>
      <c r="AX10" s="37">
        <v>43790</v>
      </c>
      <c r="AY10" s="37">
        <v>31085</v>
      </c>
      <c r="AZ10" s="37">
        <v>34473</v>
      </c>
      <c r="BA10" s="37">
        <v>29187</v>
      </c>
      <c r="BB10" s="37">
        <v>32996</v>
      </c>
      <c r="BC10" s="37">
        <v>62507</v>
      </c>
      <c r="BD10" s="37">
        <v>42287</v>
      </c>
      <c r="BE10" s="37">
        <v>29645</v>
      </c>
      <c r="BF10" s="37">
        <v>8547</v>
      </c>
    </row>
    <row r="11" spans="1:58" x14ac:dyDescent="0.35">
      <c r="B11" s="36" t="str">
        <f>IF('Índice - Index'!$D$14="Português","Instrumentos financeiros","Financial Intruments")</f>
        <v>Instrumentos financeiros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11328</v>
      </c>
      <c r="T11" s="37">
        <v>0</v>
      </c>
      <c r="U11" s="37">
        <v>0</v>
      </c>
      <c r="V11" s="37">
        <v>3614</v>
      </c>
      <c r="W11" s="37">
        <v>22011</v>
      </c>
      <c r="X11" s="37">
        <v>53865</v>
      </c>
      <c r="Y11" s="37">
        <v>37545</v>
      </c>
      <c r="Z11" s="37">
        <v>84071</v>
      </c>
      <c r="AA11" s="37">
        <v>21506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910</v>
      </c>
      <c r="AK11" s="37">
        <v>11373</v>
      </c>
      <c r="AL11" s="37">
        <v>3818</v>
      </c>
      <c r="AM11" s="37">
        <v>0</v>
      </c>
      <c r="AN11" s="37">
        <v>1005</v>
      </c>
      <c r="AO11" s="37">
        <v>0</v>
      </c>
      <c r="AP11" s="37">
        <v>640</v>
      </c>
      <c r="AQ11" s="37">
        <v>0</v>
      </c>
      <c r="AR11" s="37">
        <v>20635</v>
      </c>
      <c r="AS11" s="37">
        <v>9344</v>
      </c>
      <c r="AT11" s="37">
        <v>1286</v>
      </c>
      <c r="AU11" s="37">
        <v>0</v>
      </c>
      <c r="AV11" s="37">
        <v>3410</v>
      </c>
      <c r="AW11" s="37">
        <v>0</v>
      </c>
      <c r="AX11" s="37">
        <v>2506</v>
      </c>
      <c r="AY11" s="37">
        <v>3367</v>
      </c>
      <c r="AZ11" s="37">
        <v>0</v>
      </c>
      <c r="BA11" s="37">
        <v>0</v>
      </c>
      <c r="BB11" s="37">
        <v>537</v>
      </c>
      <c r="BC11" s="37">
        <v>0</v>
      </c>
      <c r="BD11" s="37">
        <v>0</v>
      </c>
      <c r="BE11" s="37">
        <v>0</v>
      </c>
      <c r="BF11" s="37">
        <v>260</v>
      </c>
    </row>
    <row r="12" spans="1:58" x14ac:dyDescent="0.35">
      <c r="B12" s="36" t="str">
        <f>IF('Índice - Index'!$D$14="Português","Contas a receber de clientes","Accounts receivable")</f>
        <v>Contas a receber de clientes</v>
      </c>
      <c r="C12" s="37">
        <v>556421</v>
      </c>
      <c r="D12" s="37">
        <v>466493</v>
      </c>
      <c r="E12" s="37">
        <v>506202</v>
      </c>
      <c r="F12" s="37">
        <v>460339</v>
      </c>
      <c r="G12" s="37">
        <v>634538</v>
      </c>
      <c r="H12" s="37">
        <v>539383</v>
      </c>
      <c r="I12" s="37">
        <v>603572</v>
      </c>
      <c r="J12" s="37">
        <v>538425</v>
      </c>
      <c r="K12" s="37">
        <v>682365</v>
      </c>
      <c r="L12" s="37">
        <v>568725</v>
      </c>
      <c r="M12" s="37">
        <v>679996</v>
      </c>
      <c r="N12" s="37">
        <v>693409</v>
      </c>
      <c r="O12" s="37">
        <v>878325</v>
      </c>
      <c r="P12" s="37">
        <v>745066</v>
      </c>
      <c r="Q12" s="37">
        <v>795720</v>
      </c>
      <c r="R12" s="37">
        <v>734596</v>
      </c>
      <c r="S12" s="37">
        <v>981626</v>
      </c>
      <c r="T12" s="37">
        <v>840446</v>
      </c>
      <c r="U12" s="37">
        <v>859727</v>
      </c>
      <c r="V12" s="37">
        <v>785239</v>
      </c>
      <c r="W12" s="37">
        <v>980364</v>
      </c>
      <c r="X12" s="37">
        <v>808362</v>
      </c>
      <c r="Y12" s="37">
        <v>790454</v>
      </c>
      <c r="Z12" s="37">
        <v>726780</v>
      </c>
      <c r="AA12" s="37">
        <v>831241</v>
      </c>
      <c r="AB12" s="37">
        <v>657412</v>
      </c>
      <c r="AC12" s="37">
        <v>749888</v>
      </c>
      <c r="AD12" s="37">
        <v>663722</v>
      </c>
      <c r="AE12" s="37">
        <v>675857</v>
      </c>
      <c r="AF12" s="37">
        <v>619711</v>
      </c>
      <c r="AG12" s="37">
        <v>646359</v>
      </c>
      <c r="AH12" s="37">
        <v>697286</v>
      </c>
      <c r="AI12" s="37">
        <v>800797</v>
      </c>
      <c r="AJ12" s="37">
        <v>595124</v>
      </c>
      <c r="AK12" s="37">
        <v>670070</v>
      </c>
      <c r="AL12" s="37">
        <v>652980</v>
      </c>
      <c r="AM12" s="37">
        <v>750897</v>
      </c>
      <c r="AN12" s="37">
        <v>681219.63910000003</v>
      </c>
      <c r="AO12" s="37">
        <v>749111</v>
      </c>
      <c r="AP12" s="37">
        <v>761372</v>
      </c>
      <c r="AQ12" s="37">
        <v>872491</v>
      </c>
      <c r="AR12" s="37">
        <v>683270</v>
      </c>
      <c r="AS12" s="37">
        <v>465573</v>
      </c>
      <c r="AT12" s="37">
        <v>538372</v>
      </c>
      <c r="AU12" s="37">
        <v>705175</v>
      </c>
      <c r="AV12" s="37">
        <v>562297</v>
      </c>
      <c r="AW12" s="37">
        <v>691093</v>
      </c>
      <c r="AX12" s="37">
        <v>714952</v>
      </c>
      <c r="AY12" s="37">
        <v>810374</v>
      </c>
      <c r="AZ12" s="37">
        <v>807963</v>
      </c>
      <c r="BA12" s="37">
        <v>816692</v>
      </c>
      <c r="BB12" s="37">
        <v>732572</v>
      </c>
      <c r="BC12" s="37">
        <v>617050</v>
      </c>
      <c r="BD12" s="246">
        <v>493306</v>
      </c>
      <c r="BE12" s="246">
        <v>404217</v>
      </c>
      <c r="BF12" s="246">
        <v>247641</v>
      </c>
    </row>
    <row r="13" spans="1:58" x14ac:dyDescent="0.35">
      <c r="B13" s="36" t="str">
        <f>IF('Índice - Index'!$D$14="Português","Estoques","Inventories")</f>
        <v>Estoques</v>
      </c>
      <c r="C13" s="37">
        <v>147449</v>
      </c>
      <c r="D13" s="37">
        <v>219582</v>
      </c>
      <c r="E13" s="37">
        <v>190792</v>
      </c>
      <c r="F13" s="37">
        <v>235073</v>
      </c>
      <c r="G13" s="37">
        <v>232016</v>
      </c>
      <c r="H13" s="37">
        <v>316514</v>
      </c>
      <c r="I13" s="37">
        <v>317069</v>
      </c>
      <c r="J13" s="37">
        <v>351125</v>
      </c>
      <c r="K13" s="37">
        <v>281391</v>
      </c>
      <c r="L13" s="37">
        <v>386472</v>
      </c>
      <c r="M13" s="37">
        <v>364797</v>
      </c>
      <c r="N13" s="37">
        <v>431536</v>
      </c>
      <c r="O13" s="37">
        <v>367580</v>
      </c>
      <c r="P13" s="37">
        <v>506867</v>
      </c>
      <c r="Q13" s="37">
        <v>418485</v>
      </c>
      <c r="R13" s="37">
        <v>422059</v>
      </c>
      <c r="S13" s="37">
        <v>342277</v>
      </c>
      <c r="T13" s="37">
        <v>596254</v>
      </c>
      <c r="U13" s="37">
        <v>507736</v>
      </c>
      <c r="V13" s="37">
        <v>484004</v>
      </c>
      <c r="W13" s="37">
        <v>372590</v>
      </c>
      <c r="X13" s="37">
        <v>570475.12979000004</v>
      </c>
      <c r="Y13" s="37">
        <v>480968</v>
      </c>
      <c r="Z13" s="37">
        <v>459497</v>
      </c>
      <c r="AA13" s="37">
        <v>329607</v>
      </c>
      <c r="AB13" s="37">
        <v>429638</v>
      </c>
      <c r="AC13" s="37">
        <v>333381</v>
      </c>
      <c r="AD13" s="37">
        <v>387015</v>
      </c>
      <c r="AE13" s="37">
        <v>338238</v>
      </c>
      <c r="AF13" s="37">
        <v>412556</v>
      </c>
      <c r="AG13" s="37">
        <v>437564</v>
      </c>
      <c r="AH13" s="37">
        <v>449820</v>
      </c>
      <c r="AI13" s="37">
        <v>418384</v>
      </c>
      <c r="AJ13" s="37">
        <v>482165</v>
      </c>
      <c r="AK13" s="37">
        <v>428768</v>
      </c>
      <c r="AL13" s="37">
        <v>375518</v>
      </c>
      <c r="AM13" s="37">
        <v>361299</v>
      </c>
      <c r="AN13" s="37">
        <v>457325.74356999999</v>
      </c>
      <c r="AO13" s="37">
        <v>437492</v>
      </c>
      <c r="AP13" s="37">
        <v>448973</v>
      </c>
      <c r="AQ13" s="37">
        <v>441670</v>
      </c>
      <c r="AR13" s="37">
        <v>537071</v>
      </c>
      <c r="AS13" s="37">
        <v>482815</v>
      </c>
      <c r="AT13" s="37">
        <v>352818</v>
      </c>
      <c r="AU13" s="37">
        <v>274877</v>
      </c>
      <c r="AV13" s="37">
        <v>463687</v>
      </c>
      <c r="AW13" s="37">
        <v>406714</v>
      </c>
      <c r="AX13" s="37">
        <v>431371</v>
      </c>
      <c r="AY13" s="37">
        <v>369329</v>
      </c>
      <c r="AZ13" s="37">
        <v>441333</v>
      </c>
      <c r="BA13" s="37">
        <v>373708</v>
      </c>
      <c r="BB13" s="37">
        <v>420376</v>
      </c>
      <c r="BC13" s="37">
        <v>384560</v>
      </c>
      <c r="BD13" s="37">
        <v>392572</v>
      </c>
      <c r="BE13" s="37">
        <v>190222</v>
      </c>
      <c r="BF13" s="37">
        <v>158820</v>
      </c>
    </row>
    <row r="14" spans="1:58" x14ac:dyDescent="0.35">
      <c r="B14" s="36" t="str">
        <f>IF('Índice - Index'!$D$14="Português","Partes relacionadas","Related Parties")</f>
        <v>Partes relacionadas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7255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504</v>
      </c>
      <c r="AJ14" s="37">
        <v>194</v>
      </c>
      <c r="AK14" s="37">
        <v>0</v>
      </c>
      <c r="AL14" s="37">
        <v>0</v>
      </c>
      <c r="AM14" s="37">
        <v>0</v>
      </c>
      <c r="AN14" s="37" t="s">
        <v>16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</row>
    <row r="15" spans="1:58" x14ac:dyDescent="0.35">
      <c r="B15" s="36" t="str">
        <f>IF('Índice - Index'!$D$14="Português","Impostos a recuperar","Recoverable Taxes")</f>
        <v>Impostos a recuperar</v>
      </c>
      <c r="C15" s="37">
        <v>30815</v>
      </c>
      <c r="D15" s="37">
        <v>36669</v>
      </c>
      <c r="E15" s="37">
        <v>43794</v>
      </c>
      <c r="F15" s="37">
        <v>50803</v>
      </c>
      <c r="G15" s="37">
        <v>44343</v>
      </c>
      <c r="H15" s="37">
        <v>36995</v>
      </c>
      <c r="I15" s="37">
        <v>64721</v>
      </c>
      <c r="J15" s="37">
        <v>74504</v>
      </c>
      <c r="K15" s="37">
        <v>80891</v>
      </c>
      <c r="L15" s="37">
        <v>95243</v>
      </c>
      <c r="M15" s="37">
        <v>81626</v>
      </c>
      <c r="N15" s="37">
        <v>105882</v>
      </c>
      <c r="O15" s="37">
        <v>61398</v>
      </c>
      <c r="P15" s="37">
        <v>74199</v>
      </c>
      <c r="Q15" s="37">
        <v>73219</v>
      </c>
      <c r="R15" s="37">
        <v>65826</v>
      </c>
      <c r="S15" s="37">
        <v>52699</v>
      </c>
      <c r="T15" s="37">
        <v>65111</v>
      </c>
      <c r="U15" s="37">
        <v>59293</v>
      </c>
      <c r="V15" s="37">
        <v>53715</v>
      </c>
      <c r="W15" s="37">
        <v>51091</v>
      </c>
      <c r="X15" s="37">
        <v>60811</v>
      </c>
      <c r="Y15" s="37">
        <v>64597</v>
      </c>
      <c r="Z15" s="37">
        <v>23929</v>
      </c>
      <c r="AA15" s="37">
        <v>81815</v>
      </c>
      <c r="AB15" s="37">
        <v>105252</v>
      </c>
      <c r="AC15" s="37">
        <v>102472</v>
      </c>
      <c r="AD15" s="37">
        <v>73158</v>
      </c>
      <c r="AE15" s="37">
        <v>53082</v>
      </c>
      <c r="AF15" s="37">
        <v>50666</v>
      </c>
      <c r="AG15" s="37">
        <v>44362</v>
      </c>
      <c r="AH15" s="37">
        <v>51801</v>
      </c>
      <c r="AI15" s="37">
        <v>28788</v>
      </c>
      <c r="AJ15" s="37">
        <v>64340</v>
      </c>
      <c r="AK15" s="37">
        <v>88312</v>
      </c>
      <c r="AL15" s="37">
        <v>153431</v>
      </c>
      <c r="AM15" s="37">
        <v>348143</v>
      </c>
      <c r="AN15" s="37">
        <v>216298.57962999999</v>
      </c>
      <c r="AO15" s="37">
        <v>218485</v>
      </c>
      <c r="AP15" s="37">
        <v>364127</v>
      </c>
      <c r="AQ15" s="37">
        <v>276692</v>
      </c>
      <c r="AR15" s="37">
        <v>287569</v>
      </c>
      <c r="AS15" s="37">
        <v>164948</v>
      </c>
      <c r="AT15" s="37">
        <v>226225</v>
      </c>
      <c r="AU15" s="37">
        <v>180988</v>
      </c>
      <c r="AV15" s="37">
        <v>211392</v>
      </c>
      <c r="AW15" s="37">
        <v>172104</v>
      </c>
      <c r="AX15" s="37">
        <v>174875</v>
      </c>
      <c r="AY15" s="37">
        <v>187258</v>
      </c>
      <c r="AZ15" s="37">
        <v>194263</v>
      </c>
      <c r="BA15" s="37">
        <v>197757</v>
      </c>
      <c r="BB15" s="37">
        <v>218199</v>
      </c>
      <c r="BC15" s="37">
        <v>223866</v>
      </c>
      <c r="BD15" s="37">
        <v>207844</v>
      </c>
      <c r="BE15" s="37">
        <v>191776</v>
      </c>
      <c r="BF15" s="37">
        <v>209713</v>
      </c>
    </row>
    <row r="16" spans="1:58" x14ac:dyDescent="0.35">
      <c r="B16" s="36" t="str">
        <f>IF('Índice - Index'!$D$14="Português","Imposto de Renda e Contribuição Social","Income Tax &amp; Social Contribution")</f>
        <v>Imposto de Renda e Contribuição Social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47020</v>
      </c>
      <c r="AA16" s="37">
        <v>0</v>
      </c>
      <c r="AB16" s="37">
        <v>0</v>
      </c>
      <c r="AC16" s="37">
        <v>0</v>
      </c>
      <c r="AD16" s="37">
        <v>39839</v>
      </c>
      <c r="AE16" s="37">
        <v>40302</v>
      </c>
      <c r="AF16" s="37">
        <v>54593</v>
      </c>
      <c r="AG16" s="37">
        <v>66555</v>
      </c>
      <c r="AH16" s="37">
        <v>71295</v>
      </c>
      <c r="AI16" s="37">
        <v>69477</v>
      </c>
      <c r="AJ16" s="37">
        <v>48635</v>
      </c>
      <c r="AK16" s="37">
        <v>52760</v>
      </c>
      <c r="AL16" s="37">
        <v>61019</v>
      </c>
      <c r="AM16" s="37">
        <v>71115</v>
      </c>
      <c r="AN16" s="37">
        <v>88752.613440000001</v>
      </c>
      <c r="AO16" s="37">
        <v>72675</v>
      </c>
      <c r="AP16" s="37">
        <v>111745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</row>
    <row r="17" spans="2:58" x14ac:dyDescent="0.35">
      <c r="B17" s="36" t="str">
        <f>IF('Índice - Index'!$D$14="Português","Outros créditos","Other Credits")</f>
        <v>Outros créditos</v>
      </c>
      <c r="C17" s="37">
        <v>15497</v>
      </c>
      <c r="D17" s="37">
        <v>20458</v>
      </c>
      <c r="E17" s="37">
        <v>26806</v>
      </c>
      <c r="F17" s="37">
        <v>29301</v>
      </c>
      <c r="G17" s="37">
        <v>16133</v>
      </c>
      <c r="H17" s="37">
        <v>29440</v>
      </c>
      <c r="I17" s="37">
        <v>29236</v>
      </c>
      <c r="J17" s="37">
        <v>30986</v>
      </c>
      <c r="K17" s="37">
        <v>21166</v>
      </c>
      <c r="L17" s="37">
        <v>37136</v>
      </c>
      <c r="M17" s="37">
        <v>38646</v>
      </c>
      <c r="N17" s="37">
        <v>60085</v>
      </c>
      <c r="O17" s="37">
        <v>85903</v>
      </c>
      <c r="P17" s="37">
        <v>94356</v>
      </c>
      <c r="Q17" s="37">
        <v>89272</v>
      </c>
      <c r="R17" s="37">
        <v>81752</v>
      </c>
      <c r="S17" s="37">
        <v>47965</v>
      </c>
      <c r="T17" s="37">
        <v>71669</v>
      </c>
      <c r="U17" s="37">
        <v>80245</v>
      </c>
      <c r="V17" s="37">
        <v>84194</v>
      </c>
      <c r="W17" s="37">
        <v>49928</v>
      </c>
      <c r="X17" s="37">
        <v>67305</v>
      </c>
      <c r="Y17" s="37">
        <v>65980</v>
      </c>
      <c r="Z17" s="37">
        <v>70044</v>
      </c>
      <c r="AA17" s="37">
        <v>39439</v>
      </c>
      <c r="AB17" s="37">
        <v>72658</v>
      </c>
      <c r="AC17" s="37">
        <v>94576</v>
      </c>
      <c r="AD17" s="37">
        <v>73071</v>
      </c>
      <c r="AE17" s="37">
        <v>63031</v>
      </c>
      <c r="AF17" s="37">
        <v>119216</v>
      </c>
      <c r="AG17" s="37">
        <v>85890</v>
      </c>
      <c r="AH17" s="37">
        <v>74048</v>
      </c>
      <c r="AI17" s="37">
        <v>70858</v>
      </c>
      <c r="AJ17" s="37">
        <v>106411</v>
      </c>
      <c r="AK17" s="37">
        <v>102081</v>
      </c>
      <c r="AL17" s="37">
        <v>88524</v>
      </c>
      <c r="AM17" s="37">
        <v>52810</v>
      </c>
      <c r="AN17" s="37">
        <v>66368</v>
      </c>
      <c r="AO17" s="37">
        <v>68817</v>
      </c>
      <c r="AP17" s="37">
        <v>71559.171040000001</v>
      </c>
      <c r="AQ17" s="37">
        <v>58687</v>
      </c>
      <c r="AR17" s="37">
        <v>73522</v>
      </c>
      <c r="AS17" s="37">
        <v>60264</v>
      </c>
      <c r="AT17" s="37">
        <v>54784</v>
      </c>
      <c r="AU17" s="37">
        <v>98915</v>
      </c>
      <c r="AV17" s="37">
        <v>75818</v>
      </c>
      <c r="AW17" s="37">
        <v>75959</v>
      </c>
      <c r="AX17" s="37">
        <v>76519</v>
      </c>
      <c r="AY17" s="37">
        <v>63540</v>
      </c>
      <c r="AZ17" s="37">
        <v>75401</v>
      </c>
      <c r="BA17" s="37">
        <v>65602</v>
      </c>
      <c r="BB17" s="37">
        <v>55555</v>
      </c>
      <c r="BC17" s="37">
        <v>42844</v>
      </c>
      <c r="BD17" s="37">
        <v>66758</v>
      </c>
      <c r="BE17" s="37">
        <v>52194</v>
      </c>
      <c r="BF17" s="37">
        <v>143886</v>
      </c>
    </row>
    <row r="18" spans="2:58" x14ac:dyDescent="0.35">
      <c r="B18" s="34" t="str">
        <f>IF('Índice - Index'!$D$14="Português","Total do ativo circulante","Total Current Assets")</f>
        <v>Total do ativo circulante</v>
      </c>
      <c r="C18" s="39">
        <f t="shared" ref="C18:AT18" si="0">SUM(C9:C17)</f>
        <v>1108950</v>
      </c>
      <c r="D18" s="39">
        <f t="shared" si="0"/>
        <v>1005799</v>
      </c>
      <c r="E18" s="39">
        <f t="shared" si="0"/>
        <v>993394</v>
      </c>
      <c r="F18" s="39">
        <f t="shared" si="0"/>
        <v>1085827</v>
      </c>
      <c r="G18" s="39">
        <f t="shared" si="0"/>
        <v>1467670</v>
      </c>
      <c r="H18" s="39">
        <f t="shared" si="0"/>
        <v>1589246</v>
      </c>
      <c r="I18" s="39">
        <f t="shared" si="0"/>
        <v>1840148</v>
      </c>
      <c r="J18" s="39">
        <f t="shared" si="0"/>
        <v>1276584</v>
      </c>
      <c r="K18" s="39">
        <f t="shared" si="0"/>
        <v>1707467</v>
      </c>
      <c r="L18" s="39">
        <f t="shared" si="0"/>
        <v>1397668</v>
      </c>
      <c r="M18" s="39">
        <f t="shared" si="0"/>
        <v>1453376</v>
      </c>
      <c r="N18" s="39">
        <f t="shared" si="0"/>
        <v>1559775</v>
      </c>
      <c r="O18" s="39">
        <f t="shared" si="0"/>
        <v>1679723</v>
      </c>
      <c r="P18" s="39">
        <f t="shared" si="0"/>
        <v>1541340</v>
      </c>
      <c r="Q18" s="39">
        <f t="shared" si="0"/>
        <v>1524896</v>
      </c>
      <c r="R18" s="39">
        <f t="shared" si="0"/>
        <v>1493124</v>
      </c>
      <c r="S18" s="39">
        <f t="shared" si="0"/>
        <v>1693995</v>
      </c>
      <c r="T18" s="39">
        <f t="shared" si="0"/>
        <v>1729921</v>
      </c>
      <c r="U18" s="39">
        <f t="shared" si="0"/>
        <v>1786065</v>
      </c>
      <c r="V18" s="39">
        <f t="shared" si="0"/>
        <v>1804496</v>
      </c>
      <c r="W18" s="39">
        <f t="shared" si="0"/>
        <v>1986869</v>
      </c>
      <c r="X18" s="39">
        <f t="shared" si="0"/>
        <v>1935689.1297900002</v>
      </c>
      <c r="Y18" s="39">
        <f t="shared" si="0"/>
        <v>1935656</v>
      </c>
      <c r="Z18" s="39">
        <f t="shared" si="0"/>
        <v>2056838</v>
      </c>
      <c r="AA18" s="39">
        <f t="shared" si="0"/>
        <v>1862804</v>
      </c>
      <c r="AB18" s="39">
        <f t="shared" si="0"/>
        <v>1696592</v>
      </c>
      <c r="AC18" s="39">
        <f t="shared" si="0"/>
        <v>1732357</v>
      </c>
      <c r="AD18" s="39">
        <f t="shared" si="0"/>
        <v>1694999</v>
      </c>
      <c r="AE18" s="39">
        <f t="shared" si="0"/>
        <v>1590533</v>
      </c>
      <c r="AF18" s="39">
        <f t="shared" si="0"/>
        <v>1696395</v>
      </c>
      <c r="AG18" s="39">
        <f t="shared" si="0"/>
        <v>1559630</v>
      </c>
      <c r="AH18" s="39">
        <f t="shared" si="0"/>
        <v>1738437</v>
      </c>
      <c r="AI18" s="39">
        <f t="shared" si="0"/>
        <v>1847312</v>
      </c>
      <c r="AJ18" s="39">
        <f t="shared" si="0"/>
        <v>1681020</v>
      </c>
      <c r="AK18" s="39">
        <f t="shared" si="0"/>
        <v>1592229</v>
      </c>
      <c r="AL18" s="39">
        <f t="shared" si="0"/>
        <v>1617846</v>
      </c>
      <c r="AM18" s="39">
        <f t="shared" si="0"/>
        <v>1982028</v>
      </c>
      <c r="AN18" s="39">
        <f t="shared" si="0"/>
        <v>1779292.57574</v>
      </c>
      <c r="AO18" s="39">
        <f t="shared" si="0"/>
        <v>1758446</v>
      </c>
      <c r="AP18" s="39">
        <f t="shared" si="0"/>
        <v>1929024.1710399999</v>
      </c>
      <c r="AQ18" s="39">
        <f t="shared" si="0"/>
        <v>2375553</v>
      </c>
      <c r="AR18" s="39">
        <f t="shared" si="0"/>
        <v>1853788</v>
      </c>
      <c r="AS18" s="39">
        <f t="shared" si="0"/>
        <v>1492236</v>
      </c>
      <c r="AT18" s="39">
        <f t="shared" si="0"/>
        <v>1492658</v>
      </c>
      <c r="AU18" s="39">
        <v>1787275</v>
      </c>
      <c r="AV18" s="39">
        <v>1654243</v>
      </c>
      <c r="AW18" s="39">
        <f>SUM(AW9:AW17)</f>
        <v>1657103</v>
      </c>
      <c r="AX18" s="39">
        <f>SUM(AX9:AX17)</f>
        <v>1719450</v>
      </c>
      <c r="AY18" s="39">
        <f>SUM(AY9:AY17)</f>
        <v>1726927</v>
      </c>
      <c r="AZ18" s="39">
        <v>1675328</v>
      </c>
      <c r="BA18" s="39">
        <f t="shared" ref="BA18:BF18" si="1">SUM(BA9:BA17)</f>
        <v>1738914</v>
      </c>
      <c r="BB18" s="39">
        <f t="shared" si="1"/>
        <v>1643516</v>
      </c>
      <c r="BC18" s="39">
        <f t="shared" si="1"/>
        <v>1572060</v>
      </c>
      <c r="BD18" s="39">
        <f t="shared" si="1"/>
        <v>1403231</v>
      </c>
      <c r="BE18" s="39">
        <f t="shared" si="1"/>
        <v>1207771</v>
      </c>
      <c r="BF18" s="39">
        <f t="shared" si="1"/>
        <v>978950</v>
      </c>
    </row>
    <row r="19" spans="2:58" ht="14.5" x14ac:dyDescent="0.35">
      <c r="B19" s="40"/>
      <c r="C19" s="41"/>
      <c r="D19" s="41"/>
      <c r="E19" s="41"/>
      <c r="F19" s="41"/>
      <c r="G19" s="41"/>
      <c r="H19"/>
      <c r="I19" s="41"/>
      <c r="J19" s="41"/>
      <c r="K19" s="41"/>
      <c r="AE19" s="53"/>
      <c r="AF19" s="53"/>
      <c r="AG19" s="53"/>
      <c r="AH19" s="53"/>
      <c r="AI19" s="53"/>
      <c r="AJ19" s="27"/>
      <c r="AK19" s="27"/>
      <c r="AL19" s="27"/>
      <c r="AM19" s="27"/>
      <c r="AN19" s="53"/>
      <c r="AO19" s="53"/>
      <c r="AP19" s="53"/>
      <c r="AQ19" s="53"/>
      <c r="AR19" s="53"/>
      <c r="AS19" s="53"/>
      <c r="AT19" s="53"/>
      <c r="AU19" s="53"/>
      <c r="AV19" s="53"/>
      <c r="AY19" s="53"/>
      <c r="BC19" s="53"/>
    </row>
    <row r="20" spans="2:58" x14ac:dyDescent="0.35">
      <c r="B20" s="34" t="str">
        <f>IF('Índice - Index'!$D$14="Português","NÃO CIRCULANTE","NONCURRENT ASSETS")</f>
        <v>NÃO CIRCULANTE</v>
      </c>
      <c r="C20" s="41"/>
      <c r="D20" s="41"/>
      <c r="E20" s="41"/>
      <c r="F20" s="41"/>
      <c r="G20" s="41"/>
      <c r="H20" s="41"/>
      <c r="I20" s="41"/>
      <c r="J20" s="41"/>
      <c r="K20" s="41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Y20" s="27"/>
      <c r="BC20" s="27"/>
    </row>
    <row r="21" spans="2:58" x14ac:dyDescent="0.35">
      <c r="B21" s="36" t="str">
        <f>IF('Índice - Index'!$D$14="Português","Contas a receber de clientes","Accounts receivable clients")</f>
        <v>Contas a receber de clientes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>
        <v>0</v>
      </c>
      <c r="AZ21" s="37"/>
      <c r="BA21" s="37"/>
      <c r="BB21" s="37">
        <v>19953</v>
      </c>
      <c r="BC21" s="37">
        <v>13594</v>
      </c>
      <c r="BD21" s="37">
        <v>4328</v>
      </c>
      <c r="BE21" s="37">
        <v>3347</v>
      </c>
      <c r="BF21" s="37">
        <v>2441</v>
      </c>
    </row>
    <row r="22" spans="2:58" x14ac:dyDescent="0.35">
      <c r="B22" s="36" t="str">
        <f>IF('Índice - Index'!$D$14="Português","IR e CSLL diferidos","Def. Income and social c. taxes")</f>
        <v>IR e CSLL diferidos</v>
      </c>
      <c r="C22" s="37">
        <v>77093</v>
      </c>
      <c r="D22" s="37">
        <v>79459</v>
      </c>
      <c r="E22" s="37">
        <v>76894</v>
      </c>
      <c r="F22" s="37">
        <v>67586</v>
      </c>
      <c r="G22" s="37">
        <v>72977</v>
      </c>
      <c r="H22" s="37">
        <v>79784</v>
      </c>
      <c r="I22" s="37">
        <v>95446</v>
      </c>
      <c r="J22" s="37">
        <v>85073</v>
      </c>
      <c r="K22" s="37">
        <v>83328</v>
      </c>
      <c r="L22" s="37">
        <v>96437</v>
      </c>
      <c r="M22" s="37">
        <v>89252</v>
      </c>
      <c r="N22" s="37">
        <v>89146</v>
      </c>
      <c r="O22" s="37">
        <v>80594</v>
      </c>
      <c r="P22" s="37">
        <v>97679</v>
      </c>
      <c r="Q22" s="37">
        <v>104063</v>
      </c>
      <c r="R22" s="37">
        <v>115161</v>
      </c>
      <c r="S22" s="37">
        <v>112987</v>
      </c>
      <c r="T22" s="37">
        <v>141533</v>
      </c>
      <c r="U22" s="37">
        <v>167348</v>
      </c>
      <c r="V22" s="37">
        <v>193985</v>
      </c>
      <c r="W22" s="37">
        <v>184566</v>
      </c>
      <c r="X22" s="37">
        <v>195078.792254</v>
      </c>
      <c r="Y22" s="37">
        <v>232092.96971820001</v>
      </c>
      <c r="Z22" s="37">
        <v>248472.95230020001</v>
      </c>
      <c r="AA22" s="37">
        <v>270792.07420910447</v>
      </c>
      <c r="AB22" s="37">
        <v>301840.05844980001</v>
      </c>
      <c r="AC22" s="37">
        <v>318865.08342659997</v>
      </c>
      <c r="AD22" s="37">
        <v>352121</v>
      </c>
      <c r="AE22" s="37">
        <v>371852</v>
      </c>
      <c r="AF22" s="37">
        <v>380761</v>
      </c>
      <c r="AG22" s="37">
        <v>416713</v>
      </c>
      <c r="AH22" s="37">
        <v>410184</v>
      </c>
      <c r="AI22" s="37">
        <v>407407</v>
      </c>
      <c r="AJ22" s="37">
        <v>398911</v>
      </c>
      <c r="AK22" s="37">
        <v>385166</v>
      </c>
      <c r="AL22" s="37">
        <v>364577</v>
      </c>
      <c r="AM22" s="37">
        <v>70344</v>
      </c>
      <c r="AN22" s="37">
        <v>65021.298259999996</v>
      </c>
      <c r="AO22" s="37">
        <v>70600</v>
      </c>
      <c r="AP22" s="37">
        <v>68265</v>
      </c>
      <c r="AQ22" s="37">
        <v>69525</v>
      </c>
      <c r="AR22" s="37">
        <v>66997</v>
      </c>
      <c r="AS22" s="37">
        <v>80791</v>
      </c>
      <c r="AT22" s="37">
        <v>80978</v>
      </c>
      <c r="AU22" s="37">
        <v>74817</v>
      </c>
      <c r="AV22" s="37">
        <v>61563</v>
      </c>
      <c r="AW22" s="37">
        <v>75573</v>
      </c>
      <c r="AX22" s="37">
        <v>67165</v>
      </c>
      <c r="AY22" s="37">
        <v>69482</v>
      </c>
      <c r="AZ22" s="37">
        <v>80161</v>
      </c>
      <c r="BA22" s="37">
        <v>102288</v>
      </c>
      <c r="BB22" s="37">
        <v>122682</v>
      </c>
      <c r="BC22" s="37">
        <v>70778</v>
      </c>
      <c r="BD22" s="37">
        <v>79496</v>
      </c>
      <c r="BE22" s="37">
        <v>96671</v>
      </c>
      <c r="BF22" s="37">
        <v>96670</v>
      </c>
    </row>
    <row r="23" spans="2:58" x14ac:dyDescent="0.35">
      <c r="B23" s="36" t="str">
        <f>IF('Índice - Index'!$D$14="Português","Impostos a recuperar","Recoverable Taxes")</f>
        <v>Impostos a recuperar</v>
      </c>
      <c r="C23" s="37">
        <v>26220</v>
      </c>
      <c r="D23" s="37">
        <v>31181</v>
      </c>
      <c r="E23" s="37">
        <v>33985</v>
      </c>
      <c r="F23" s="37">
        <v>35972</v>
      </c>
      <c r="G23" s="37">
        <v>42005</v>
      </c>
      <c r="H23" s="37">
        <v>46329</v>
      </c>
      <c r="I23" s="37">
        <v>41587</v>
      </c>
      <c r="J23" s="37">
        <v>69149</v>
      </c>
      <c r="K23" s="37">
        <v>34642</v>
      </c>
      <c r="L23" s="37">
        <v>35498</v>
      </c>
      <c r="M23" s="37">
        <v>32309</v>
      </c>
      <c r="N23" s="37">
        <v>22929</v>
      </c>
      <c r="O23" s="37">
        <v>21874</v>
      </c>
      <c r="P23" s="37">
        <v>13207</v>
      </c>
      <c r="Q23" s="37">
        <v>13398</v>
      </c>
      <c r="R23" s="37">
        <v>13816</v>
      </c>
      <c r="S23" s="37">
        <v>14195</v>
      </c>
      <c r="T23" s="37">
        <v>14582</v>
      </c>
      <c r="U23" s="37">
        <v>15095</v>
      </c>
      <c r="V23" s="37">
        <v>15838</v>
      </c>
      <c r="W23" s="37">
        <v>16271</v>
      </c>
      <c r="X23" s="37">
        <v>16318</v>
      </c>
      <c r="Y23" s="37">
        <v>11906</v>
      </c>
      <c r="Z23" s="37">
        <v>7060</v>
      </c>
      <c r="AA23" s="37">
        <v>272</v>
      </c>
      <c r="AB23" s="37">
        <v>575</v>
      </c>
      <c r="AC23" s="37">
        <v>1812</v>
      </c>
      <c r="AD23" s="37">
        <v>3091</v>
      </c>
      <c r="AE23" s="37">
        <v>10242</v>
      </c>
      <c r="AF23" s="37">
        <v>2742</v>
      </c>
      <c r="AG23" s="37">
        <v>2741</v>
      </c>
      <c r="AH23" s="37">
        <v>3016</v>
      </c>
      <c r="AI23" s="37">
        <v>2199</v>
      </c>
      <c r="AJ23" s="37">
        <v>3901</v>
      </c>
      <c r="AK23" s="37">
        <v>3662</v>
      </c>
      <c r="AL23" s="37">
        <v>3807</v>
      </c>
      <c r="AM23" s="37">
        <v>548129</v>
      </c>
      <c r="AN23" s="37">
        <v>547888.63239000004</v>
      </c>
      <c r="AO23" s="37">
        <v>547701</v>
      </c>
      <c r="AP23" s="37">
        <v>381149</v>
      </c>
      <c r="AQ23" s="37">
        <v>550052</v>
      </c>
      <c r="AR23" s="37">
        <v>547207</v>
      </c>
      <c r="AS23" s="37">
        <v>630609</v>
      </c>
      <c r="AT23" s="37">
        <v>534402</v>
      </c>
      <c r="AU23" s="37">
        <v>560554</v>
      </c>
      <c r="AV23" s="37">
        <v>581667</v>
      </c>
      <c r="AW23" s="37">
        <v>580119</v>
      </c>
      <c r="AX23" s="37">
        <v>663564</v>
      </c>
      <c r="AY23" s="37">
        <v>638297</v>
      </c>
      <c r="AZ23" s="37">
        <v>638073</v>
      </c>
      <c r="BA23" s="37">
        <v>616462</v>
      </c>
      <c r="BB23" s="37">
        <v>601520</v>
      </c>
      <c r="BC23" s="37">
        <v>536407</v>
      </c>
      <c r="BD23" s="37">
        <v>538900</v>
      </c>
      <c r="BE23" s="37">
        <v>573973</v>
      </c>
      <c r="BF23" s="37">
        <v>553235</v>
      </c>
    </row>
    <row r="24" spans="2:58" x14ac:dyDescent="0.35">
      <c r="B24" s="36" t="s">
        <v>34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>
        <v>3464</v>
      </c>
      <c r="AW24" s="37">
        <v>3888</v>
      </c>
      <c r="AX24" s="37">
        <v>3764</v>
      </c>
      <c r="AY24" s="37">
        <v>3496</v>
      </c>
      <c r="AZ24" s="37">
        <v>3008</v>
      </c>
      <c r="BA24" s="37">
        <v>2699</v>
      </c>
      <c r="BB24" s="37">
        <v>2578</v>
      </c>
      <c r="BC24" s="37">
        <v>2307</v>
      </c>
      <c r="BD24" s="37">
        <v>2020</v>
      </c>
      <c r="BE24" s="37">
        <v>9323</v>
      </c>
      <c r="BF24" s="37">
        <v>11722</v>
      </c>
    </row>
    <row r="25" spans="2:58" x14ac:dyDescent="0.35">
      <c r="B25" s="36" t="str">
        <f>IF('Índice - Index'!$D$14="Português","Depósitos Judiciais","Judicial Deposits")</f>
        <v>Depósitos Judiciais</v>
      </c>
      <c r="C25" s="37">
        <v>31100</v>
      </c>
      <c r="D25" s="37">
        <v>35556</v>
      </c>
      <c r="E25" s="37">
        <v>36176</v>
      </c>
      <c r="F25" s="37">
        <v>38685</v>
      </c>
      <c r="G25" s="37">
        <v>39817</v>
      </c>
      <c r="H25" s="37">
        <v>41606</v>
      </c>
      <c r="I25" s="37">
        <v>37773</v>
      </c>
      <c r="J25" s="37">
        <v>40782</v>
      </c>
      <c r="K25" s="37">
        <v>36669</v>
      </c>
      <c r="L25" s="37">
        <v>44851</v>
      </c>
      <c r="M25" s="37">
        <v>46531</v>
      </c>
      <c r="N25" s="37">
        <v>48549</v>
      </c>
      <c r="O25" s="37">
        <v>50055</v>
      </c>
      <c r="P25" s="37">
        <v>49742</v>
      </c>
      <c r="Q25" s="37">
        <v>51532</v>
      </c>
      <c r="R25" s="37">
        <v>44091</v>
      </c>
      <c r="S25" s="37">
        <v>44846</v>
      </c>
      <c r="T25" s="37">
        <v>52376</v>
      </c>
      <c r="U25" s="37">
        <v>54081</v>
      </c>
      <c r="V25" s="37">
        <v>54398</v>
      </c>
      <c r="W25" s="37">
        <v>55299</v>
      </c>
      <c r="X25" s="37">
        <v>56612</v>
      </c>
      <c r="Y25" s="37">
        <v>57001</v>
      </c>
      <c r="Z25" s="37">
        <v>56454</v>
      </c>
      <c r="AA25" s="37">
        <v>56491</v>
      </c>
      <c r="AB25" s="37">
        <v>59864</v>
      </c>
      <c r="AC25" s="37">
        <v>74910</v>
      </c>
      <c r="AD25" s="37">
        <v>75242</v>
      </c>
      <c r="AE25" s="37">
        <v>79391</v>
      </c>
      <c r="AF25" s="37">
        <v>74174</v>
      </c>
      <c r="AG25" s="37">
        <v>102915</v>
      </c>
      <c r="AH25" s="37">
        <v>104974</v>
      </c>
      <c r="AI25" s="37">
        <v>106480</v>
      </c>
      <c r="AJ25" s="37">
        <v>124265</v>
      </c>
      <c r="AK25" s="37">
        <v>125834</v>
      </c>
      <c r="AL25" s="37">
        <v>126560</v>
      </c>
      <c r="AM25" s="37">
        <v>123790</v>
      </c>
      <c r="AN25" s="37">
        <v>124143.36929999999</v>
      </c>
      <c r="AO25" s="37">
        <v>127434</v>
      </c>
      <c r="AP25" s="37">
        <v>129404</v>
      </c>
      <c r="AQ25" s="37">
        <v>133404</v>
      </c>
      <c r="AR25" s="37">
        <v>135031</v>
      </c>
      <c r="AS25" s="37">
        <v>141432</v>
      </c>
      <c r="AT25" s="37">
        <v>143693</v>
      </c>
      <c r="AU25" s="37">
        <v>142035</v>
      </c>
      <c r="AV25" s="37">
        <v>137634</v>
      </c>
      <c r="AW25" s="37">
        <v>135388</v>
      </c>
      <c r="AX25" s="37">
        <v>133506</v>
      </c>
      <c r="AY25" s="37">
        <v>134024</v>
      </c>
      <c r="AZ25" s="37">
        <v>135178</v>
      </c>
      <c r="BA25" s="37">
        <v>137987</v>
      </c>
      <c r="BB25" s="37">
        <v>141877</v>
      </c>
      <c r="BC25" s="37">
        <v>145151</v>
      </c>
      <c r="BD25" s="37">
        <v>144899</v>
      </c>
      <c r="BE25" s="37">
        <v>143642</v>
      </c>
      <c r="BF25" s="37">
        <v>147510</v>
      </c>
    </row>
    <row r="26" spans="2:58" x14ac:dyDescent="0.35">
      <c r="B26" s="36" t="str">
        <f>IF('Índice - Index'!$D$14="Português","Títulos e valores mobiliários","Securities")</f>
        <v>Títulos e valores mobiliários</v>
      </c>
      <c r="C26" s="37">
        <v>0</v>
      </c>
      <c r="D26" s="37">
        <v>0</v>
      </c>
      <c r="E26" s="37">
        <v>0</v>
      </c>
      <c r="F26" s="37">
        <v>0</v>
      </c>
      <c r="G26" s="37">
        <v>5069</v>
      </c>
      <c r="H26" s="37">
        <v>5121</v>
      </c>
      <c r="I26" s="37">
        <v>5236</v>
      </c>
      <c r="J26" s="37">
        <v>5525</v>
      </c>
      <c r="K26" s="37">
        <v>5690</v>
      </c>
      <c r="L26" s="37">
        <v>6052</v>
      </c>
      <c r="M26" s="37">
        <v>5923</v>
      </c>
      <c r="N26" s="37">
        <v>5860</v>
      </c>
      <c r="O26" s="37">
        <v>6879</v>
      </c>
      <c r="P26" s="37">
        <v>7322</v>
      </c>
      <c r="Q26" s="37">
        <v>7419</v>
      </c>
      <c r="R26" s="37">
        <v>7431</v>
      </c>
      <c r="S26" s="37">
        <v>7874</v>
      </c>
      <c r="T26" s="37">
        <v>6663</v>
      </c>
      <c r="U26" s="37">
        <v>17000</v>
      </c>
      <c r="V26" s="37">
        <v>14118</v>
      </c>
      <c r="W26" s="37">
        <v>14010</v>
      </c>
      <c r="X26" s="37">
        <v>4436</v>
      </c>
      <c r="Y26" s="37">
        <v>4619</v>
      </c>
      <c r="Z26" s="37">
        <v>2530</v>
      </c>
      <c r="AA26" s="37">
        <v>12796</v>
      </c>
      <c r="AB26" s="37">
        <v>18515</v>
      </c>
      <c r="AC26" s="37">
        <v>15931</v>
      </c>
      <c r="AD26" s="37">
        <v>13132</v>
      </c>
      <c r="AE26" s="37">
        <v>29656</v>
      </c>
      <c r="AF26" s="37">
        <v>26487</v>
      </c>
      <c r="AG26" s="37">
        <v>27710</v>
      </c>
      <c r="AH26" s="37">
        <v>22557</v>
      </c>
      <c r="AI26" s="37">
        <v>22312</v>
      </c>
      <c r="AJ26" s="37">
        <v>24837</v>
      </c>
      <c r="AK26" s="37">
        <v>62178</v>
      </c>
      <c r="AL26" s="37">
        <v>99993</v>
      </c>
      <c r="AM26" s="37">
        <v>96703</v>
      </c>
      <c r="AN26" s="37">
        <v>86206.28933</v>
      </c>
      <c r="AO26" s="37">
        <v>90875</v>
      </c>
      <c r="AP26" s="37">
        <v>70137</v>
      </c>
      <c r="AQ26" s="37">
        <v>57011</v>
      </c>
      <c r="AR26" s="37">
        <v>0</v>
      </c>
      <c r="AS26" s="37">
        <v>23748</v>
      </c>
      <c r="AT26" s="37">
        <v>32434</v>
      </c>
      <c r="AU26" s="37">
        <v>34271</v>
      </c>
      <c r="AV26" s="37">
        <v>95524</v>
      </c>
      <c r="AW26" s="37">
        <v>55037</v>
      </c>
      <c r="AX26" s="37">
        <v>34152</v>
      </c>
      <c r="AY26" s="37">
        <v>45693</v>
      </c>
      <c r="AZ26" s="37">
        <v>77281</v>
      </c>
      <c r="BA26" s="37">
        <v>41649</v>
      </c>
      <c r="BB26" s="37">
        <v>39082</v>
      </c>
      <c r="BC26" s="37">
        <v>64628</v>
      </c>
      <c r="BD26" s="37">
        <v>1848</v>
      </c>
      <c r="BE26" s="37">
        <v>1174</v>
      </c>
      <c r="BF26" s="37">
        <v>3540</v>
      </c>
    </row>
    <row r="27" spans="2:58" x14ac:dyDescent="0.35">
      <c r="B27" s="36" t="str">
        <f>IF('Índice - Index'!$D$14="Português","Partes relacionadas","Related parties")</f>
        <v>Partes relacionadas</v>
      </c>
      <c r="C27" s="37">
        <v>1932</v>
      </c>
      <c r="D27" s="37">
        <v>1932</v>
      </c>
      <c r="E27" s="37">
        <v>1932</v>
      </c>
      <c r="F27" s="37">
        <v>1930</v>
      </c>
      <c r="G27" s="37">
        <v>1280</v>
      </c>
      <c r="H27" s="37">
        <v>1280</v>
      </c>
      <c r="I27" s="37">
        <v>1283</v>
      </c>
      <c r="J27" s="37">
        <v>1379</v>
      </c>
      <c r="K27" s="37">
        <v>1280</v>
      </c>
      <c r="L27" s="37">
        <v>1280</v>
      </c>
      <c r="M27" s="37">
        <v>1280</v>
      </c>
      <c r="N27" s="37">
        <v>1280</v>
      </c>
      <c r="O27" s="37">
        <v>1174</v>
      </c>
      <c r="P27" s="37">
        <v>1171</v>
      </c>
      <c r="Q27" s="37">
        <v>1174</v>
      </c>
      <c r="R27" s="37">
        <v>1174</v>
      </c>
      <c r="S27" s="37">
        <v>1174</v>
      </c>
      <c r="T27" s="37">
        <v>1174</v>
      </c>
      <c r="U27" s="37">
        <v>1174</v>
      </c>
      <c r="V27" s="37">
        <v>1174</v>
      </c>
      <c r="W27" s="37">
        <v>1174</v>
      </c>
      <c r="X27" s="37">
        <v>1174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1529</v>
      </c>
      <c r="AF27" s="37">
        <v>1548</v>
      </c>
      <c r="AG27" s="37">
        <v>1502</v>
      </c>
      <c r="AH27" s="37">
        <v>1466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</row>
    <row r="28" spans="2:58" x14ac:dyDescent="0.35">
      <c r="B28" s="36" t="str">
        <f>IF('Índice - Index'!$D$14="Português","Investimentos","Investments")</f>
        <v>Investimentos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2237</v>
      </c>
      <c r="V28" s="37">
        <v>7326</v>
      </c>
      <c r="W28" s="37">
        <v>24111</v>
      </c>
      <c r="X28" s="37">
        <v>4612</v>
      </c>
      <c r="Y28" s="37">
        <v>2795</v>
      </c>
      <c r="Z28" s="37">
        <v>2087</v>
      </c>
      <c r="AA28" s="37">
        <v>17858</v>
      </c>
      <c r="AB28" s="37">
        <v>17549</v>
      </c>
      <c r="AC28" s="37">
        <v>17549</v>
      </c>
      <c r="AD28" s="37">
        <v>17549</v>
      </c>
      <c r="AE28" s="37">
        <v>17547</v>
      </c>
      <c r="AF28" s="37">
        <v>17549</v>
      </c>
      <c r="AG28" s="37">
        <v>17549</v>
      </c>
      <c r="AH28" s="37">
        <v>17549</v>
      </c>
      <c r="AI28" s="37">
        <v>12173</v>
      </c>
      <c r="AJ28" s="37">
        <v>12173</v>
      </c>
      <c r="AK28" s="37">
        <v>12173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</row>
    <row r="29" spans="2:58" x14ac:dyDescent="0.35">
      <c r="B29" s="36" t="str">
        <f>IF('Índice - Index'!$D$14="Português","Outros investimentos","Other Investments")</f>
        <v>Outros investimentos</v>
      </c>
      <c r="C29" s="37">
        <v>2</v>
      </c>
      <c r="D29" s="37">
        <v>2</v>
      </c>
      <c r="E29" s="37">
        <v>2</v>
      </c>
      <c r="F29" s="37">
        <v>2</v>
      </c>
      <c r="G29" s="37">
        <v>2</v>
      </c>
      <c r="H29" s="37">
        <v>2</v>
      </c>
      <c r="I29" s="37">
        <v>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</row>
    <row r="30" spans="2:58" x14ac:dyDescent="0.35">
      <c r="B30" s="36" t="str">
        <f>IF('Índice - Index'!$D$14="Português","Imobilizado","PP&amp;E")</f>
        <v>Imobilizado</v>
      </c>
      <c r="C30" s="37">
        <v>240424</v>
      </c>
      <c r="D30" s="37">
        <v>236196</v>
      </c>
      <c r="E30" s="37">
        <v>250561</v>
      </c>
      <c r="F30" s="37">
        <v>280894</v>
      </c>
      <c r="G30" s="37">
        <v>347448</v>
      </c>
      <c r="H30" s="37">
        <v>358032</v>
      </c>
      <c r="I30" s="37">
        <v>375984</v>
      </c>
      <c r="J30" s="37">
        <v>417923</v>
      </c>
      <c r="K30" s="37">
        <v>465311</v>
      </c>
      <c r="L30" s="37">
        <v>462168</v>
      </c>
      <c r="M30" s="37">
        <v>447995</v>
      </c>
      <c r="N30" s="37">
        <v>456690</v>
      </c>
      <c r="O30" s="37">
        <v>494092</v>
      </c>
      <c r="P30" s="37">
        <v>505631</v>
      </c>
      <c r="Q30" s="37">
        <v>509808</v>
      </c>
      <c r="R30" s="37">
        <v>553753</v>
      </c>
      <c r="S30" s="37">
        <v>577326</v>
      </c>
      <c r="T30" s="37">
        <v>582651</v>
      </c>
      <c r="U30" s="37">
        <v>572788</v>
      </c>
      <c r="V30" s="37">
        <v>569932</v>
      </c>
      <c r="W30" s="37">
        <v>552110</v>
      </c>
      <c r="X30" s="37">
        <v>528452</v>
      </c>
      <c r="Y30" s="37">
        <v>504259</v>
      </c>
      <c r="Z30" s="37">
        <v>485332</v>
      </c>
      <c r="AA30" s="37">
        <v>457817</v>
      </c>
      <c r="AB30" s="37">
        <v>444305</v>
      </c>
      <c r="AC30" s="37">
        <v>434669</v>
      </c>
      <c r="AD30" s="37">
        <v>424170</v>
      </c>
      <c r="AE30" s="37">
        <v>405007</v>
      </c>
      <c r="AF30" s="37">
        <v>372116</v>
      </c>
      <c r="AG30" s="37">
        <v>347959</v>
      </c>
      <c r="AH30" s="37">
        <v>325738</v>
      </c>
      <c r="AI30" s="37">
        <v>311696</v>
      </c>
      <c r="AJ30" s="37">
        <v>289131</v>
      </c>
      <c r="AK30" s="37">
        <v>271813</v>
      </c>
      <c r="AL30" s="37">
        <v>254042</v>
      </c>
      <c r="AM30" s="37">
        <v>223640</v>
      </c>
      <c r="AN30" s="37">
        <v>206772.74296</v>
      </c>
      <c r="AO30" s="37">
        <v>199247</v>
      </c>
      <c r="AP30" s="37">
        <v>185787</v>
      </c>
      <c r="AQ30" s="37">
        <v>176488</v>
      </c>
      <c r="AR30" s="37">
        <v>163920</v>
      </c>
      <c r="AS30" s="37">
        <v>152225</v>
      </c>
      <c r="AT30" s="37">
        <v>144935</v>
      </c>
      <c r="AU30" s="37">
        <v>133326</v>
      </c>
      <c r="AV30" s="37">
        <v>118880</v>
      </c>
      <c r="AW30" s="37">
        <v>112039</v>
      </c>
      <c r="AX30" s="37">
        <v>105078</v>
      </c>
      <c r="AY30" s="37">
        <v>113188</v>
      </c>
      <c r="AZ30" s="37">
        <v>108982</v>
      </c>
      <c r="BA30" s="37">
        <v>103635</v>
      </c>
      <c r="BB30" s="37">
        <v>96934</v>
      </c>
      <c r="BC30" s="37">
        <v>86041</v>
      </c>
      <c r="BD30" s="37">
        <v>81005</v>
      </c>
      <c r="BE30" s="37">
        <v>79748</v>
      </c>
      <c r="BF30" s="37">
        <v>74436</v>
      </c>
    </row>
    <row r="31" spans="2:58" x14ac:dyDescent="0.35">
      <c r="B31" s="36" t="str">
        <f>IF('Índice - Index'!$D$14="Português","Intangível","Intangible assets")</f>
        <v>Intangível</v>
      </c>
      <c r="C31" s="37">
        <v>52557</v>
      </c>
      <c r="D31" s="37">
        <v>53211</v>
      </c>
      <c r="E31" s="37">
        <v>57440</v>
      </c>
      <c r="F31" s="37">
        <v>79556</v>
      </c>
      <c r="G31" s="37">
        <v>85024</v>
      </c>
      <c r="H31" s="37">
        <v>86931</v>
      </c>
      <c r="I31" s="37">
        <v>91325</v>
      </c>
      <c r="J31" s="37">
        <v>96294</v>
      </c>
      <c r="K31" s="37">
        <v>98212</v>
      </c>
      <c r="L31" s="37">
        <v>100749</v>
      </c>
      <c r="M31" s="37">
        <v>101641</v>
      </c>
      <c r="N31" s="37">
        <v>102328</v>
      </c>
      <c r="O31" s="37">
        <v>106300</v>
      </c>
      <c r="P31" s="37">
        <v>109959</v>
      </c>
      <c r="Q31" s="37">
        <v>112849</v>
      </c>
      <c r="R31" s="37">
        <v>115832</v>
      </c>
      <c r="S31" s="37">
        <v>123926</v>
      </c>
      <c r="T31" s="37">
        <v>122055</v>
      </c>
      <c r="U31" s="37">
        <v>151340</v>
      </c>
      <c r="V31" s="37">
        <v>153818</v>
      </c>
      <c r="W31" s="37">
        <v>141580</v>
      </c>
      <c r="X31" s="37">
        <v>166495</v>
      </c>
      <c r="Y31" s="37">
        <v>172964</v>
      </c>
      <c r="Z31" s="37">
        <v>175519</v>
      </c>
      <c r="AA31" s="37">
        <v>153305</v>
      </c>
      <c r="AB31" s="37">
        <v>150822</v>
      </c>
      <c r="AC31" s="37">
        <v>148145</v>
      </c>
      <c r="AD31" s="37">
        <v>142996</v>
      </c>
      <c r="AE31" s="37">
        <v>138292</v>
      </c>
      <c r="AF31" s="37">
        <v>135052</v>
      </c>
      <c r="AG31" s="37">
        <v>131173</v>
      </c>
      <c r="AH31" s="37">
        <v>126804</v>
      </c>
      <c r="AI31" s="37">
        <v>123153</v>
      </c>
      <c r="AJ31" s="37">
        <v>119085</v>
      </c>
      <c r="AK31" s="37">
        <v>116770</v>
      </c>
      <c r="AL31" s="37">
        <v>119238</v>
      </c>
      <c r="AM31" s="37">
        <v>117468</v>
      </c>
      <c r="AN31" s="37">
        <v>121765</v>
      </c>
      <c r="AO31" s="37">
        <v>118043</v>
      </c>
      <c r="AP31" s="37">
        <v>114070</v>
      </c>
      <c r="AQ31" s="37">
        <v>109919</v>
      </c>
      <c r="AR31" s="37">
        <v>103961</v>
      </c>
      <c r="AS31" s="37">
        <v>99488</v>
      </c>
      <c r="AT31" s="37">
        <v>91589</v>
      </c>
      <c r="AU31" s="37">
        <v>97234</v>
      </c>
      <c r="AV31" s="37">
        <v>101134</v>
      </c>
      <c r="AW31" s="37">
        <v>106569</v>
      </c>
      <c r="AX31" s="37">
        <v>111806</v>
      </c>
      <c r="AY31" s="37">
        <v>95725</v>
      </c>
      <c r="AZ31" s="37">
        <v>120303</v>
      </c>
      <c r="BA31" s="37">
        <v>123668</v>
      </c>
      <c r="BB31" s="37">
        <v>127785</v>
      </c>
      <c r="BC31" s="37">
        <v>77854</v>
      </c>
      <c r="BD31" s="37">
        <v>71553</v>
      </c>
      <c r="BE31" s="37">
        <v>65178</v>
      </c>
      <c r="BF31" s="37">
        <v>65158</v>
      </c>
    </row>
    <row r="32" spans="2:58" x14ac:dyDescent="0.35">
      <c r="B32" s="36" t="str">
        <f>IF('Índice - Index'!$D$14="Português","Arrendamento Operacional","Finance Lease")</f>
        <v>Arrendamento Operacional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>
        <v>656319</v>
      </c>
      <c r="AO32" s="37">
        <v>645022</v>
      </c>
      <c r="AP32" s="37">
        <v>611333</v>
      </c>
      <c r="AQ32" s="37">
        <v>548116</v>
      </c>
      <c r="AR32" s="37">
        <v>547216</v>
      </c>
      <c r="AS32" s="37">
        <v>524925</v>
      </c>
      <c r="AT32" s="37">
        <v>487840</v>
      </c>
      <c r="AU32" s="37">
        <v>538142</v>
      </c>
      <c r="AV32" s="37">
        <v>524620</v>
      </c>
      <c r="AW32" s="37">
        <v>530649</v>
      </c>
      <c r="AX32" s="37">
        <v>532438</v>
      </c>
      <c r="AY32" s="37">
        <v>525616</v>
      </c>
      <c r="AZ32" s="37">
        <v>500138</v>
      </c>
      <c r="BA32" s="37">
        <v>749785</v>
      </c>
      <c r="BB32" s="37">
        <v>787061</v>
      </c>
      <c r="BC32" s="37">
        <v>536132</v>
      </c>
      <c r="BD32" s="37">
        <v>583961</v>
      </c>
      <c r="BE32" s="37">
        <v>486077</v>
      </c>
      <c r="BF32" s="37">
        <v>546026</v>
      </c>
    </row>
    <row r="33" spans="2:58" x14ac:dyDescent="0.35">
      <c r="B33" s="42" t="str">
        <f>IF('Índice - Index'!$D$14="Português","Total do ativo não circulante","Total Noncurrent Assets")</f>
        <v>Total do ativo não circulante</v>
      </c>
      <c r="C33" s="39">
        <f t="shared" ref="C33:AM33" si="2">SUM(C22:C31)</f>
        <v>429328</v>
      </c>
      <c r="D33" s="39">
        <f t="shared" si="2"/>
        <v>437537</v>
      </c>
      <c r="E33" s="39">
        <f t="shared" si="2"/>
        <v>456990</v>
      </c>
      <c r="F33" s="39">
        <f t="shared" si="2"/>
        <v>504625</v>
      </c>
      <c r="G33" s="39">
        <f t="shared" si="2"/>
        <v>593622</v>
      </c>
      <c r="H33" s="39">
        <f t="shared" si="2"/>
        <v>619085</v>
      </c>
      <c r="I33" s="39">
        <f t="shared" si="2"/>
        <v>648636</v>
      </c>
      <c r="J33" s="39">
        <f t="shared" si="2"/>
        <v>716125</v>
      </c>
      <c r="K33" s="39">
        <f t="shared" si="2"/>
        <v>725132</v>
      </c>
      <c r="L33" s="39">
        <f t="shared" si="2"/>
        <v>747035</v>
      </c>
      <c r="M33" s="39">
        <f t="shared" si="2"/>
        <v>724931</v>
      </c>
      <c r="N33" s="39">
        <f t="shared" si="2"/>
        <v>726782</v>
      </c>
      <c r="O33" s="39">
        <f t="shared" si="2"/>
        <v>760968</v>
      </c>
      <c r="P33" s="39">
        <f t="shared" si="2"/>
        <v>784711</v>
      </c>
      <c r="Q33" s="39">
        <f t="shared" si="2"/>
        <v>800243</v>
      </c>
      <c r="R33" s="39">
        <f t="shared" si="2"/>
        <v>851258</v>
      </c>
      <c r="S33" s="39">
        <f t="shared" si="2"/>
        <v>882328</v>
      </c>
      <c r="T33" s="39">
        <f t="shared" si="2"/>
        <v>921034</v>
      </c>
      <c r="U33" s="39">
        <f t="shared" si="2"/>
        <v>981063</v>
      </c>
      <c r="V33" s="39">
        <f t="shared" si="2"/>
        <v>1010589</v>
      </c>
      <c r="W33" s="39">
        <f t="shared" si="2"/>
        <v>989121</v>
      </c>
      <c r="X33" s="39">
        <f t="shared" si="2"/>
        <v>973177.79225399997</v>
      </c>
      <c r="Y33" s="39">
        <f t="shared" si="2"/>
        <v>985636.96971820004</v>
      </c>
      <c r="Z33" s="39">
        <f t="shared" si="2"/>
        <v>977454.95230020001</v>
      </c>
      <c r="AA33" s="39">
        <f t="shared" si="2"/>
        <v>969331.07420910452</v>
      </c>
      <c r="AB33" s="39">
        <f t="shared" si="2"/>
        <v>993470.05844980001</v>
      </c>
      <c r="AC33" s="39">
        <f t="shared" si="2"/>
        <v>1011881.0834266</v>
      </c>
      <c r="AD33" s="39">
        <f t="shared" si="2"/>
        <v>1028301</v>
      </c>
      <c r="AE33" s="39">
        <f t="shared" si="2"/>
        <v>1053516</v>
      </c>
      <c r="AF33" s="39">
        <f t="shared" si="2"/>
        <v>1010429</v>
      </c>
      <c r="AG33" s="39">
        <f t="shared" si="2"/>
        <v>1048262</v>
      </c>
      <c r="AH33" s="39">
        <f t="shared" si="2"/>
        <v>1012288</v>
      </c>
      <c r="AI33" s="39">
        <f t="shared" si="2"/>
        <v>985420</v>
      </c>
      <c r="AJ33" s="39">
        <f t="shared" si="2"/>
        <v>972303</v>
      </c>
      <c r="AK33" s="39">
        <f t="shared" si="2"/>
        <v>977596</v>
      </c>
      <c r="AL33" s="39">
        <f t="shared" si="2"/>
        <v>968217</v>
      </c>
      <c r="AM33" s="39">
        <f t="shared" si="2"/>
        <v>1180074</v>
      </c>
      <c r="AN33" s="39">
        <f t="shared" ref="AN33:AT33" si="3">SUM(AN22:AN32)</f>
        <v>1808116.3322399999</v>
      </c>
      <c r="AO33" s="39">
        <f t="shared" si="3"/>
        <v>1798922</v>
      </c>
      <c r="AP33" s="39">
        <f t="shared" si="3"/>
        <v>1560145</v>
      </c>
      <c r="AQ33" s="39">
        <f t="shared" si="3"/>
        <v>1644515</v>
      </c>
      <c r="AR33" s="39">
        <f t="shared" si="3"/>
        <v>1564332</v>
      </c>
      <c r="AS33" s="39">
        <f t="shared" si="3"/>
        <v>1653218</v>
      </c>
      <c r="AT33" s="39">
        <f t="shared" si="3"/>
        <v>1515871</v>
      </c>
      <c r="AU33" s="39">
        <v>1580379</v>
      </c>
      <c r="AV33" s="39">
        <v>1624486</v>
      </c>
      <c r="AW33" s="39">
        <f>SUM(AW22:AW32)</f>
        <v>1599262</v>
      </c>
      <c r="AX33" s="39">
        <f>SUM(AX22:AX32)</f>
        <v>1651473</v>
      </c>
      <c r="AY33" s="39">
        <f>SUM(AY22:AY32)</f>
        <v>1625521</v>
      </c>
      <c r="AZ33" s="39">
        <v>1663124</v>
      </c>
      <c r="BA33" s="39">
        <f>SUM(BA22:BA32)</f>
        <v>1878173</v>
      </c>
      <c r="BB33" s="39">
        <f>SUM(BB21:BB32)</f>
        <v>1939472</v>
      </c>
      <c r="BC33" s="39">
        <f>SUM(BC21:BC32)</f>
        <v>1532892</v>
      </c>
      <c r="BD33" s="39">
        <f>SUM(BD21:BD32)</f>
        <v>1508010</v>
      </c>
      <c r="BE33" s="39">
        <f>SUM(BE21:BE32)</f>
        <v>1459133</v>
      </c>
      <c r="BF33" s="39">
        <f>SUM(BF21:BF32)</f>
        <v>1500738</v>
      </c>
    </row>
    <row r="34" spans="2:58" x14ac:dyDescent="0.35">
      <c r="B34" s="40"/>
      <c r="C34" s="41"/>
      <c r="D34" s="41"/>
      <c r="E34" s="41"/>
      <c r="F34" s="41"/>
      <c r="G34" s="41" t="s">
        <v>4</v>
      </c>
      <c r="H34" s="41"/>
      <c r="I34" s="41"/>
      <c r="J34" s="41"/>
      <c r="K34" s="41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Y34" s="27"/>
      <c r="BC34" s="27"/>
    </row>
    <row r="35" spans="2:58" x14ac:dyDescent="0.35">
      <c r="B35" s="43" t="str">
        <f>IF('Índice - Index'!$D$14="Português","TOTAL DO ATIVO","TOTAL ASSETS")</f>
        <v>TOTAL DO ATIVO</v>
      </c>
      <c r="C35" s="44">
        <f t="shared" ref="C35:AT35" si="4">C33+C18</f>
        <v>1538278</v>
      </c>
      <c r="D35" s="44">
        <f t="shared" si="4"/>
        <v>1443336</v>
      </c>
      <c r="E35" s="44">
        <f t="shared" si="4"/>
        <v>1450384</v>
      </c>
      <c r="F35" s="44">
        <f t="shared" si="4"/>
        <v>1590452</v>
      </c>
      <c r="G35" s="44">
        <f t="shared" si="4"/>
        <v>2061292</v>
      </c>
      <c r="H35" s="44">
        <f t="shared" si="4"/>
        <v>2208331</v>
      </c>
      <c r="I35" s="44">
        <f t="shared" si="4"/>
        <v>2488784</v>
      </c>
      <c r="J35" s="44">
        <f t="shared" si="4"/>
        <v>1992709</v>
      </c>
      <c r="K35" s="44">
        <f t="shared" si="4"/>
        <v>2432599</v>
      </c>
      <c r="L35" s="44">
        <f t="shared" si="4"/>
        <v>2144703</v>
      </c>
      <c r="M35" s="44">
        <f t="shared" si="4"/>
        <v>2178307</v>
      </c>
      <c r="N35" s="44">
        <f t="shared" si="4"/>
        <v>2286557</v>
      </c>
      <c r="O35" s="44">
        <f t="shared" si="4"/>
        <v>2440691</v>
      </c>
      <c r="P35" s="44">
        <f t="shared" si="4"/>
        <v>2326051</v>
      </c>
      <c r="Q35" s="44">
        <f t="shared" si="4"/>
        <v>2325139</v>
      </c>
      <c r="R35" s="44">
        <f t="shared" si="4"/>
        <v>2344382</v>
      </c>
      <c r="S35" s="44">
        <f t="shared" si="4"/>
        <v>2576323</v>
      </c>
      <c r="T35" s="44">
        <f t="shared" si="4"/>
        <v>2650955</v>
      </c>
      <c r="U35" s="44">
        <f t="shared" si="4"/>
        <v>2767128</v>
      </c>
      <c r="V35" s="44">
        <f t="shared" si="4"/>
        <v>2815085</v>
      </c>
      <c r="W35" s="44">
        <f t="shared" si="4"/>
        <v>2975990</v>
      </c>
      <c r="X35" s="44">
        <f t="shared" si="4"/>
        <v>2908866.9220440001</v>
      </c>
      <c r="Y35" s="44">
        <f t="shared" si="4"/>
        <v>2921292.9697182002</v>
      </c>
      <c r="Z35" s="44">
        <f t="shared" si="4"/>
        <v>3034292.9523002002</v>
      </c>
      <c r="AA35" s="44">
        <f t="shared" si="4"/>
        <v>2832135.0742091043</v>
      </c>
      <c r="AB35" s="44">
        <f t="shared" si="4"/>
        <v>2690062.0584498001</v>
      </c>
      <c r="AC35" s="44">
        <f t="shared" si="4"/>
        <v>2744238.0834265999</v>
      </c>
      <c r="AD35" s="44">
        <f t="shared" si="4"/>
        <v>2723300</v>
      </c>
      <c r="AE35" s="44">
        <f t="shared" si="4"/>
        <v>2644049</v>
      </c>
      <c r="AF35" s="44">
        <f t="shared" si="4"/>
        <v>2706824</v>
      </c>
      <c r="AG35" s="44">
        <f t="shared" si="4"/>
        <v>2607892</v>
      </c>
      <c r="AH35" s="44">
        <f t="shared" si="4"/>
        <v>2750725</v>
      </c>
      <c r="AI35" s="44">
        <f t="shared" si="4"/>
        <v>2832732</v>
      </c>
      <c r="AJ35" s="44">
        <f t="shared" si="4"/>
        <v>2653323</v>
      </c>
      <c r="AK35" s="44">
        <f t="shared" si="4"/>
        <v>2569825</v>
      </c>
      <c r="AL35" s="44">
        <f t="shared" si="4"/>
        <v>2586063</v>
      </c>
      <c r="AM35" s="44">
        <f t="shared" si="4"/>
        <v>3162102</v>
      </c>
      <c r="AN35" s="44">
        <f t="shared" si="4"/>
        <v>3587408.9079799997</v>
      </c>
      <c r="AO35" s="44">
        <f t="shared" si="4"/>
        <v>3557368</v>
      </c>
      <c r="AP35" s="44">
        <f t="shared" si="4"/>
        <v>3489169.1710399999</v>
      </c>
      <c r="AQ35" s="44">
        <f t="shared" si="4"/>
        <v>4020068</v>
      </c>
      <c r="AR35" s="44">
        <f t="shared" si="4"/>
        <v>3418120</v>
      </c>
      <c r="AS35" s="44">
        <f t="shared" si="4"/>
        <v>3145454</v>
      </c>
      <c r="AT35" s="44">
        <f t="shared" si="4"/>
        <v>3008529</v>
      </c>
      <c r="AU35" s="44">
        <v>3367654</v>
      </c>
      <c r="AV35" s="44">
        <v>3278729</v>
      </c>
      <c r="AW35" s="44">
        <f>AW18+AW33</f>
        <v>3256365</v>
      </c>
      <c r="AX35" s="44">
        <f>AX18+AX33</f>
        <v>3370923</v>
      </c>
      <c r="AY35" s="44">
        <f>AY18+AY33</f>
        <v>3352448</v>
      </c>
      <c r="AZ35" s="44">
        <v>3338452</v>
      </c>
      <c r="BA35" s="44">
        <f t="shared" ref="BA35:BF35" si="5">SUM(BA33,BA18)</f>
        <v>3617087</v>
      </c>
      <c r="BB35" s="44">
        <f t="shared" si="5"/>
        <v>3582988</v>
      </c>
      <c r="BC35" s="44">
        <f t="shared" si="5"/>
        <v>3104952</v>
      </c>
      <c r="BD35" s="44">
        <f t="shared" si="5"/>
        <v>2911241</v>
      </c>
      <c r="BE35" s="44">
        <f t="shared" si="5"/>
        <v>2666904</v>
      </c>
      <c r="BF35" s="44">
        <f t="shared" si="5"/>
        <v>2479688</v>
      </c>
    </row>
    <row r="36" spans="2:58" x14ac:dyDescent="0.35">
      <c r="B36" s="3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Y36" s="45"/>
      <c r="BC36" s="45"/>
    </row>
    <row r="37" spans="2:58" x14ac:dyDescent="0.35">
      <c r="B37" s="26" t="str">
        <f>IF('Índice - Index'!$D$14="Português","PASSIVO (R$ milhares)","LIABILITIES (R$ million)")</f>
        <v>PASSIVO (R$ milhares)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2:58" x14ac:dyDescent="0.35">
      <c r="B38" s="46"/>
      <c r="C38" s="47"/>
      <c r="D38" s="47"/>
      <c r="E38" s="47"/>
      <c r="F38" s="47"/>
      <c r="G38" s="47"/>
      <c r="H38" s="47"/>
      <c r="I38" s="47"/>
      <c r="J38" s="47"/>
      <c r="K38" s="4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Y38" s="27"/>
      <c r="BC38" s="27"/>
    </row>
    <row r="39" spans="2:58" x14ac:dyDescent="0.35">
      <c r="B39" s="34" t="str">
        <f>IF('Índice - Index'!$D$14="Português","CIRCULANTE","CURRENT ASSETS")</f>
        <v>CIRCULANTE</v>
      </c>
      <c r="C39" s="48"/>
      <c r="D39" s="48"/>
      <c r="E39" s="48"/>
      <c r="F39" s="48"/>
      <c r="G39" s="48"/>
      <c r="H39" s="48"/>
      <c r="I39" s="48"/>
      <c r="J39" s="48"/>
      <c r="K39" s="48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192"/>
      <c r="AV39" s="27"/>
      <c r="AW39" s="27"/>
      <c r="AY39" s="192"/>
      <c r="AZ39" s="192"/>
      <c r="BA39" s="192"/>
      <c r="BB39" s="192"/>
      <c r="BC39" s="192"/>
      <c r="BD39" s="192"/>
      <c r="BE39" s="192"/>
      <c r="BF39" s="192"/>
    </row>
    <row r="40" spans="2:58" x14ac:dyDescent="0.35">
      <c r="B40" s="36" t="str">
        <f>IF('Índice - Index'!$D$14="Português","Fornecedores","Accounts payable")</f>
        <v>Fornecedores</v>
      </c>
      <c r="C40" s="49">
        <v>161894</v>
      </c>
      <c r="D40" s="49">
        <v>152673</v>
      </c>
      <c r="E40" s="49">
        <v>136311</v>
      </c>
      <c r="F40" s="49">
        <v>184802</v>
      </c>
      <c r="G40" s="49">
        <v>207868</v>
      </c>
      <c r="H40" s="49">
        <v>196579</v>
      </c>
      <c r="I40" s="49">
        <v>168670</v>
      </c>
      <c r="J40" s="49">
        <v>170968</v>
      </c>
      <c r="K40" s="49">
        <v>178443</v>
      </c>
      <c r="L40" s="49">
        <v>197036</v>
      </c>
      <c r="M40" s="49">
        <v>205566</v>
      </c>
      <c r="N40" s="49">
        <v>242165</v>
      </c>
      <c r="O40" s="49">
        <v>247759</v>
      </c>
      <c r="P40" s="49">
        <v>194866</v>
      </c>
      <c r="Q40" s="49">
        <v>159184</v>
      </c>
      <c r="R40" s="49">
        <v>194309</v>
      </c>
      <c r="S40" s="49">
        <v>254977</v>
      </c>
      <c r="T40" s="49">
        <v>281759</v>
      </c>
      <c r="U40" s="49">
        <v>174678</v>
      </c>
      <c r="V40" s="49">
        <v>200593</v>
      </c>
      <c r="W40" s="49">
        <v>245248</v>
      </c>
      <c r="X40" s="49">
        <v>242555.12979000001</v>
      </c>
      <c r="Y40" s="49">
        <v>199515</v>
      </c>
      <c r="Z40" s="49">
        <v>209034</v>
      </c>
      <c r="AA40" s="49">
        <v>205439</v>
      </c>
      <c r="AB40" s="49">
        <v>188490</v>
      </c>
      <c r="AC40" s="49">
        <v>240643</v>
      </c>
      <c r="AD40" s="49">
        <v>285820</v>
      </c>
      <c r="AE40" s="49">
        <v>309504</v>
      </c>
      <c r="AF40" s="49">
        <v>425668</v>
      </c>
      <c r="AG40" s="49">
        <v>334578</v>
      </c>
      <c r="AH40" s="49">
        <v>420118</v>
      </c>
      <c r="AI40" s="49">
        <v>353590</v>
      </c>
      <c r="AJ40" s="49">
        <v>413302</v>
      </c>
      <c r="AK40" s="49">
        <v>388187</v>
      </c>
      <c r="AL40" s="49">
        <v>395102</v>
      </c>
      <c r="AM40" s="49">
        <v>490223</v>
      </c>
      <c r="AN40" s="49">
        <v>479691.54604000004</v>
      </c>
      <c r="AO40" s="49">
        <v>474643</v>
      </c>
      <c r="AP40" s="49">
        <v>493457</v>
      </c>
      <c r="AQ40" s="49">
        <v>535298</v>
      </c>
      <c r="AR40" s="49">
        <v>379620</v>
      </c>
      <c r="AS40" s="49">
        <v>175124</v>
      </c>
      <c r="AT40" s="49">
        <v>244778</v>
      </c>
      <c r="AU40" s="49">
        <v>473930</v>
      </c>
      <c r="AV40" s="49">
        <v>467966</v>
      </c>
      <c r="AW40" s="49">
        <v>426124</v>
      </c>
      <c r="AX40" s="49">
        <v>519256</v>
      </c>
      <c r="AY40" s="49">
        <v>481151</v>
      </c>
      <c r="AZ40" s="49">
        <v>406109</v>
      </c>
      <c r="BA40" s="49">
        <v>400518</v>
      </c>
      <c r="BB40" s="49">
        <v>487255</v>
      </c>
      <c r="BC40" s="49">
        <v>546364</v>
      </c>
      <c r="BD40" s="49">
        <v>581977</v>
      </c>
      <c r="BE40" s="49">
        <v>456724</v>
      </c>
      <c r="BF40" s="49">
        <v>473659</v>
      </c>
    </row>
    <row r="41" spans="2:58" x14ac:dyDescent="0.35">
      <c r="B41" s="36" t="str">
        <f>IF('Índice - Index'!$D$14="Português","Empréstimos e financiamentos","Loans and Financing")</f>
        <v>Empréstimos e financiamentos</v>
      </c>
      <c r="C41" s="49">
        <v>154166</v>
      </c>
      <c r="D41" s="49">
        <v>151050</v>
      </c>
      <c r="E41" s="49">
        <v>146116</v>
      </c>
      <c r="F41" s="49">
        <v>252424</v>
      </c>
      <c r="G41" s="49">
        <v>509802</v>
      </c>
      <c r="H41" s="49">
        <v>780032</v>
      </c>
      <c r="I41" s="49">
        <v>690481</v>
      </c>
      <c r="J41" s="49">
        <v>306850</v>
      </c>
      <c r="K41" s="49">
        <v>297455</v>
      </c>
      <c r="L41" s="49">
        <v>129368</v>
      </c>
      <c r="M41" s="49">
        <v>106720</v>
      </c>
      <c r="N41" s="49">
        <v>114216</v>
      </c>
      <c r="O41" s="49">
        <v>89671</v>
      </c>
      <c r="P41" s="49">
        <v>114439</v>
      </c>
      <c r="Q41" s="49">
        <v>99366</v>
      </c>
      <c r="R41" s="49">
        <v>101085</v>
      </c>
      <c r="S41" s="49">
        <v>106697</v>
      </c>
      <c r="T41" s="49">
        <v>193263</v>
      </c>
      <c r="U41" s="49">
        <v>181500</v>
      </c>
      <c r="V41" s="49">
        <v>226600</v>
      </c>
      <c r="W41" s="49">
        <v>369759</v>
      </c>
      <c r="X41" s="49">
        <v>410432</v>
      </c>
      <c r="Y41" s="49">
        <v>430233</v>
      </c>
      <c r="Z41" s="49">
        <v>410312</v>
      </c>
      <c r="AA41" s="49">
        <v>364017</v>
      </c>
      <c r="AB41" s="49">
        <v>323211</v>
      </c>
      <c r="AC41" s="49">
        <v>280614</v>
      </c>
      <c r="AD41" s="49">
        <v>285320</v>
      </c>
      <c r="AE41" s="49">
        <v>110247</v>
      </c>
      <c r="AF41" s="49">
        <v>207169</v>
      </c>
      <c r="AG41" s="49">
        <v>505802</v>
      </c>
      <c r="AH41" s="49">
        <v>580675</v>
      </c>
      <c r="AI41" s="49">
        <v>581751</v>
      </c>
      <c r="AJ41" s="49">
        <v>532939</v>
      </c>
      <c r="AK41" s="49">
        <v>366172</v>
      </c>
      <c r="AL41" s="49">
        <v>377371</v>
      </c>
      <c r="AM41" s="49">
        <v>371389</v>
      </c>
      <c r="AN41" s="49">
        <v>429658</v>
      </c>
      <c r="AO41" s="49">
        <v>466271</v>
      </c>
      <c r="AP41" s="49">
        <v>380948</v>
      </c>
      <c r="AQ41" s="49">
        <v>418123</v>
      </c>
      <c r="AR41" s="49">
        <v>271082</v>
      </c>
      <c r="AS41" s="49">
        <v>402300</v>
      </c>
      <c r="AT41" s="49">
        <v>502845</v>
      </c>
      <c r="AU41" s="49">
        <v>541497</v>
      </c>
      <c r="AV41" s="49">
        <v>529604</v>
      </c>
      <c r="AW41" s="49">
        <v>515791</v>
      </c>
      <c r="AX41" s="49">
        <v>510075</v>
      </c>
      <c r="AY41" s="49">
        <v>480253</v>
      </c>
      <c r="AZ41" s="49">
        <v>457477</v>
      </c>
      <c r="BA41" s="49">
        <v>376403</v>
      </c>
      <c r="BB41" s="49">
        <v>347210</v>
      </c>
      <c r="BC41" s="49">
        <v>470824</v>
      </c>
      <c r="BD41" s="49">
        <v>395577</v>
      </c>
      <c r="BE41" s="49">
        <v>409686</v>
      </c>
      <c r="BF41" s="49">
        <v>411745</v>
      </c>
    </row>
    <row r="42" spans="2:58" x14ac:dyDescent="0.35">
      <c r="B42" s="36" t="str">
        <f>IF('Índice - Index'!$D$14="Português","Financiamento por Arrendamento","Finance Lease")</f>
        <v>Financiamento por Arrendamento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>
        <v>212526</v>
      </c>
      <c r="AO42" s="49">
        <v>219086</v>
      </c>
      <c r="AP42" s="49">
        <v>269916.50908999995</v>
      </c>
      <c r="AQ42" s="49">
        <v>302487</v>
      </c>
      <c r="AR42" s="49">
        <v>152696</v>
      </c>
      <c r="AS42" s="49">
        <v>154463</v>
      </c>
      <c r="AT42" s="49">
        <v>145332</v>
      </c>
      <c r="AU42" s="49">
        <v>164908</v>
      </c>
      <c r="AV42" s="49">
        <v>184246</v>
      </c>
      <c r="AW42" s="49">
        <v>188166</v>
      </c>
      <c r="AX42" s="49">
        <v>179383</v>
      </c>
      <c r="AY42" s="49">
        <v>171119</v>
      </c>
      <c r="AZ42" s="49">
        <v>162731</v>
      </c>
      <c r="BA42" s="49">
        <v>157924</v>
      </c>
      <c r="BB42" s="49">
        <v>154553</v>
      </c>
      <c r="BC42" s="49">
        <v>113351</v>
      </c>
      <c r="BD42" s="49">
        <v>153207</v>
      </c>
      <c r="BE42" s="49">
        <v>95376</v>
      </c>
      <c r="BF42" s="49">
        <v>121485</v>
      </c>
    </row>
    <row r="43" spans="2:58" x14ac:dyDescent="0.35">
      <c r="B43" s="36" t="str">
        <f>IF('Índice - Index'!$D$14="Português","Salários, provisões e contribuições sociais","Accrued payroll and related changes")</f>
        <v>Salários, provisões e contribuições sociais</v>
      </c>
      <c r="C43" s="49">
        <v>31795</v>
      </c>
      <c r="D43" s="49">
        <v>28619</v>
      </c>
      <c r="E43" s="49">
        <v>32809</v>
      </c>
      <c r="F43" s="49">
        <v>36529</v>
      </c>
      <c r="G43" s="49">
        <v>43784</v>
      </c>
      <c r="H43" s="49">
        <v>34274</v>
      </c>
      <c r="I43" s="49">
        <v>42094</v>
      </c>
      <c r="J43" s="49">
        <v>47852</v>
      </c>
      <c r="K43" s="49">
        <v>40982</v>
      </c>
      <c r="L43" s="49">
        <v>39780</v>
      </c>
      <c r="M43" s="49">
        <v>45544</v>
      </c>
      <c r="N43" s="49">
        <v>50434</v>
      </c>
      <c r="O43" s="49">
        <v>57803</v>
      </c>
      <c r="P43" s="49">
        <v>50971</v>
      </c>
      <c r="Q43" s="49">
        <v>55663</v>
      </c>
      <c r="R43" s="49">
        <v>51695</v>
      </c>
      <c r="S43" s="49">
        <v>55929</v>
      </c>
      <c r="T43" s="49">
        <v>47011</v>
      </c>
      <c r="U43" s="49">
        <v>56468</v>
      </c>
      <c r="V43" s="49">
        <v>65771</v>
      </c>
      <c r="W43" s="49">
        <v>59543</v>
      </c>
      <c r="X43" s="49">
        <v>58903</v>
      </c>
      <c r="Y43" s="49">
        <v>66065</v>
      </c>
      <c r="Z43" s="49">
        <v>75536</v>
      </c>
      <c r="AA43" s="49">
        <v>67860</v>
      </c>
      <c r="AB43" s="49">
        <v>66539</v>
      </c>
      <c r="AC43" s="49">
        <v>74124</v>
      </c>
      <c r="AD43" s="49">
        <v>84979</v>
      </c>
      <c r="AE43" s="49">
        <v>75641</v>
      </c>
      <c r="AF43" s="49">
        <v>70009</v>
      </c>
      <c r="AG43" s="49">
        <v>79935</v>
      </c>
      <c r="AH43" s="49">
        <v>93598</v>
      </c>
      <c r="AI43" s="49">
        <v>82428</v>
      </c>
      <c r="AJ43" s="49">
        <v>86078</v>
      </c>
      <c r="AK43" s="49">
        <v>80010</v>
      </c>
      <c r="AL43" s="49">
        <v>86095</v>
      </c>
      <c r="AM43" s="49">
        <v>78925</v>
      </c>
      <c r="AN43" s="49">
        <v>75260.146250000005</v>
      </c>
      <c r="AO43" s="49">
        <v>87844</v>
      </c>
      <c r="AP43" s="49">
        <v>106835.96991</v>
      </c>
      <c r="AQ43" s="49">
        <v>105875</v>
      </c>
      <c r="AR43" s="49">
        <v>93758</v>
      </c>
      <c r="AS43" s="49">
        <v>83599</v>
      </c>
      <c r="AT43" s="49">
        <v>96340</v>
      </c>
      <c r="AU43" s="49">
        <v>69165</v>
      </c>
      <c r="AV43" s="49">
        <v>69740</v>
      </c>
      <c r="AW43" s="49">
        <v>86441</v>
      </c>
      <c r="AX43" s="49">
        <v>95633</v>
      </c>
      <c r="AY43" s="49">
        <v>77512</v>
      </c>
      <c r="AZ43" s="49">
        <v>77088</v>
      </c>
      <c r="BA43" s="49">
        <v>84598</v>
      </c>
      <c r="BB43" s="49">
        <v>97532</v>
      </c>
      <c r="BC43" s="49">
        <v>71826</v>
      </c>
      <c r="BD43" s="49">
        <v>71774</v>
      </c>
      <c r="BE43" s="49">
        <v>67289</v>
      </c>
      <c r="BF43" s="49">
        <v>68292</v>
      </c>
    </row>
    <row r="44" spans="2:58" x14ac:dyDescent="0.35">
      <c r="B44" s="36" t="str">
        <f>IF('Índice - Index'!$D$14="Português","Impostos a recolher","Taxes payables")</f>
        <v>Impostos a recolher</v>
      </c>
      <c r="C44" s="49">
        <v>86549</v>
      </c>
      <c r="D44" s="49">
        <v>36866</v>
      </c>
      <c r="E44" s="49">
        <v>71482</v>
      </c>
      <c r="F44" s="49">
        <v>52388</v>
      </c>
      <c r="G44" s="49">
        <v>141803</v>
      </c>
      <c r="H44" s="49">
        <v>33275</v>
      </c>
      <c r="I44" s="49">
        <v>90776</v>
      </c>
      <c r="J44" s="49">
        <v>51441</v>
      </c>
      <c r="K44" s="49">
        <v>105630</v>
      </c>
      <c r="L44" s="49">
        <v>21904</v>
      </c>
      <c r="M44" s="49">
        <v>46266</v>
      </c>
      <c r="N44" s="49">
        <v>28687</v>
      </c>
      <c r="O44" s="49">
        <v>105650</v>
      </c>
      <c r="P44" s="49">
        <v>38499</v>
      </c>
      <c r="Q44" s="49">
        <v>62178</v>
      </c>
      <c r="R44" s="49">
        <v>45597</v>
      </c>
      <c r="S44" s="49">
        <v>146887</v>
      </c>
      <c r="T44" s="49">
        <v>49215</v>
      </c>
      <c r="U44" s="49">
        <v>71344</v>
      </c>
      <c r="V44" s="49">
        <v>56797</v>
      </c>
      <c r="W44" s="49">
        <v>147329</v>
      </c>
      <c r="X44" s="49">
        <v>41606</v>
      </c>
      <c r="Y44" s="49">
        <v>54865</v>
      </c>
      <c r="Z44" s="49">
        <v>50548</v>
      </c>
      <c r="AA44" s="49">
        <v>112338</v>
      </c>
      <c r="AB44" s="49">
        <v>37197</v>
      </c>
      <c r="AC44" s="49">
        <v>56223</v>
      </c>
      <c r="AD44" s="49">
        <v>21694</v>
      </c>
      <c r="AE44" s="49">
        <v>88437</v>
      </c>
      <c r="AF44" s="49">
        <v>29524</v>
      </c>
      <c r="AG44" s="49">
        <v>36295</v>
      </c>
      <c r="AH44" s="49">
        <v>31455</v>
      </c>
      <c r="AI44" s="49">
        <v>90595</v>
      </c>
      <c r="AJ44" s="49">
        <v>13920</v>
      </c>
      <c r="AK44" s="49">
        <v>48214</v>
      </c>
      <c r="AL44" s="49">
        <v>38241</v>
      </c>
      <c r="AM44" s="49">
        <v>64489</v>
      </c>
      <c r="AN44" s="49">
        <v>25878.084210000001</v>
      </c>
      <c r="AO44" s="49">
        <v>53261</v>
      </c>
      <c r="AP44" s="49">
        <v>20173</v>
      </c>
      <c r="AQ44" s="49">
        <v>57715</v>
      </c>
      <c r="AR44" s="49">
        <v>19388</v>
      </c>
      <c r="AS44" s="49">
        <v>37026</v>
      </c>
      <c r="AT44" s="49">
        <v>32861</v>
      </c>
      <c r="AU44" s="49">
        <v>63214</v>
      </c>
      <c r="AV44" s="49">
        <v>23356</v>
      </c>
      <c r="AW44" s="49">
        <v>47614</v>
      </c>
      <c r="AX44" s="49">
        <v>28715</v>
      </c>
      <c r="AY44" s="49">
        <v>76157</v>
      </c>
      <c r="AZ44" s="49">
        <v>37929</v>
      </c>
      <c r="BA44" s="49">
        <v>47088</v>
      </c>
      <c r="BB44" s="49">
        <v>34164</v>
      </c>
      <c r="BC44" s="49">
        <v>89768</v>
      </c>
      <c r="BD44" s="49">
        <v>78967</v>
      </c>
      <c r="BE44" s="49">
        <v>73864</v>
      </c>
      <c r="BF44" s="49">
        <v>40385</v>
      </c>
    </row>
    <row r="45" spans="2:58" x14ac:dyDescent="0.35">
      <c r="B45" s="36" t="str">
        <f>IF('Índice - Index'!$D$14="Português","Partes relacionadas","Intercompany payables")</f>
        <v>Partes relacionadas</v>
      </c>
      <c r="C45" s="49">
        <v>4600</v>
      </c>
      <c r="D45" s="49">
        <v>2034</v>
      </c>
      <c r="E45" s="49">
        <v>2285</v>
      </c>
      <c r="F45" s="49">
        <v>2164</v>
      </c>
      <c r="G45" s="49">
        <v>4731</v>
      </c>
      <c r="H45" s="49">
        <v>2146</v>
      </c>
      <c r="I45" s="49">
        <v>1774</v>
      </c>
      <c r="J45" s="49">
        <v>2263</v>
      </c>
      <c r="K45" s="49">
        <v>4770</v>
      </c>
      <c r="L45" s="49">
        <v>2281</v>
      </c>
      <c r="M45" s="49">
        <v>2300</v>
      </c>
      <c r="N45" s="49">
        <v>3110</v>
      </c>
      <c r="O45" s="49">
        <v>6381</v>
      </c>
      <c r="P45" s="49">
        <v>3240</v>
      </c>
      <c r="Q45" s="49">
        <v>3244</v>
      </c>
      <c r="R45" s="49">
        <v>2909</v>
      </c>
      <c r="S45" s="49">
        <v>5915</v>
      </c>
      <c r="T45" s="49">
        <v>3015</v>
      </c>
      <c r="U45" s="49">
        <v>3035</v>
      </c>
      <c r="V45" s="49">
        <v>3013</v>
      </c>
      <c r="W45" s="49">
        <v>6047</v>
      </c>
      <c r="X45" s="49">
        <v>3159</v>
      </c>
      <c r="Y45" s="49">
        <v>2964</v>
      </c>
      <c r="Z45" s="49">
        <v>2862</v>
      </c>
      <c r="AA45" s="49">
        <v>6026</v>
      </c>
      <c r="AB45" s="49">
        <v>3363</v>
      </c>
      <c r="AC45" s="49">
        <v>3725</v>
      </c>
      <c r="AD45" s="49">
        <v>3215</v>
      </c>
      <c r="AE45" s="49">
        <v>6673</v>
      </c>
      <c r="AF45" s="49">
        <v>0</v>
      </c>
      <c r="AG45" s="49">
        <v>0</v>
      </c>
      <c r="AH45" s="49">
        <v>2931</v>
      </c>
      <c r="AI45" s="49">
        <v>0</v>
      </c>
      <c r="AJ45" s="49">
        <v>0</v>
      </c>
      <c r="AK45" s="49">
        <v>10</v>
      </c>
      <c r="AL45" s="49">
        <v>0</v>
      </c>
      <c r="AM45" s="49">
        <v>667</v>
      </c>
      <c r="AN45" s="49">
        <v>1401</v>
      </c>
      <c r="AO45" s="49">
        <v>0</v>
      </c>
      <c r="AP45" s="49">
        <v>0</v>
      </c>
      <c r="AQ45" s="49">
        <v>0</v>
      </c>
      <c r="AR45" s="49">
        <v>0</v>
      </c>
      <c r="AS45" s="49">
        <v>0</v>
      </c>
      <c r="AT45" s="49">
        <v>0</v>
      </c>
      <c r="AU45" s="49">
        <v>0</v>
      </c>
      <c r="AV45" s="49">
        <v>0</v>
      </c>
      <c r="AW45" s="49">
        <v>0</v>
      </c>
      <c r="AX45" s="49">
        <v>0</v>
      </c>
      <c r="AY45" s="49">
        <v>0</v>
      </c>
      <c r="AZ45" s="49">
        <v>0</v>
      </c>
      <c r="BA45" s="49">
        <v>0</v>
      </c>
      <c r="BB45" s="49">
        <v>0</v>
      </c>
      <c r="BC45" s="49">
        <v>0</v>
      </c>
      <c r="BD45" s="49">
        <v>0</v>
      </c>
      <c r="BE45" s="49">
        <v>0</v>
      </c>
      <c r="BF45" s="49">
        <v>0</v>
      </c>
    </row>
    <row r="46" spans="2:58" x14ac:dyDescent="0.35">
      <c r="B46" s="50" t="str">
        <f>IF('Índice - Index'!$D$14="Português","Parcelamento de tributos","Taxes in installments")</f>
        <v>Parcelamento de tributos</v>
      </c>
      <c r="C46" s="49">
        <v>0</v>
      </c>
      <c r="D46" s="49">
        <v>0</v>
      </c>
      <c r="E46" s="49">
        <v>0</v>
      </c>
      <c r="F46" s="49">
        <v>0</v>
      </c>
      <c r="G46" s="49">
        <v>8552</v>
      </c>
      <c r="H46" s="49">
        <v>8397</v>
      </c>
      <c r="I46" s="49">
        <v>15403</v>
      </c>
      <c r="J46" s="49">
        <v>14123</v>
      </c>
      <c r="K46" s="49">
        <v>13723</v>
      </c>
      <c r="L46" s="49">
        <v>705</v>
      </c>
      <c r="M46" s="49">
        <v>780</v>
      </c>
      <c r="N46" s="49">
        <v>638</v>
      </c>
      <c r="O46" s="49">
        <v>489</v>
      </c>
      <c r="P46" s="49">
        <v>344</v>
      </c>
      <c r="Q46" s="49">
        <v>194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  <c r="AX46" s="49">
        <v>0</v>
      </c>
      <c r="AY46" s="49">
        <v>0</v>
      </c>
      <c r="AZ46" s="49">
        <v>0</v>
      </c>
      <c r="BA46" s="49">
        <v>0</v>
      </c>
      <c r="BB46" s="49">
        <v>0</v>
      </c>
      <c r="BC46" s="49">
        <v>0</v>
      </c>
      <c r="BD46" s="49">
        <v>0</v>
      </c>
      <c r="BE46" s="49">
        <v>0</v>
      </c>
      <c r="BF46" s="49">
        <v>0</v>
      </c>
    </row>
    <row r="47" spans="2:58" x14ac:dyDescent="0.35">
      <c r="B47" s="50" t="str">
        <f>IF('Índice - Index'!$D$14="Português","Instrumentos financeiros","Financial Instruments")</f>
        <v>Instrumentos financeiros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6758</v>
      </c>
      <c r="U47" s="49">
        <v>11907</v>
      </c>
      <c r="V47" s="49">
        <v>638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24537</v>
      </c>
      <c r="AC47" s="49">
        <v>64034</v>
      </c>
      <c r="AD47" s="49">
        <v>48927</v>
      </c>
      <c r="AE47" s="49">
        <v>31582</v>
      </c>
      <c r="AF47" s="49">
        <v>40153</v>
      </c>
      <c r="AG47" s="49">
        <v>30913</v>
      </c>
      <c r="AH47" s="49">
        <v>39930</v>
      </c>
      <c r="AI47" s="49">
        <v>31495</v>
      </c>
      <c r="AJ47" s="49">
        <v>13093</v>
      </c>
      <c r="AK47" s="49">
        <v>3754</v>
      </c>
      <c r="AL47" s="49">
        <v>0</v>
      </c>
      <c r="AM47" s="49">
        <v>1723</v>
      </c>
      <c r="AN47" s="49">
        <v>0</v>
      </c>
      <c r="AO47" s="49">
        <v>627</v>
      </c>
      <c r="AP47" s="49">
        <v>0</v>
      </c>
      <c r="AQ47" s="49">
        <v>1081</v>
      </c>
      <c r="AR47" s="49">
        <v>0</v>
      </c>
      <c r="AS47" s="49">
        <v>0</v>
      </c>
      <c r="AT47" s="49">
        <v>0</v>
      </c>
      <c r="AU47" s="49">
        <v>6913</v>
      </c>
      <c r="AV47" s="49">
        <v>0</v>
      </c>
      <c r="AW47" s="49">
        <v>8516</v>
      </c>
      <c r="AX47" s="49">
        <v>15</v>
      </c>
      <c r="AY47" s="49">
        <v>29</v>
      </c>
      <c r="AZ47" s="49">
        <v>10643</v>
      </c>
      <c r="BA47" s="49">
        <v>3685</v>
      </c>
      <c r="BB47" s="49">
        <v>1904</v>
      </c>
      <c r="BC47" s="49">
        <v>1128</v>
      </c>
      <c r="BD47" s="49">
        <v>741</v>
      </c>
      <c r="BE47" s="49">
        <v>1137</v>
      </c>
      <c r="BF47" s="49">
        <v>0</v>
      </c>
    </row>
    <row r="48" spans="2:58" x14ac:dyDescent="0.35">
      <c r="B48" s="36" t="str">
        <f>IF('Índice - Index'!$D$14="Português","Aluguéis a pagar","Rentals payable")</f>
        <v>Aluguéis a pagar</v>
      </c>
      <c r="C48" s="49">
        <v>0</v>
      </c>
      <c r="D48" s="49">
        <v>0</v>
      </c>
      <c r="E48" s="49">
        <v>0</v>
      </c>
      <c r="F48" s="49">
        <v>0</v>
      </c>
      <c r="G48" s="49">
        <v>11162</v>
      </c>
      <c r="H48" s="49">
        <v>0</v>
      </c>
      <c r="I48" s="49">
        <v>10182</v>
      </c>
      <c r="J48" s="49">
        <v>8612</v>
      </c>
      <c r="K48" s="49">
        <v>13130</v>
      </c>
      <c r="L48" s="49">
        <v>10503</v>
      </c>
      <c r="M48" s="49">
        <v>12174</v>
      </c>
      <c r="N48" s="49">
        <v>11587</v>
      </c>
      <c r="O48" s="49">
        <v>16231</v>
      </c>
      <c r="P48" s="49">
        <v>13144</v>
      </c>
      <c r="Q48" s="49">
        <v>15359</v>
      </c>
      <c r="R48" s="49">
        <v>14439</v>
      </c>
      <c r="S48" s="49">
        <v>20299</v>
      </c>
      <c r="T48" s="49">
        <v>17573</v>
      </c>
      <c r="U48" s="49">
        <v>18381</v>
      </c>
      <c r="V48" s="49">
        <v>18559</v>
      </c>
      <c r="W48" s="49">
        <v>22899</v>
      </c>
      <c r="X48" s="49">
        <v>18074</v>
      </c>
      <c r="Y48" s="49">
        <v>20713</v>
      </c>
      <c r="Z48" s="49">
        <v>20229</v>
      </c>
      <c r="AA48" s="49">
        <v>22529</v>
      </c>
      <c r="AB48" s="49">
        <v>17849</v>
      </c>
      <c r="AC48" s="49">
        <v>17606</v>
      </c>
      <c r="AD48" s="49">
        <v>18202</v>
      </c>
      <c r="AE48" s="49">
        <v>23608</v>
      </c>
      <c r="AF48" s="49">
        <v>24631</v>
      </c>
      <c r="AG48" s="49">
        <v>22200</v>
      </c>
      <c r="AH48" s="49">
        <v>16622</v>
      </c>
      <c r="AI48" s="49">
        <v>27800</v>
      </c>
      <c r="AJ48" s="49">
        <v>20954</v>
      </c>
      <c r="AK48" s="49">
        <v>21650</v>
      </c>
      <c r="AL48" s="49">
        <v>22958</v>
      </c>
      <c r="AM48" s="49">
        <v>31564</v>
      </c>
      <c r="AN48" s="49">
        <v>19513.936429999998</v>
      </c>
      <c r="AO48" s="49">
        <v>17790</v>
      </c>
      <c r="AP48" s="49">
        <v>18345</v>
      </c>
      <c r="AQ48" s="49">
        <v>23421</v>
      </c>
      <c r="AR48" s="49">
        <v>5050</v>
      </c>
      <c r="AS48" s="49">
        <v>5773</v>
      </c>
      <c r="AT48" s="49">
        <v>5657</v>
      </c>
      <c r="AU48" s="49">
        <v>18358</v>
      </c>
      <c r="AV48" s="49">
        <v>5115</v>
      </c>
      <c r="AW48" s="49">
        <v>18191</v>
      </c>
      <c r="AX48" s="49">
        <v>19529</v>
      </c>
      <c r="AY48" s="49">
        <v>25946</v>
      </c>
      <c r="AZ48" s="49">
        <v>20844</v>
      </c>
      <c r="BA48" s="49">
        <v>21148</v>
      </c>
      <c r="BB48" s="49">
        <v>22432</v>
      </c>
      <c r="BC48" s="49">
        <v>31137</v>
      </c>
      <c r="BD48" s="49">
        <v>27418</v>
      </c>
      <c r="BE48" s="49">
        <v>19753</v>
      </c>
      <c r="BF48" s="49">
        <v>15850</v>
      </c>
    </row>
    <row r="49" spans="2:58" x14ac:dyDescent="0.35">
      <c r="B49" s="36" t="str">
        <f>IF('Índice - Index'!$D$14="Português","Dividendos e juros sobre o capital próprio a pagar","Dividends payable")</f>
        <v>Dividendos e juros sobre o capital próprio a pagar</v>
      </c>
      <c r="C49" s="49">
        <v>17911</v>
      </c>
      <c r="D49" s="49">
        <v>27791</v>
      </c>
      <c r="E49" s="49">
        <v>588</v>
      </c>
      <c r="F49" s="49">
        <v>588</v>
      </c>
      <c r="G49" s="49">
        <v>13623</v>
      </c>
      <c r="H49" s="49">
        <v>13034</v>
      </c>
      <c r="I49" s="49">
        <v>0</v>
      </c>
      <c r="J49" s="49">
        <v>0</v>
      </c>
      <c r="K49" s="49">
        <v>31576</v>
      </c>
      <c r="L49" s="49">
        <v>31576</v>
      </c>
      <c r="M49" s="49">
        <v>0</v>
      </c>
      <c r="N49" s="49">
        <v>0</v>
      </c>
      <c r="O49" s="49">
        <v>21435</v>
      </c>
      <c r="P49" s="49">
        <v>21435</v>
      </c>
      <c r="Q49" s="49">
        <v>0</v>
      </c>
      <c r="R49" s="49">
        <v>0</v>
      </c>
      <c r="S49" s="49">
        <v>20306</v>
      </c>
      <c r="T49" s="49">
        <v>20306</v>
      </c>
      <c r="U49" s="49">
        <v>0</v>
      </c>
      <c r="V49" s="49">
        <v>0</v>
      </c>
      <c r="W49" s="49">
        <v>12132</v>
      </c>
      <c r="X49" s="49">
        <v>12132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6736</v>
      </c>
      <c r="AN49" s="49">
        <v>6736</v>
      </c>
      <c r="AO49" s="49">
        <v>6736</v>
      </c>
      <c r="AP49" s="49">
        <v>0</v>
      </c>
      <c r="AQ49" s="49">
        <v>0</v>
      </c>
      <c r="AR49" s="49">
        <v>0</v>
      </c>
      <c r="AS49" s="49">
        <v>0</v>
      </c>
      <c r="AT49" s="49">
        <v>0</v>
      </c>
      <c r="AU49" s="49">
        <v>0</v>
      </c>
      <c r="AV49" s="49">
        <v>0</v>
      </c>
      <c r="AW49" s="49">
        <v>0</v>
      </c>
      <c r="AX49" s="49">
        <v>0</v>
      </c>
      <c r="AY49" s="49">
        <v>0</v>
      </c>
      <c r="AZ49" s="49">
        <v>0</v>
      </c>
      <c r="BA49" s="49">
        <v>0</v>
      </c>
      <c r="BB49" s="49">
        <v>0</v>
      </c>
      <c r="BC49" s="49">
        <v>0</v>
      </c>
      <c r="BD49" s="49">
        <v>0</v>
      </c>
      <c r="BE49" s="49">
        <v>0</v>
      </c>
      <c r="BF49" s="49">
        <v>0</v>
      </c>
    </row>
    <row r="50" spans="2:58" x14ac:dyDescent="0.35">
      <c r="B50" s="36" t="str">
        <f>IF('Índice - Index'!$D$14="Português","Imposto de Renda e Contribuição Social","Income tax &amp; Social Contribution")</f>
        <v>Imposto de Renda e Contribuição Social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>
        <v>10204</v>
      </c>
      <c r="Z50" s="49">
        <v>10796</v>
      </c>
      <c r="AA50" s="49"/>
      <c r="AB50" s="49"/>
      <c r="AC50" s="49">
        <v>9261</v>
      </c>
      <c r="AD50" s="49">
        <v>15501</v>
      </c>
      <c r="AE50" s="49">
        <v>3406</v>
      </c>
      <c r="AF50" s="49">
        <v>8955</v>
      </c>
      <c r="AG50" s="49">
        <v>19136</v>
      </c>
      <c r="AH50" s="49">
        <v>27515</v>
      </c>
      <c r="AI50" s="49">
        <v>20939</v>
      </c>
      <c r="AJ50" s="49">
        <v>25040</v>
      </c>
      <c r="AK50" s="49">
        <v>0</v>
      </c>
      <c r="AL50" s="49">
        <v>0</v>
      </c>
      <c r="AM50" s="49">
        <v>152362</v>
      </c>
      <c r="AN50" s="49">
        <v>23961.937010000001</v>
      </c>
      <c r="AO50" s="49">
        <v>2985</v>
      </c>
      <c r="AP50" s="49">
        <v>35267</v>
      </c>
      <c r="AQ50" s="49">
        <v>9203</v>
      </c>
      <c r="AR50" s="49">
        <v>17841</v>
      </c>
      <c r="AS50" s="49">
        <v>17864</v>
      </c>
      <c r="AT50" s="49">
        <v>110</v>
      </c>
      <c r="AU50" s="49">
        <v>297</v>
      </c>
      <c r="AV50" s="49">
        <v>25855</v>
      </c>
      <c r="AW50" s="49">
        <v>7514</v>
      </c>
      <c r="AX50" s="49">
        <v>7576</v>
      </c>
      <c r="AY50" s="49">
        <v>5402</v>
      </c>
      <c r="AZ50" s="49">
        <v>3832</v>
      </c>
      <c r="BA50" s="49">
        <v>154</v>
      </c>
      <c r="BB50" s="49">
        <v>120</v>
      </c>
      <c r="BC50" s="49">
        <v>4449</v>
      </c>
      <c r="BD50" s="49">
        <v>4416</v>
      </c>
      <c r="BE50" s="49">
        <v>4272</v>
      </c>
      <c r="BF50" s="49">
        <v>4282</v>
      </c>
    </row>
    <row r="51" spans="2:58" x14ac:dyDescent="0.35">
      <c r="B51" s="36" t="str">
        <f>IF('Índice - Index'!$D$14="Português","Receita diferida","Deferred revenues")</f>
        <v>Receita diferida</v>
      </c>
      <c r="C51" s="49">
        <v>12000</v>
      </c>
      <c r="D51" s="49">
        <v>12000</v>
      </c>
      <c r="E51" s="49">
        <v>12000</v>
      </c>
      <c r="F51" s="49">
        <v>12000</v>
      </c>
      <c r="G51" s="49">
        <v>12000</v>
      </c>
      <c r="H51" s="49">
        <v>12128</v>
      </c>
      <c r="I51" s="49">
        <v>12483</v>
      </c>
      <c r="J51" s="49">
        <v>12000</v>
      </c>
      <c r="K51" s="49">
        <v>12000</v>
      </c>
      <c r="L51" s="49">
        <v>12000</v>
      </c>
      <c r="M51" s="49">
        <v>12000</v>
      </c>
      <c r="N51" s="49">
        <v>12000</v>
      </c>
      <c r="O51" s="49">
        <v>12000</v>
      </c>
      <c r="P51" s="49">
        <v>12000</v>
      </c>
      <c r="Q51" s="49">
        <v>12000</v>
      </c>
      <c r="R51" s="49">
        <v>12000</v>
      </c>
      <c r="S51" s="49">
        <v>12000</v>
      </c>
      <c r="T51" s="49">
        <v>12000</v>
      </c>
      <c r="U51" s="49">
        <v>12000</v>
      </c>
      <c r="V51" s="49">
        <v>13000</v>
      </c>
      <c r="W51" s="49">
        <v>13000</v>
      </c>
      <c r="X51" s="49">
        <v>13000</v>
      </c>
      <c r="Y51" s="49">
        <v>13000</v>
      </c>
      <c r="Z51" s="49">
        <v>3814.8148148148148</v>
      </c>
      <c r="AA51" s="49">
        <v>3815</v>
      </c>
      <c r="AB51" s="49">
        <v>2815</v>
      </c>
      <c r="AC51" s="49">
        <v>2815</v>
      </c>
      <c r="AD51" s="49">
        <v>2815</v>
      </c>
      <c r="AE51" s="49">
        <v>6811</v>
      </c>
      <c r="AF51" s="49">
        <v>22675</v>
      </c>
      <c r="AG51" s="49">
        <v>22630</v>
      </c>
      <c r="AH51" s="49">
        <v>20943</v>
      </c>
      <c r="AI51" s="49">
        <v>19800</v>
      </c>
      <c r="AJ51" s="49">
        <v>20236</v>
      </c>
      <c r="AK51" s="49">
        <v>17474</v>
      </c>
      <c r="AL51" s="49">
        <v>17300</v>
      </c>
      <c r="AM51" s="49">
        <v>15923</v>
      </c>
      <c r="AN51" s="49">
        <v>17835</v>
      </c>
      <c r="AO51" s="49">
        <v>15845</v>
      </c>
      <c r="AP51" s="49">
        <v>15608</v>
      </c>
      <c r="AQ51" s="49">
        <v>15746</v>
      </c>
      <c r="AR51" s="49">
        <v>17614</v>
      </c>
      <c r="AS51" s="49">
        <v>16714</v>
      </c>
      <c r="AT51" s="49">
        <v>16714</v>
      </c>
      <c r="AU51" s="49">
        <v>16714</v>
      </c>
      <c r="AV51" s="49">
        <v>16714</v>
      </c>
      <c r="AW51" s="49">
        <v>17224</v>
      </c>
      <c r="AX51" s="49">
        <v>17224</v>
      </c>
      <c r="AY51" s="49">
        <v>15663</v>
      </c>
      <c r="AZ51" s="49">
        <v>3785</v>
      </c>
      <c r="BA51" s="49">
        <v>3737</v>
      </c>
      <c r="BB51" s="49">
        <v>3907</v>
      </c>
      <c r="BC51" s="49">
        <v>14213</v>
      </c>
      <c r="BD51" s="49">
        <v>2339</v>
      </c>
      <c r="BE51" s="49">
        <v>2263</v>
      </c>
      <c r="BF51" s="49">
        <v>2263</v>
      </c>
    </row>
    <row r="52" spans="2:58" x14ac:dyDescent="0.35">
      <c r="B52" s="36" t="str">
        <f>IF('Índice - Index'!$D$14="Português","Outras obrigações","Other payables")</f>
        <v>Outras obrigações</v>
      </c>
      <c r="C52" s="49">
        <v>45656</v>
      </c>
      <c r="D52" s="49">
        <v>35178</v>
      </c>
      <c r="E52" s="49">
        <v>26321</v>
      </c>
      <c r="F52" s="49">
        <v>30043</v>
      </c>
      <c r="G52" s="49">
        <v>29315</v>
      </c>
      <c r="H52" s="49">
        <v>31568</v>
      </c>
      <c r="I52" s="49">
        <v>35145</v>
      </c>
      <c r="J52" s="49">
        <v>33662</v>
      </c>
      <c r="K52" s="49">
        <v>43387</v>
      </c>
      <c r="L52" s="49">
        <v>30254</v>
      </c>
      <c r="M52" s="49">
        <v>35031</v>
      </c>
      <c r="N52" s="49">
        <v>42192</v>
      </c>
      <c r="O52" s="49">
        <v>47526</v>
      </c>
      <c r="P52" s="49">
        <v>36789</v>
      </c>
      <c r="Q52" s="49">
        <v>36277</v>
      </c>
      <c r="R52" s="49">
        <v>39725</v>
      </c>
      <c r="S52" s="49">
        <v>67736</v>
      </c>
      <c r="T52" s="49">
        <v>50866</v>
      </c>
      <c r="U52" s="49">
        <v>56875</v>
      </c>
      <c r="V52" s="49">
        <v>46303</v>
      </c>
      <c r="W52" s="49">
        <v>58837</v>
      </c>
      <c r="X52" s="49">
        <v>57919</v>
      </c>
      <c r="Y52" s="49">
        <v>50728</v>
      </c>
      <c r="Z52" s="49">
        <v>40599</v>
      </c>
      <c r="AA52" s="49">
        <v>48796</v>
      </c>
      <c r="AB52" s="49">
        <v>45929</v>
      </c>
      <c r="AC52" s="49">
        <v>50929</v>
      </c>
      <c r="AD52" s="49">
        <v>47595</v>
      </c>
      <c r="AE52" s="49">
        <v>69679</v>
      </c>
      <c r="AF52" s="49">
        <v>71940</v>
      </c>
      <c r="AG52" s="49">
        <v>68741</v>
      </c>
      <c r="AH52" s="49">
        <v>58777</v>
      </c>
      <c r="AI52" s="49">
        <v>65859</v>
      </c>
      <c r="AJ52" s="49">
        <v>54316</v>
      </c>
      <c r="AK52" s="49">
        <v>56646</v>
      </c>
      <c r="AL52" s="49">
        <v>60073</v>
      </c>
      <c r="AM52" s="49">
        <v>161008</v>
      </c>
      <c r="AN52" s="49">
        <v>138948.87511000002</v>
      </c>
      <c r="AO52" s="49">
        <v>122237</v>
      </c>
      <c r="AP52" s="49">
        <v>130797</v>
      </c>
      <c r="AQ52" s="49">
        <v>118250</v>
      </c>
      <c r="AR52" s="49">
        <v>94537</v>
      </c>
      <c r="AS52" s="49">
        <v>98477</v>
      </c>
      <c r="AT52" s="49">
        <v>97396</v>
      </c>
      <c r="AU52" s="49">
        <v>108236</v>
      </c>
      <c r="AV52" s="49">
        <v>78345</v>
      </c>
      <c r="AW52" s="49">
        <v>99045</v>
      </c>
      <c r="AX52" s="49">
        <v>94760</v>
      </c>
      <c r="AY52" s="49">
        <v>108406</v>
      </c>
      <c r="AZ52" s="49">
        <v>88197</v>
      </c>
      <c r="BA52" s="49">
        <v>63607</v>
      </c>
      <c r="BB52" s="49">
        <v>61964</v>
      </c>
      <c r="BC52" s="49">
        <v>98123</v>
      </c>
      <c r="BD52" s="49">
        <v>100569</v>
      </c>
      <c r="BE52" s="49">
        <v>81522</v>
      </c>
      <c r="BF52" s="49">
        <v>169993</v>
      </c>
    </row>
    <row r="53" spans="2:58" x14ac:dyDescent="0.35">
      <c r="B53" s="42" t="str">
        <f>IF('Índice - Index'!$D$14="Português","Total do passivo circulante","Total Current Liabilities")</f>
        <v>Total do passivo circulante</v>
      </c>
      <c r="C53" s="51">
        <f t="shared" ref="C53:AT53" si="6">SUM(C40:C52)</f>
        <v>514571</v>
      </c>
      <c r="D53" s="51">
        <f t="shared" si="6"/>
        <v>446211</v>
      </c>
      <c r="E53" s="51">
        <f t="shared" si="6"/>
        <v>427912</v>
      </c>
      <c r="F53" s="51">
        <f t="shared" si="6"/>
        <v>570938</v>
      </c>
      <c r="G53" s="51">
        <f t="shared" si="6"/>
        <v>982640</v>
      </c>
      <c r="H53" s="51">
        <f t="shared" si="6"/>
        <v>1111433</v>
      </c>
      <c r="I53" s="51">
        <f t="shared" si="6"/>
        <v>1067008</v>
      </c>
      <c r="J53" s="51">
        <f t="shared" si="6"/>
        <v>647771</v>
      </c>
      <c r="K53" s="51">
        <f t="shared" si="6"/>
        <v>741096</v>
      </c>
      <c r="L53" s="51">
        <f t="shared" si="6"/>
        <v>475407</v>
      </c>
      <c r="M53" s="51">
        <f t="shared" si="6"/>
        <v>466381</v>
      </c>
      <c r="N53" s="51">
        <f t="shared" si="6"/>
        <v>505029</v>
      </c>
      <c r="O53" s="51">
        <f t="shared" si="6"/>
        <v>604945</v>
      </c>
      <c r="P53" s="51">
        <f t="shared" si="6"/>
        <v>485727</v>
      </c>
      <c r="Q53" s="51">
        <f t="shared" si="6"/>
        <v>443465</v>
      </c>
      <c r="R53" s="51">
        <f t="shared" si="6"/>
        <v>461759</v>
      </c>
      <c r="S53" s="51">
        <f t="shared" si="6"/>
        <v>690746</v>
      </c>
      <c r="T53" s="51">
        <f t="shared" si="6"/>
        <v>681766</v>
      </c>
      <c r="U53" s="51">
        <f t="shared" si="6"/>
        <v>586188</v>
      </c>
      <c r="V53" s="51">
        <f t="shared" si="6"/>
        <v>631274</v>
      </c>
      <c r="W53" s="51">
        <f t="shared" si="6"/>
        <v>934794</v>
      </c>
      <c r="X53" s="51">
        <f t="shared" si="6"/>
        <v>857780.12979000004</v>
      </c>
      <c r="Y53" s="51">
        <f t="shared" si="6"/>
        <v>848287</v>
      </c>
      <c r="Z53" s="51">
        <f t="shared" si="6"/>
        <v>823730.81481481483</v>
      </c>
      <c r="AA53" s="51">
        <f t="shared" si="6"/>
        <v>830820</v>
      </c>
      <c r="AB53" s="51">
        <f t="shared" si="6"/>
        <v>709930</v>
      </c>
      <c r="AC53" s="51">
        <f t="shared" si="6"/>
        <v>799974</v>
      </c>
      <c r="AD53" s="51">
        <f t="shared" si="6"/>
        <v>814068</v>
      </c>
      <c r="AE53" s="51">
        <f t="shared" si="6"/>
        <v>725588</v>
      </c>
      <c r="AF53" s="51">
        <f t="shared" si="6"/>
        <v>900724</v>
      </c>
      <c r="AG53" s="51">
        <f t="shared" si="6"/>
        <v>1120230</v>
      </c>
      <c r="AH53" s="51">
        <f t="shared" si="6"/>
        <v>1292564</v>
      </c>
      <c r="AI53" s="51">
        <f t="shared" si="6"/>
        <v>1274257</v>
      </c>
      <c r="AJ53" s="51">
        <f t="shared" si="6"/>
        <v>1179878</v>
      </c>
      <c r="AK53" s="51">
        <f t="shared" si="6"/>
        <v>982117</v>
      </c>
      <c r="AL53" s="51">
        <f t="shared" si="6"/>
        <v>997140</v>
      </c>
      <c r="AM53" s="51">
        <f t="shared" si="6"/>
        <v>1375009</v>
      </c>
      <c r="AN53" s="51">
        <f t="shared" si="6"/>
        <v>1431410.5250499998</v>
      </c>
      <c r="AO53" s="51">
        <f t="shared" si="6"/>
        <v>1467325</v>
      </c>
      <c r="AP53" s="51">
        <f t="shared" si="6"/>
        <v>1471347.4789999998</v>
      </c>
      <c r="AQ53" s="51">
        <f t="shared" si="6"/>
        <v>1587199</v>
      </c>
      <c r="AR53" s="51">
        <f t="shared" si="6"/>
        <v>1051586</v>
      </c>
      <c r="AS53" s="51">
        <f t="shared" si="6"/>
        <v>991340</v>
      </c>
      <c r="AT53" s="51">
        <f t="shared" si="6"/>
        <v>1142033</v>
      </c>
      <c r="AU53" s="51">
        <v>1463232</v>
      </c>
      <c r="AV53" s="51">
        <v>1400941</v>
      </c>
      <c r="AW53" s="51">
        <f>SUM(AW40:AW52)</f>
        <v>1414626</v>
      </c>
      <c r="AX53" s="51">
        <f>SUM(AX40:AX52)</f>
        <v>1472166</v>
      </c>
      <c r="AY53" s="51">
        <f>SUM(AY40:AY52)</f>
        <v>1441638</v>
      </c>
      <c r="AZ53" s="51">
        <v>1268635</v>
      </c>
      <c r="BA53" s="51">
        <f t="shared" ref="BA53:BF53" si="7">SUM(BA40:BA52)</f>
        <v>1158862</v>
      </c>
      <c r="BB53" s="51">
        <f t="shared" si="7"/>
        <v>1211041</v>
      </c>
      <c r="BC53" s="51">
        <f t="shared" si="7"/>
        <v>1441183</v>
      </c>
      <c r="BD53" s="51">
        <f t="shared" si="7"/>
        <v>1416985</v>
      </c>
      <c r="BE53" s="51">
        <f t="shared" si="7"/>
        <v>1211886</v>
      </c>
      <c r="BF53" s="51">
        <f t="shared" si="7"/>
        <v>1307954</v>
      </c>
    </row>
    <row r="54" spans="2:58" x14ac:dyDescent="0.35">
      <c r="B54" s="40"/>
      <c r="C54" s="51"/>
      <c r="D54" s="51"/>
      <c r="E54" s="51"/>
      <c r="F54" s="51"/>
      <c r="G54" s="51"/>
      <c r="H54" s="51"/>
      <c r="I54" s="51"/>
      <c r="J54" s="51"/>
      <c r="K54" s="51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</row>
    <row r="55" spans="2:58" x14ac:dyDescent="0.35">
      <c r="B55" s="34" t="str">
        <f>IF('Índice - Index'!$D$14="Português","NÃO CIRCULANTE","NONCURRENT ASSETS")</f>
        <v>NÃO CIRCULANTE</v>
      </c>
      <c r="C55" s="35"/>
      <c r="D55" s="35"/>
      <c r="E55" s="35"/>
      <c r="F55" s="35"/>
      <c r="G55" s="35"/>
      <c r="H55" s="35"/>
      <c r="I55" s="35"/>
      <c r="J55" s="35"/>
      <c r="K55" s="35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</row>
    <row r="56" spans="2:58" x14ac:dyDescent="0.35">
      <c r="B56" s="36" t="str">
        <f>IF('Índice - Index'!$D$14="Português","Empréstimos e financiamentos","Loans and financing")</f>
        <v>Empréstimos e financiamentos</v>
      </c>
      <c r="C56" s="49">
        <v>95692</v>
      </c>
      <c r="D56" s="49">
        <v>78393</v>
      </c>
      <c r="E56" s="49">
        <v>68320</v>
      </c>
      <c r="F56" s="49">
        <v>58317</v>
      </c>
      <c r="G56" s="49">
        <v>68047</v>
      </c>
      <c r="H56" s="49">
        <v>53596</v>
      </c>
      <c r="I56" s="49">
        <v>341665</v>
      </c>
      <c r="J56" s="49">
        <v>335492</v>
      </c>
      <c r="K56" s="49">
        <v>687017</v>
      </c>
      <c r="L56" s="49">
        <v>682300</v>
      </c>
      <c r="M56" s="49">
        <v>670589</v>
      </c>
      <c r="N56" s="49">
        <v>674325</v>
      </c>
      <c r="O56" s="49">
        <v>682339</v>
      </c>
      <c r="P56" s="49">
        <v>684316</v>
      </c>
      <c r="Q56" s="49">
        <v>687528</v>
      </c>
      <c r="R56" s="49">
        <v>685431</v>
      </c>
      <c r="S56" s="49">
        <v>685387</v>
      </c>
      <c r="T56" s="49">
        <v>752409</v>
      </c>
      <c r="U56" s="49">
        <v>950886</v>
      </c>
      <c r="V56" s="49">
        <v>953903</v>
      </c>
      <c r="W56" s="49">
        <v>777352</v>
      </c>
      <c r="X56" s="49">
        <v>764875</v>
      </c>
      <c r="Y56" s="49">
        <v>824249</v>
      </c>
      <c r="Z56" s="49">
        <v>963057</v>
      </c>
      <c r="AA56" s="49">
        <v>734043</v>
      </c>
      <c r="AB56" s="49">
        <v>726878</v>
      </c>
      <c r="AC56" s="49">
        <v>706122</v>
      </c>
      <c r="AD56" s="49">
        <v>705006</v>
      </c>
      <c r="AE56" s="49">
        <v>711277</v>
      </c>
      <c r="AF56" s="49">
        <v>597400</v>
      </c>
      <c r="AG56" s="49">
        <v>299925</v>
      </c>
      <c r="AH56" s="49">
        <v>322243</v>
      </c>
      <c r="AI56" s="49">
        <v>422474</v>
      </c>
      <c r="AJ56" s="49">
        <v>386961</v>
      </c>
      <c r="AK56" s="49">
        <v>545509</v>
      </c>
      <c r="AL56" s="49">
        <v>608125</v>
      </c>
      <c r="AM56" s="49">
        <v>644942</v>
      </c>
      <c r="AN56" s="49">
        <v>596429</v>
      </c>
      <c r="AO56" s="49">
        <v>564390</v>
      </c>
      <c r="AP56" s="49">
        <v>604291</v>
      </c>
      <c r="AQ56" s="49">
        <v>531768</v>
      </c>
      <c r="AR56" s="49">
        <v>392581</v>
      </c>
      <c r="AS56" s="49">
        <v>406361</v>
      </c>
      <c r="AT56" s="49">
        <v>280325</v>
      </c>
      <c r="AU56" s="49">
        <v>321272</v>
      </c>
      <c r="AV56" s="49">
        <v>357382</v>
      </c>
      <c r="AW56" s="49">
        <v>394074</v>
      </c>
      <c r="AX56" s="49">
        <v>396043</v>
      </c>
      <c r="AY56" s="49">
        <v>403131</v>
      </c>
      <c r="AZ56" s="49">
        <v>399661</v>
      </c>
      <c r="BA56" s="49">
        <v>553802</v>
      </c>
      <c r="BB56" s="49">
        <v>512850</v>
      </c>
      <c r="BC56" s="49">
        <v>403787</v>
      </c>
      <c r="BD56" s="49">
        <v>341600</v>
      </c>
      <c r="BE56" s="49">
        <v>371132</v>
      </c>
      <c r="BF56" s="49">
        <v>259562</v>
      </c>
    </row>
    <row r="57" spans="2:58" x14ac:dyDescent="0.35">
      <c r="B57" s="36" t="str">
        <f>IF('Índice - Index'!$D$14="Português","Financiamento por Arrendamento","Finance Lease")</f>
        <v>Financiamento por Arrendamento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>
        <v>452186</v>
      </c>
      <c r="AO57" s="49">
        <v>441412</v>
      </c>
      <c r="AP57" s="49">
        <v>361424.71918000001</v>
      </c>
      <c r="AQ57" s="49">
        <v>267125</v>
      </c>
      <c r="AR57" s="49">
        <v>436009</v>
      </c>
      <c r="AS57" s="49">
        <v>411191</v>
      </c>
      <c r="AT57" s="49">
        <v>386898</v>
      </c>
      <c r="AU57" s="49">
        <v>419555</v>
      </c>
      <c r="AV57" s="49">
        <v>401830</v>
      </c>
      <c r="AW57" s="49">
        <v>394894</v>
      </c>
      <c r="AX57" s="49">
        <v>408118</v>
      </c>
      <c r="AY57" s="49">
        <v>408484</v>
      </c>
      <c r="AZ57" s="49">
        <v>393233</v>
      </c>
      <c r="BA57" s="49">
        <v>649513</v>
      </c>
      <c r="BB57" s="49">
        <v>697942</v>
      </c>
      <c r="BC57" s="49">
        <v>475760</v>
      </c>
      <c r="BD57" s="49">
        <v>527330</v>
      </c>
      <c r="BE57" s="49">
        <v>514564</v>
      </c>
      <c r="BF57" s="49">
        <v>530453</v>
      </c>
    </row>
    <row r="58" spans="2:58" x14ac:dyDescent="0.35">
      <c r="B58" s="36" t="s">
        <v>38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>
        <v>0</v>
      </c>
      <c r="AT58" s="49">
        <v>0</v>
      </c>
      <c r="AU58" s="49">
        <v>0</v>
      </c>
      <c r="AV58" s="49">
        <v>0</v>
      </c>
      <c r="AW58" s="49">
        <v>0</v>
      </c>
      <c r="AX58" s="49">
        <v>2824</v>
      </c>
      <c r="AY58" s="49">
        <v>778</v>
      </c>
      <c r="AZ58" s="49">
        <v>4535</v>
      </c>
      <c r="BA58" s="49">
        <v>736</v>
      </c>
      <c r="BB58" s="49">
        <v>795</v>
      </c>
      <c r="BC58" s="49">
        <v>795</v>
      </c>
      <c r="BD58" s="49">
        <v>795</v>
      </c>
      <c r="BE58" s="49">
        <v>0</v>
      </c>
      <c r="BF58" s="49">
        <v>0</v>
      </c>
    </row>
    <row r="59" spans="2:58" x14ac:dyDescent="0.35">
      <c r="B59" s="36" t="str">
        <f>IF('Índice - Index'!$D$14="Português","Imposto de renda e Contribuição social diferidos","Deferred income tax and social contribution")</f>
        <v>Imposto de renda e Contribuição social diferidos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>
        <v>4209</v>
      </c>
      <c r="AS59" s="49">
        <v>3177</v>
      </c>
      <c r="AT59" s="49">
        <v>437</v>
      </c>
      <c r="AU59" s="49">
        <v>0</v>
      </c>
      <c r="AV59" s="49">
        <v>1060</v>
      </c>
      <c r="AW59" s="49">
        <v>0</v>
      </c>
      <c r="AX59" s="49">
        <v>852</v>
      </c>
      <c r="AY59" s="49">
        <v>1144</v>
      </c>
      <c r="AZ59" s="49">
        <v>0</v>
      </c>
      <c r="BA59" s="49">
        <v>12</v>
      </c>
      <c r="BB59" s="49">
        <v>171</v>
      </c>
      <c r="BC59" s="49">
        <v>0</v>
      </c>
      <c r="BD59" s="49">
        <v>0</v>
      </c>
      <c r="BE59" s="49">
        <v>0</v>
      </c>
      <c r="BF59" s="49">
        <v>0</v>
      </c>
    </row>
    <row r="60" spans="2:58" x14ac:dyDescent="0.35">
      <c r="B60" s="36" t="str">
        <f>IF('Índice - Index'!$D$14="Português","Provisão para litígios e demandas judiciais","Provisions for judicial contingencies")</f>
        <v>Provisão para litígios e demandas judiciais</v>
      </c>
      <c r="C60" s="49">
        <v>57630</v>
      </c>
      <c r="D60" s="49">
        <v>59121</v>
      </c>
      <c r="E60" s="49">
        <v>58637</v>
      </c>
      <c r="F60" s="49">
        <v>62021</v>
      </c>
      <c r="G60" s="49">
        <v>61125</v>
      </c>
      <c r="H60" s="49">
        <v>60938</v>
      </c>
      <c r="I60" s="49">
        <v>56271</v>
      </c>
      <c r="J60" s="49">
        <v>57876</v>
      </c>
      <c r="K60" s="49">
        <v>53350</v>
      </c>
      <c r="L60" s="49">
        <v>52794</v>
      </c>
      <c r="M60" s="49">
        <v>54588</v>
      </c>
      <c r="N60" s="49">
        <v>55769</v>
      </c>
      <c r="O60" s="49">
        <v>54699</v>
      </c>
      <c r="P60" s="49">
        <v>51045</v>
      </c>
      <c r="Q60" s="49">
        <v>51795</v>
      </c>
      <c r="R60" s="49">
        <v>45511</v>
      </c>
      <c r="S60" s="49">
        <v>45452</v>
      </c>
      <c r="T60" s="49">
        <v>50639</v>
      </c>
      <c r="U60" s="49">
        <v>54682</v>
      </c>
      <c r="V60" s="49">
        <v>54442</v>
      </c>
      <c r="W60" s="49">
        <v>54716</v>
      </c>
      <c r="X60" s="49">
        <v>56673</v>
      </c>
      <c r="Y60" s="49">
        <v>62954</v>
      </c>
      <c r="Z60" s="49">
        <v>65300</v>
      </c>
      <c r="AA60" s="49">
        <v>96696</v>
      </c>
      <c r="AB60" s="49">
        <v>125462</v>
      </c>
      <c r="AC60" s="49">
        <v>135171</v>
      </c>
      <c r="AD60" s="49">
        <v>146687</v>
      </c>
      <c r="AE60" s="49">
        <v>163881</v>
      </c>
      <c r="AF60" s="49">
        <v>90989</v>
      </c>
      <c r="AG60" s="49">
        <v>94526</v>
      </c>
      <c r="AH60" s="49">
        <v>95757</v>
      </c>
      <c r="AI60" s="49">
        <v>98759</v>
      </c>
      <c r="AJ60" s="49">
        <v>99995</v>
      </c>
      <c r="AK60" s="49">
        <v>97514</v>
      </c>
      <c r="AL60" s="49">
        <v>97638</v>
      </c>
      <c r="AM60" s="49">
        <v>113201</v>
      </c>
      <c r="AN60" s="49">
        <v>123435.44573000001</v>
      </c>
      <c r="AO60" s="49">
        <v>131701</v>
      </c>
      <c r="AP60" s="49">
        <v>136689</v>
      </c>
      <c r="AQ60" s="49">
        <v>145015</v>
      </c>
      <c r="AR60" s="49">
        <v>148666</v>
      </c>
      <c r="AS60" s="49">
        <v>122016</v>
      </c>
      <c r="AT60" s="49">
        <v>121841</v>
      </c>
      <c r="AU60" s="49">
        <v>125484</v>
      </c>
      <c r="AV60" s="49">
        <v>131923</v>
      </c>
      <c r="AW60" s="49">
        <v>138140</v>
      </c>
      <c r="AX60" s="49">
        <v>137999</v>
      </c>
      <c r="AY60" s="49">
        <v>176691</v>
      </c>
      <c r="AZ60" s="49">
        <v>147311</v>
      </c>
      <c r="BA60" s="49">
        <v>153248</v>
      </c>
      <c r="BB60" s="49">
        <v>152798</v>
      </c>
      <c r="BC60" s="49">
        <v>208839</v>
      </c>
      <c r="BD60" s="49">
        <v>241521</v>
      </c>
      <c r="BE60" s="49">
        <v>251169</v>
      </c>
      <c r="BF60" s="49">
        <v>260738</v>
      </c>
    </row>
    <row r="61" spans="2:58" x14ac:dyDescent="0.35">
      <c r="B61" s="36" t="str">
        <f>IF('Índice - Index'!$D$14="Português","Parcelamento de tributos","Taxes in installments")</f>
        <v>Parcelamento de tributos</v>
      </c>
      <c r="C61" s="49">
        <v>46385</v>
      </c>
      <c r="D61" s="49">
        <v>45491</v>
      </c>
      <c r="E61" s="49">
        <v>44573</v>
      </c>
      <c r="F61" s="49">
        <v>43567</v>
      </c>
      <c r="G61" s="49">
        <v>43435</v>
      </c>
      <c r="H61" s="49">
        <v>43300</v>
      </c>
      <c r="I61" s="49">
        <v>28951</v>
      </c>
      <c r="J61" s="49">
        <v>25656</v>
      </c>
      <c r="K61" s="49">
        <v>22371</v>
      </c>
      <c r="L61" s="49">
        <v>148</v>
      </c>
      <c r="M61" s="49">
        <v>725</v>
      </c>
      <c r="N61" s="49">
        <v>692</v>
      </c>
      <c r="O61" s="49">
        <v>659</v>
      </c>
      <c r="P61" s="49">
        <v>618</v>
      </c>
      <c r="Q61" s="49">
        <v>579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 t="s">
        <v>16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0</v>
      </c>
      <c r="AY61" s="49">
        <v>0</v>
      </c>
      <c r="AZ61" s="49">
        <v>0</v>
      </c>
      <c r="BA61" s="49">
        <v>0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</row>
    <row r="62" spans="2:58" outlineLevel="1" x14ac:dyDescent="0.35">
      <c r="B62" s="36" t="str">
        <f>IF('Índice - Index'!$D$14="Português","Opção de compra financeira","Financial call option")</f>
        <v>Opção de compra financeira</v>
      </c>
      <c r="C62" s="49">
        <v>8256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>
        <v>0</v>
      </c>
      <c r="AV62" s="49">
        <v>0</v>
      </c>
      <c r="AW62" s="49">
        <v>0</v>
      </c>
      <c r="AX62" s="49">
        <v>0</v>
      </c>
      <c r="AY62" s="49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</row>
    <row r="63" spans="2:58" x14ac:dyDescent="0.35">
      <c r="B63" s="36" t="str">
        <f>IF('Índice - Index'!$D$14="Português","Receita diferida","Deferred revenues")</f>
        <v>Receita diferida</v>
      </c>
      <c r="C63" s="49">
        <v>95284</v>
      </c>
      <c r="D63" s="49">
        <v>92000</v>
      </c>
      <c r="E63" s="49">
        <v>89000</v>
      </c>
      <c r="F63" s="49">
        <v>86000</v>
      </c>
      <c r="G63" s="49">
        <v>83000</v>
      </c>
      <c r="H63" s="49">
        <v>80000</v>
      </c>
      <c r="I63" s="49">
        <v>77000</v>
      </c>
      <c r="J63" s="49">
        <v>74000</v>
      </c>
      <c r="K63" s="49">
        <v>71000</v>
      </c>
      <c r="L63" s="49">
        <v>68000</v>
      </c>
      <c r="M63" s="49">
        <v>65000</v>
      </c>
      <c r="N63" s="49">
        <v>62000</v>
      </c>
      <c r="O63" s="49">
        <v>59000</v>
      </c>
      <c r="P63" s="49">
        <v>56000</v>
      </c>
      <c r="Q63" s="49">
        <v>53000</v>
      </c>
      <c r="R63" s="49">
        <v>50000</v>
      </c>
      <c r="S63" s="49">
        <v>47000</v>
      </c>
      <c r="T63" s="49">
        <v>44000</v>
      </c>
      <c r="U63" s="49">
        <v>41000</v>
      </c>
      <c r="V63" s="49">
        <v>56500</v>
      </c>
      <c r="W63" s="49">
        <v>53250</v>
      </c>
      <c r="X63" s="49">
        <v>50000</v>
      </c>
      <c r="Y63" s="49">
        <v>46750</v>
      </c>
      <c r="Z63" s="49">
        <v>52685.185185185182</v>
      </c>
      <c r="AA63" s="49">
        <v>51731</v>
      </c>
      <c r="AB63" s="49">
        <v>33778</v>
      </c>
      <c r="AC63" s="49">
        <v>33074</v>
      </c>
      <c r="AD63" s="49">
        <v>32370</v>
      </c>
      <c r="AE63" s="49">
        <v>31666.67</v>
      </c>
      <c r="AF63" s="49">
        <v>90963</v>
      </c>
      <c r="AG63" s="49">
        <v>86509</v>
      </c>
      <c r="AH63" s="49">
        <v>82056</v>
      </c>
      <c r="AI63" s="49">
        <v>77602</v>
      </c>
      <c r="AJ63" s="49">
        <v>73148</v>
      </c>
      <c r="AK63" s="49">
        <v>63945</v>
      </c>
      <c r="AL63" s="49">
        <v>59642</v>
      </c>
      <c r="AM63" s="49">
        <v>55299</v>
      </c>
      <c r="AN63" s="49">
        <v>51475.140359999998</v>
      </c>
      <c r="AO63" s="49">
        <v>47313</v>
      </c>
      <c r="AP63" s="49">
        <v>43541</v>
      </c>
      <c r="AQ63" s="49">
        <v>39693</v>
      </c>
      <c r="AR63" s="49">
        <v>35084</v>
      </c>
      <c r="AS63" s="49">
        <v>31442</v>
      </c>
      <c r="AT63" s="49">
        <v>27799</v>
      </c>
      <c r="AU63" s="49">
        <v>24157</v>
      </c>
      <c r="AV63" s="49">
        <v>19704</v>
      </c>
      <c r="AW63" s="49">
        <v>17973</v>
      </c>
      <c r="AX63" s="49">
        <v>13392</v>
      </c>
      <c r="AY63" s="49">
        <v>55480</v>
      </c>
      <c r="AZ63" s="49">
        <v>26253</v>
      </c>
      <c r="BA63" s="49">
        <v>25587</v>
      </c>
      <c r="BB63" s="49">
        <v>24799</v>
      </c>
      <c r="BC63" s="49">
        <v>47703</v>
      </c>
      <c r="BD63" s="49">
        <v>13870</v>
      </c>
      <c r="BE63" s="49">
        <v>13454</v>
      </c>
      <c r="BF63" s="49">
        <v>12677</v>
      </c>
    </row>
    <row r="64" spans="2:58" x14ac:dyDescent="0.35">
      <c r="B64" s="36" t="str">
        <f>IF('Índice - Index'!$D$14="Português","Outras obrigações","Other payables")</f>
        <v>Outras obrigações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>
        <v>31653</v>
      </c>
      <c r="AQ64" s="49">
        <v>29262</v>
      </c>
      <c r="AR64" s="49">
        <v>26015</v>
      </c>
      <c r="AS64" s="49">
        <v>26200</v>
      </c>
      <c r="AT64" s="49">
        <v>24135</v>
      </c>
      <c r="AU64" s="49">
        <v>22031</v>
      </c>
      <c r="AV64" s="49">
        <v>20309</v>
      </c>
      <c r="AW64" s="49">
        <v>17128</v>
      </c>
      <c r="AX64" s="49">
        <v>8219</v>
      </c>
      <c r="AY64" s="49">
        <v>6097</v>
      </c>
      <c r="AZ64" s="49">
        <v>5323</v>
      </c>
      <c r="BA64" s="49">
        <v>5973</v>
      </c>
      <c r="BB64" s="49">
        <v>8611</v>
      </c>
      <c r="BC64" s="49">
        <v>9701</v>
      </c>
      <c r="BD64" s="49">
        <v>800</v>
      </c>
      <c r="BE64" s="49">
        <v>500</v>
      </c>
      <c r="BF64" s="49">
        <v>500</v>
      </c>
    </row>
    <row r="65" spans="2:58" x14ac:dyDescent="0.35">
      <c r="B65" s="42" t="str">
        <f>IF('Índice - Index'!$D$14="Português","Total do passivo não circulante","Total Noncurrent Liabilities")</f>
        <v>Total do passivo não circulante</v>
      </c>
      <c r="C65" s="51">
        <f t="shared" ref="C65:AO65" si="8">SUM(C56:C63)</f>
        <v>303247</v>
      </c>
      <c r="D65" s="51">
        <f t="shared" si="8"/>
        <v>275005</v>
      </c>
      <c r="E65" s="51">
        <f t="shared" si="8"/>
        <v>260530</v>
      </c>
      <c r="F65" s="51">
        <f t="shared" si="8"/>
        <v>249905</v>
      </c>
      <c r="G65" s="51">
        <f t="shared" si="8"/>
        <v>255607</v>
      </c>
      <c r="H65" s="51">
        <f t="shared" si="8"/>
        <v>237834</v>
      </c>
      <c r="I65" s="51">
        <f t="shared" si="8"/>
        <v>503887</v>
      </c>
      <c r="J65" s="51">
        <f t="shared" si="8"/>
        <v>493024</v>
      </c>
      <c r="K65" s="51">
        <f t="shared" si="8"/>
        <v>833738</v>
      </c>
      <c r="L65" s="51">
        <f t="shared" si="8"/>
        <v>803242</v>
      </c>
      <c r="M65" s="51">
        <f t="shared" si="8"/>
        <v>790902</v>
      </c>
      <c r="N65" s="51">
        <f t="shared" si="8"/>
        <v>792786</v>
      </c>
      <c r="O65" s="51">
        <f t="shared" si="8"/>
        <v>796697</v>
      </c>
      <c r="P65" s="51">
        <f t="shared" si="8"/>
        <v>791979</v>
      </c>
      <c r="Q65" s="51">
        <f t="shared" si="8"/>
        <v>792902</v>
      </c>
      <c r="R65" s="51">
        <f t="shared" si="8"/>
        <v>780942</v>
      </c>
      <c r="S65" s="51">
        <f t="shared" si="8"/>
        <v>777839</v>
      </c>
      <c r="T65" s="51">
        <f t="shared" si="8"/>
        <v>847048</v>
      </c>
      <c r="U65" s="51">
        <f t="shared" si="8"/>
        <v>1046568</v>
      </c>
      <c r="V65" s="51">
        <f t="shared" si="8"/>
        <v>1064845</v>
      </c>
      <c r="W65" s="51">
        <f t="shared" si="8"/>
        <v>885318</v>
      </c>
      <c r="X65" s="51">
        <f t="shared" si="8"/>
        <v>871548</v>
      </c>
      <c r="Y65" s="51">
        <f t="shared" si="8"/>
        <v>933953</v>
      </c>
      <c r="Z65" s="51">
        <f t="shared" si="8"/>
        <v>1081042.1851851852</v>
      </c>
      <c r="AA65" s="51">
        <f t="shared" si="8"/>
        <v>882470</v>
      </c>
      <c r="AB65" s="51">
        <f t="shared" si="8"/>
        <v>886118</v>
      </c>
      <c r="AC65" s="51">
        <f t="shared" si="8"/>
        <v>874367</v>
      </c>
      <c r="AD65" s="51">
        <f t="shared" si="8"/>
        <v>884063</v>
      </c>
      <c r="AE65" s="51">
        <f t="shared" si="8"/>
        <v>906824.67</v>
      </c>
      <c r="AF65" s="51">
        <f t="shared" si="8"/>
        <v>779352</v>
      </c>
      <c r="AG65" s="51">
        <f t="shared" si="8"/>
        <v>480960</v>
      </c>
      <c r="AH65" s="51">
        <f t="shared" si="8"/>
        <v>500056</v>
      </c>
      <c r="AI65" s="51">
        <f t="shared" si="8"/>
        <v>598835</v>
      </c>
      <c r="AJ65" s="51">
        <f t="shared" si="8"/>
        <v>560104</v>
      </c>
      <c r="AK65" s="51">
        <f t="shared" si="8"/>
        <v>706968</v>
      </c>
      <c r="AL65" s="51">
        <f t="shared" si="8"/>
        <v>765405</v>
      </c>
      <c r="AM65" s="51">
        <f t="shared" si="8"/>
        <v>813442</v>
      </c>
      <c r="AN65" s="51">
        <f t="shared" si="8"/>
        <v>1223525.5860900001</v>
      </c>
      <c r="AO65" s="51">
        <f t="shared" si="8"/>
        <v>1184816</v>
      </c>
      <c r="AP65" s="51">
        <f>SUM(AP56:AP64)</f>
        <v>1177598.71918</v>
      </c>
      <c r="AQ65" s="51">
        <f>SUM(AQ56:AQ64)</f>
        <v>1012863</v>
      </c>
      <c r="AR65" s="51">
        <f>SUM(AR56:AR64)</f>
        <v>1042564</v>
      </c>
      <c r="AS65" s="51">
        <f>SUM(AS56:AS64)</f>
        <v>1000387</v>
      </c>
      <c r="AT65" s="51">
        <f>SUM(AT56:AT64)</f>
        <v>841435</v>
      </c>
      <c r="AU65" s="51">
        <v>912499</v>
      </c>
      <c r="AV65" s="51">
        <v>932208</v>
      </c>
      <c r="AW65" s="51">
        <f>SUM(AW56:AW64)</f>
        <v>962209</v>
      </c>
      <c r="AX65" s="51">
        <f>SUM(AX56:AX64)</f>
        <v>967447</v>
      </c>
      <c r="AY65" s="51">
        <f>SUM(AY56:AY64)</f>
        <v>1051805</v>
      </c>
      <c r="AZ65" s="51">
        <v>976316</v>
      </c>
      <c r="BA65" s="51">
        <f t="shared" ref="BA65:BF65" si="9">SUM(BA56:BA64)</f>
        <v>1388871</v>
      </c>
      <c r="BB65" s="51">
        <f t="shared" si="9"/>
        <v>1397966</v>
      </c>
      <c r="BC65" s="51">
        <f t="shared" si="9"/>
        <v>1146585</v>
      </c>
      <c r="BD65" s="51">
        <f t="shared" si="9"/>
        <v>1125916</v>
      </c>
      <c r="BE65" s="51">
        <f t="shared" si="9"/>
        <v>1150819</v>
      </c>
      <c r="BF65" s="51">
        <f t="shared" si="9"/>
        <v>1063930</v>
      </c>
    </row>
    <row r="66" spans="2:58" x14ac:dyDescent="0.35">
      <c r="B66" s="40"/>
      <c r="C66" s="48"/>
      <c r="D66" s="48"/>
      <c r="E66" s="48"/>
      <c r="F66" s="48"/>
      <c r="G66" s="48"/>
      <c r="H66" s="48"/>
      <c r="I66" s="48"/>
      <c r="J66" s="48"/>
      <c r="K66" s="48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2:58" x14ac:dyDescent="0.35">
      <c r="B67" s="34" t="str">
        <f>IF('Índice - Index'!$D$14="Português","PATRIMÔNIO LÍQUIDO","SHAREHOLDER EQUITY")</f>
        <v>PATRIMÔNIO LÍQUIDO</v>
      </c>
      <c r="C67" s="48"/>
      <c r="D67" s="48"/>
      <c r="E67" s="48"/>
      <c r="F67" s="48"/>
      <c r="G67" s="48"/>
      <c r="H67" s="48"/>
      <c r="I67" s="48"/>
      <c r="J67" s="48"/>
      <c r="K67" s="48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2:58" x14ac:dyDescent="0.35">
      <c r="B68" s="36" t="str">
        <f>IF('Índice - Index'!$D$14="Português","Capital social","Paid in Capital")</f>
        <v>Capital social</v>
      </c>
      <c r="C68" s="49">
        <v>623321</v>
      </c>
      <c r="D68" s="49">
        <v>623785</v>
      </c>
      <c r="E68" s="49">
        <v>623785</v>
      </c>
      <c r="F68" s="49">
        <v>651106</v>
      </c>
      <c r="G68" s="49">
        <v>651106</v>
      </c>
      <c r="H68" s="49">
        <v>651106</v>
      </c>
      <c r="I68" s="49">
        <v>651106</v>
      </c>
      <c r="J68" s="49">
        <v>651106</v>
      </c>
      <c r="K68" s="49">
        <v>651106</v>
      </c>
      <c r="L68" s="49">
        <v>658238</v>
      </c>
      <c r="M68" s="49">
        <v>660159</v>
      </c>
      <c r="N68" s="49">
        <v>660159</v>
      </c>
      <c r="O68" s="49">
        <v>660159</v>
      </c>
      <c r="P68" s="49">
        <v>660159</v>
      </c>
      <c r="Q68" s="49">
        <v>661493</v>
      </c>
      <c r="R68" s="49">
        <v>661493</v>
      </c>
      <c r="S68" s="49">
        <v>661493</v>
      </c>
      <c r="T68" s="49">
        <v>661493</v>
      </c>
      <c r="U68" s="49">
        <v>661493</v>
      </c>
      <c r="V68" s="49">
        <v>661493</v>
      </c>
      <c r="W68" s="49">
        <v>661493</v>
      </c>
      <c r="X68" s="49">
        <v>661493</v>
      </c>
      <c r="Y68" s="49">
        <v>661493</v>
      </c>
      <c r="Z68" s="49">
        <v>899597</v>
      </c>
      <c r="AA68" s="49">
        <v>899597</v>
      </c>
      <c r="AB68" s="49">
        <v>899597</v>
      </c>
      <c r="AC68" s="49">
        <v>899597</v>
      </c>
      <c r="AD68" s="49">
        <v>899597</v>
      </c>
      <c r="AE68" s="49">
        <v>899597</v>
      </c>
      <c r="AF68" s="49">
        <v>899597</v>
      </c>
      <c r="AG68" s="49">
        <v>899597</v>
      </c>
      <c r="AH68" s="49">
        <v>899597</v>
      </c>
      <c r="AI68" s="49">
        <v>899597</v>
      </c>
      <c r="AJ68" s="49">
        <v>899597</v>
      </c>
      <c r="AK68" s="49">
        <v>899597</v>
      </c>
      <c r="AL68" s="49">
        <v>899597</v>
      </c>
      <c r="AM68" s="49">
        <v>899596.86499999999</v>
      </c>
      <c r="AN68" s="49">
        <v>899597</v>
      </c>
      <c r="AO68" s="49">
        <v>899597</v>
      </c>
      <c r="AP68" s="49">
        <v>899597</v>
      </c>
      <c r="AQ68" s="49">
        <v>1442695</v>
      </c>
      <c r="AR68" s="49">
        <v>1447349</v>
      </c>
      <c r="AS68" s="49">
        <v>1447349</v>
      </c>
      <c r="AT68" s="49">
        <v>1447349</v>
      </c>
      <c r="AU68" s="49">
        <v>1447349</v>
      </c>
      <c r="AV68" s="49">
        <v>1447349</v>
      </c>
      <c r="AW68" s="49">
        <v>1447349</v>
      </c>
      <c r="AX68" s="49">
        <v>1447349</v>
      </c>
      <c r="AY68" s="49">
        <v>1447349</v>
      </c>
      <c r="AZ68" s="49">
        <v>1695135</v>
      </c>
      <c r="BA68" s="49">
        <v>1694901</v>
      </c>
      <c r="BB68" s="49">
        <v>1694901</v>
      </c>
      <c r="BC68" s="49">
        <v>1694928</v>
      </c>
      <c r="BD68" s="49">
        <v>1694928</v>
      </c>
      <c r="BE68" s="49">
        <v>1694928</v>
      </c>
      <c r="BF68" s="49">
        <v>1694928</v>
      </c>
    </row>
    <row r="69" spans="2:58" x14ac:dyDescent="0.35">
      <c r="B69" s="36" t="str">
        <f>IF('Índice - Index'!$D$14="Português","Adiantamento para futuro aumento de capital social","Advance for future capital increase")</f>
        <v>Adiantamento para futuro aumento de capital social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G69" s="49">
        <v>0</v>
      </c>
      <c r="AH69" s="49">
        <v>0</v>
      </c>
      <c r="AI69" s="49">
        <v>0</v>
      </c>
      <c r="AJ69" s="49">
        <v>0</v>
      </c>
      <c r="AK69" s="49">
        <v>0</v>
      </c>
      <c r="AL69" s="49">
        <v>0</v>
      </c>
      <c r="AM69" s="49">
        <v>0</v>
      </c>
      <c r="AN69" s="49">
        <v>0</v>
      </c>
      <c r="AO69" s="49">
        <v>0</v>
      </c>
      <c r="AP69" s="49">
        <v>0</v>
      </c>
      <c r="AQ69" s="49">
        <v>0</v>
      </c>
      <c r="AR69" s="49">
        <v>0</v>
      </c>
      <c r="AS69" s="49">
        <v>0</v>
      </c>
      <c r="AT69" s="49">
        <v>0</v>
      </c>
      <c r="AU69" s="49">
        <v>0</v>
      </c>
      <c r="AV69" s="49">
        <v>0</v>
      </c>
      <c r="AW69" s="49">
        <v>0</v>
      </c>
      <c r="AX69" s="49">
        <v>0</v>
      </c>
      <c r="AY69" s="49">
        <v>70227</v>
      </c>
      <c r="AZ69" s="49">
        <v>0</v>
      </c>
      <c r="BA69" s="49">
        <v>0</v>
      </c>
      <c r="BB69" s="49">
        <v>0</v>
      </c>
      <c r="BC69" s="49">
        <v>0</v>
      </c>
      <c r="BD69" s="49">
        <v>0</v>
      </c>
      <c r="BE69" s="49">
        <v>0</v>
      </c>
      <c r="BF69" s="49">
        <v>0</v>
      </c>
    </row>
    <row r="70" spans="2:58" x14ac:dyDescent="0.35">
      <c r="B70" s="36" t="str">
        <f>IF('Índice - Index'!$D$14="Português","Ações em Tesouraria","Treasury Stocks")</f>
        <v>Ações em Tesouraria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49">
        <v>0</v>
      </c>
      <c r="AJ70" s="49">
        <v>0</v>
      </c>
      <c r="AK70" s="49">
        <v>-747</v>
      </c>
      <c r="AL70" s="49">
        <v>-1296</v>
      </c>
      <c r="AM70" s="49">
        <v>-1296.2739999999999</v>
      </c>
      <c r="AN70" s="49">
        <v>-1296</v>
      </c>
      <c r="AO70" s="49">
        <v>-1201</v>
      </c>
      <c r="AP70" s="49">
        <v>-1201</v>
      </c>
      <c r="AQ70" s="49">
        <v>-1099</v>
      </c>
      <c r="AR70" s="49">
        <v>-1099</v>
      </c>
      <c r="AS70" s="49">
        <v>-1110</v>
      </c>
      <c r="AT70" s="49">
        <v>-1110</v>
      </c>
      <c r="AU70" s="49">
        <v>-1110</v>
      </c>
      <c r="AV70" s="49">
        <v>-1110</v>
      </c>
      <c r="AW70" s="49">
        <v>-1110</v>
      </c>
      <c r="AX70" s="49">
        <v>-1110</v>
      </c>
      <c r="AY70" s="49">
        <v>-1110</v>
      </c>
      <c r="AZ70" s="49">
        <v>-1174</v>
      </c>
      <c r="BA70" s="49">
        <v>-1174</v>
      </c>
      <c r="BB70" s="49">
        <v>-1174</v>
      </c>
      <c r="BC70" s="49">
        <v>-1174</v>
      </c>
      <c r="BD70" s="49">
        <v>-1174</v>
      </c>
      <c r="BE70" s="49">
        <v>-1174</v>
      </c>
      <c r="BF70" s="49">
        <v>-1241</v>
      </c>
    </row>
    <row r="71" spans="2:58" x14ac:dyDescent="0.35">
      <c r="B71" s="36" t="str">
        <f>IF('Índice - Index'!$D$14="Português","Reservas de lucros","Earnings reserve")</f>
        <v>Reservas de lucros</v>
      </c>
      <c r="C71" s="49">
        <v>97139</v>
      </c>
      <c r="D71" s="49">
        <v>97588</v>
      </c>
      <c r="E71" s="49">
        <v>135265</v>
      </c>
      <c r="F71" s="49">
        <v>118496</v>
      </c>
      <c r="G71" s="49">
        <v>171931</v>
      </c>
      <c r="H71" s="49">
        <v>207958</v>
      </c>
      <c r="I71" s="49">
        <v>266783</v>
      </c>
      <c r="J71" s="49">
        <v>59588</v>
      </c>
      <c r="K71" s="49">
        <v>206659</v>
      </c>
      <c r="L71" s="49">
        <v>207816</v>
      </c>
      <c r="M71" s="49">
        <v>255863</v>
      </c>
      <c r="N71" s="49">
        <v>208448</v>
      </c>
      <c r="O71" s="49">
        <v>378890</v>
      </c>
      <c r="P71" s="49">
        <v>379440</v>
      </c>
      <c r="Q71" s="49">
        <v>379735</v>
      </c>
      <c r="R71" s="49">
        <v>380394</v>
      </c>
      <c r="S71" s="49">
        <v>439932</v>
      </c>
      <c r="T71" s="49">
        <v>446889</v>
      </c>
      <c r="U71" s="49">
        <v>447255</v>
      </c>
      <c r="V71" s="49">
        <v>447846</v>
      </c>
      <c r="W71" s="49">
        <v>478882</v>
      </c>
      <c r="X71" s="49">
        <v>478882</v>
      </c>
      <c r="Y71" s="49">
        <v>478882</v>
      </c>
      <c r="Z71" s="49">
        <v>240778</v>
      </c>
      <c r="AA71" s="49">
        <v>240778</v>
      </c>
      <c r="AB71" s="49">
        <v>205014</v>
      </c>
      <c r="AC71" s="49">
        <v>240884</v>
      </c>
      <c r="AD71" s="49">
        <v>240884</v>
      </c>
      <c r="AE71" s="49">
        <v>117008</v>
      </c>
      <c r="AF71" s="49">
        <v>117008</v>
      </c>
      <c r="AG71" s="49">
        <v>117008</v>
      </c>
      <c r="AH71" s="49">
        <v>117008</v>
      </c>
      <c r="AI71" s="49">
        <v>117008</v>
      </c>
      <c r="AJ71" s="49">
        <v>117008</v>
      </c>
      <c r="AK71" s="49">
        <v>56570</v>
      </c>
      <c r="AL71" s="49">
        <v>56570</v>
      </c>
      <c r="AM71" s="49">
        <v>44826</v>
      </c>
      <c r="AN71" s="49">
        <v>72087</v>
      </c>
      <c r="AO71" s="49">
        <v>73094</v>
      </c>
      <c r="AP71" s="49">
        <v>79830</v>
      </c>
      <c r="AQ71" s="49">
        <v>79925</v>
      </c>
      <c r="AR71" s="49">
        <v>79925</v>
      </c>
      <c r="AS71" s="49">
        <v>79925</v>
      </c>
      <c r="AT71" s="49">
        <v>79925</v>
      </c>
      <c r="AU71" s="49">
        <v>79925</v>
      </c>
      <c r="AV71" s="49">
        <v>79925</v>
      </c>
      <c r="AW71" s="49">
        <v>79925</v>
      </c>
      <c r="AX71" s="49">
        <v>79925</v>
      </c>
      <c r="AY71" s="49">
        <v>0</v>
      </c>
      <c r="AZ71" s="49">
        <v>0</v>
      </c>
      <c r="BA71" s="49">
        <v>0</v>
      </c>
      <c r="BB71" s="49">
        <v>0</v>
      </c>
      <c r="BC71" s="49">
        <v>0</v>
      </c>
      <c r="BD71" s="49">
        <v>0</v>
      </c>
      <c r="BE71" s="49">
        <v>0</v>
      </c>
      <c r="BF71" s="49">
        <v>0</v>
      </c>
    </row>
    <row r="72" spans="2:58" x14ac:dyDescent="0.35">
      <c r="B72" s="36" t="str">
        <f>IF('Índice - Index'!$D$14="Português","Reserva de opção de ações","Stock Option reserve")</f>
        <v>Reserva de opção de ações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6313</v>
      </c>
      <c r="T72" s="49">
        <v>0</v>
      </c>
      <c r="U72" s="49">
        <v>0</v>
      </c>
      <c r="V72" s="49">
        <v>0</v>
      </c>
      <c r="W72" s="49">
        <v>8413</v>
      </c>
      <c r="X72" s="49">
        <v>8901</v>
      </c>
      <c r="Y72" s="49">
        <v>9014</v>
      </c>
      <c r="Z72" s="49">
        <v>9212</v>
      </c>
      <c r="AA72" s="49">
        <v>9102</v>
      </c>
      <c r="AB72" s="49">
        <v>9236</v>
      </c>
      <c r="AC72" s="49">
        <v>9237</v>
      </c>
      <c r="AD72" s="49">
        <v>9283</v>
      </c>
      <c r="AE72" s="49">
        <v>1246</v>
      </c>
      <c r="AF72" s="49">
        <v>1788</v>
      </c>
      <c r="AG72" s="49">
        <v>2531</v>
      </c>
      <c r="AH72" s="49">
        <v>2650</v>
      </c>
      <c r="AI72" s="49">
        <v>2940</v>
      </c>
      <c r="AJ72" s="49">
        <v>2827</v>
      </c>
      <c r="AK72" s="49">
        <v>3545</v>
      </c>
      <c r="AL72" s="49">
        <v>2345</v>
      </c>
      <c r="AM72" s="49">
        <v>2752</v>
      </c>
      <c r="AN72" s="49">
        <v>2337.5762999999997</v>
      </c>
      <c r="AO72" s="49">
        <v>3383</v>
      </c>
      <c r="AP72" s="49">
        <v>7704</v>
      </c>
      <c r="AQ72" s="49">
        <v>11960</v>
      </c>
      <c r="AR72" s="49">
        <v>9112</v>
      </c>
      <c r="AS72" s="49">
        <v>12572</v>
      </c>
      <c r="AT72" s="49">
        <v>13703</v>
      </c>
      <c r="AU72" s="49">
        <v>14793</v>
      </c>
      <c r="AV72" s="49">
        <v>15292</v>
      </c>
      <c r="AW72" s="49">
        <v>15541</v>
      </c>
      <c r="AX72" s="49">
        <v>16553</v>
      </c>
      <c r="AY72" s="49">
        <v>17222</v>
      </c>
      <c r="AZ72" s="49">
        <v>16354</v>
      </c>
      <c r="BA72" s="49">
        <v>16930</v>
      </c>
      <c r="BB72" s="49">
        <v>18710</v>
      </c>
      <c r="BC72" s="49">
        <v>19779</v>
      </c>
      <c r="BD72" s="49">
        <v>19840</v>
      </c>
      <c r="BE72" s="49">
        <v>19107</v>
      </c>
      <c r="BF72" s="49">
        <v>19169</v>
      </c>
    </row>
    <row r="73" spans="2:58" x14ac:dyDescent="0.35">
      <c r="B73" s="36" t="str">
        <f>IF('Índice - Index'!$D$14="Português","Outros resultados abrangentes","Other comprehensive income")</f>
        <v>Outros resultados abrangentes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2385</v>
      </c>
      <c r="W73" s="49">
        <v>7090</v>
      </c>
      <c r="X73" s="49">
        <v>35550.792254</v>
      </c>
      <c r="Y73" s="49">
        <v>15220.9697182</v>
      </c>
      <c r="Z73" s="49">
        <v>32440.952300199999</v>
      </c>
      <c r="AA73" s="49">
        <v>5132.0742091044785</v>
      </c>
      <c r="AB73" s="49">
        <v>-2651.9415502000002</v>
      </c>
      <c r="AC73" s="49">
        <v>-8471.9165733999998</v>
      </c>
      <c r="AD73" s="49">
        <v>-6826</v>
      </c>
      <c r="AE73" s="49">
        <v>-6215</v>
      </c>
      <c r="AF73" s="49">
        <v>-6391</v>
      </c>
      <c r="AG73" s="49">
        <v>-2802</v>
      </c>
      <c r="AH73" s="49">
        <v>-1038</v>
      </c>
      <c r="AI73" s="49">
        <v>533</v>
      </c>
      <c r="AJ73" s="49">
        <v>435</v>
      </c>
      <c r="AK73" s="49">
        <v>4871</v>
      </c>
      <c r="AL73" s="49">
        <v>2482</v>
      </c>
      <c r="AM73" s="49">
        <v>-591</v>
      </c>
      <c r="AN73" s="49">
        <v>612.69331999999997</v>
      </c>
      <c r="AO73" s="49">
        <v>-498</v>
      </c>
      <c r="AP73" s="49">
        <v>-571.9699099999998</v>
      </c>
      <c r="AQ73" s="49">
        <v>-1114</v>
      </c>
      <c r="AR73" s="49">
        <v>8158</v>
      </c>
      <c r="AS73" s="49">
        <v>6167</v>
      </c>
      <c r="AT73" s="49">
        <v>849</v>
      </c>
      <c r="AU73" s="49">
        <v>-4477</v>
      </c>
      <c r="AV73" s="49">
        <v>2059</v>
      </c>
      <c r="AW73" s="49">
        <v>-4735</v>
      </c>
      <c r="AX73" s="49">
        <v>1654</v>
      </c>
      <c r="AY73" s="49">
        <v>2222</v>
      </c>
      <c r="AZ73" s="49">
        <v>-3273</v>
      </c>
      <c r="BA73" s="49">
        <v>22</v>
      </c>
      <c r="BB73" s="49">
        <v>331</v>
      </c>
      <c r="BC73" s="49">
        <v>-62</v>
      </c>
      <c r="BD73" s="49">
        <v>0</v>
      </c>
      <c r="BE73" s="49">
        <v>0</v>
      </c>
      <c r="BF73" s="49">
        <v>0</v>
      </c>
    </row>
    <row r="74" spans="2:58" ht="15" x14ac:dyDescent="0.35">
      <c r="B74" s="36" t="s">
        <v>31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141220</v>
      </c>
      <c r="K74" s="52">
        <v>0</v>
      </c>
      <c r="L74" s="52">
        <v>0</v>
      </c>
      <c r="M74" s="52">
        <v>0</v>
      </c>
      <c r="N74" s="52">
        <v>114312</v>
      </c>
      <c r="O74" s="52">
        <v>0</v>
      </c>
      <c r="P74" s="52">
        <v>8746</v>
      </c>
      <c r="Q74" s="52">
        <v>47544</v>
      </c>
      <c r="R74" s="52">
        <v>59794</v>
      </c>
      <c r="S74" s="52">
        <v>0</v>
      </c>
      <c r="T74" s="52">
        <v>13759</v>
      </c>
      <c r="U74" s="52">
        <v>25624</v>
      </c>
      <c r="V74" s="52">
        <v>7242</v>
      </c>
      <c r="W74" s="52">
        <v>0</v>
      </c>
      <c r="X74" s="52">
        <v>-5288</v>
      </c>
      <c r="Y74" s="52">
        <v>-25557</v>
      </c>
      <c r="Z74" s="52">
        <v>-52508</v>
      </c>
      <c r="AA74" s="52">
        <v>-35764</v>
      </c>
      <c r="AB74" s="52">
        <v>-17181</v>
      </c>
      <c r="AC74" s="52">
        <v>-71349</v>
      </c>
      <c r="AD74" s="52">
        <v>-117769</v>
      </c>
      <c r="AE74" s="52">
        <v>0</v>
      </c>
      <c r="AF74" s="52">
        <v>14746</v>
      </c>
      <c r="AG74" s="52">
        <v>-9632</v>
      </c>
      <c r="AH74" s="52">
        <v>-60112</v>
      </c>
      <c r="AI74" s="52">
        <v>-60438</v>
      </c>
      <c r="AJ74" s="52">
        <v>-106526</v>
      </c>
      <c r="AK74" s="52">
        <v>-83096</v>
      </c>
      <c r="AL74" s="52">
        <v>-136180</v>
      </c>
      <c r="AM74" s="52">
        <v>28363</v>
      </c>
      <c r="AN74" s="52">
        <v>-40865</v>
      </c>
      <c r="AO74" s="52">
        <v>-69148</v>
      </c>
      <c r="AP74" s="52">
        <v>-145135.09818</v>
      </c>
      <c r="AQ74" s="52">
        <v>-112361</v>
      </c>
      <c r="AR74" s="52">
        <v>-219475</v>
      </c>
      <c r="AS74" s="52">
        <v>-391176</v>
      </c>
      <c r="AT74" s="52">
        <v>-515655</v>
      </c>
      <c r="AU74" s="52">
        <v>-544557</v>
      </c>
      <c r="AV74" s="52">
        <v>-597935</v>
      </c>
      <c r="AW74" s="52">
        <v>-657440</v>
      </c>
      <c r="AX74" s="52">
        <v>-613061</v>
      </c>
      <c r="AY74" s="52">
        <v>-676905</v>
      </c>
      <c r="AZ74" s="52">
        <v>-613541</v>
      </c>
      <c r="BA74" s="52">
        <v>-641325</v>
      </c>
      <c r="BB74" s="52">
        <v>-738787</v>
      </c>
      <c r="BC74" s="52">
        <v>-1196287</v>
      </c>
      <c r="BD74" s="52">
        <v>-1345254</v>
      </c>
      <c r="BE74" s="52">
        <v>-1408662</v>
      </c>
      <c r="BF74" s="52">
        <v>-1605052</v>
      </c>
    </row>
    <row r="75" spans="2:58" x14ac:dyDescent="0.35">
      <c r="B75" s="36" t="s">
        <v>5</v>
      </c>
      <c r="C75" s="49">
        <f>SUM(C68:C71)</f>
        <v>720460</v>
      </c>
      <c r="D75" s="49">
        <f t="shared" ref="D75:I75" si="10">SUM(D68:D71)</f>
        <v>721373</v>
      </c>
      <c r="E75" s="49">
        <f t="shared" si="10"/>
        <v>759050</v>
      </c>
      <c r="F75" s="49">
        <f t="shared" si="10"/>
        <v>769602</v>
      </c>
      <c r="G75" s="49">
        <f t="shared" si="10"/>
        <v>823037</v>
      </c>
      <c r="H75" s="49">
        <f t="shared" si="10"/>
        <v>859064</v>
      </c>
      <c r="I75" s="49">
        <f t="shared" si="10"/>
        <v>917889</v>
      </c>
      <c r="J75" s="49">
        <f>SUM(J68:J74)</f>
        <v>851914</v>
      </c>
      <c r="K75" s="49">
        <f>SUM(K68:K71)</f>
        <v>857765</v>
      </c>
      <c r="L75" s="49">
        <f>SUM(L68:L71)</f>
        <v>866054</v>
      </c>
      <c r="M75" s="49">
        <f>SUM(M68:M71)</f>
        <v>916022</v>
      </c>
      <c r="N75" s="49">
        <f t="shared" ref="N75:S75" si="11">SUM(N68:N74)</f>
        <v>982919</v>
      </c>
      <c r="O75" s="49">
        <f t="shared" si="11"/>
        <v>1039049</v>
      </c>
      <c r="P75" s="49">
        <f t="shared" si="11"/>
        <v>1048345</v>
      </c>
      <c r="Q75" s="49">
        <f t="shared" si="11"/>
        <v>1088772</v>
      </c>
      <c r="R75" s="49">
        <f t="shared" si="11"/>
        <v>1101681</v>
      </c>
      <c r="S75" s="49">
        <f t="shared" si="11"/>
        <v>1107738</v>
      </c>
      <c r="T75" s="49">
        <f t="shared" ref="T75:AI75" si="12">SUM(T68:T74)</f>
        <v>1122141</v>
      </c>
      <c r="U75" s="49">
        <f t="shared" si="12"/>
        <v>1134372</v>
      </c>
      <c r="V75" s="49">
        <f t="shared" si="12"/>
        <v>1118966</v>
      </c>
      <c r="W75" s="49">
        <f>SUM(W68:W74)</f>
        <v>1155878</v>
      </c>
      <c r="X75" s="49">
        <f t="shared" si="12"/>
        <v>1179538.792254</v>
      </c>
      <c r="Y75" s="49">
        <f t="shared" si="12"/>
        <v>1139052.9697181999</v>
      </c>
      <c r="Z75" s="49">
        <f t="shared" si="12"/>
        <v>1129519.9523002</v>
      </c>
      <c r="AA75" s="49">
        <f t="shared" si="12"/>
        <v>1118845.0742091045</v>
      </c>
      <c r="AB75" s="49">
        <f t="shared" si="12"/>
        <v>1094014.0584497999</v>
      </c>
      <c r="AC75" s="49">
        <f t="shared" si="12"/>
        <v>1069897.0834266001</v>
      </c>
      <c r="AD75" s="49">
        <f t="shared" si="12"/>
        <v>1025169</v>
      </c>
      <c r="AE75" s="49">
        <f t="shared" si="12"/>
        <v>1011636</v>
      </c>
      <c r="AF75" s="49">
        <f t="shared" si="12"/>
        <v>1026748</v>
      </c>
      <c r="AG75" s="49">
        <f t="shared" si="12"/>
        <v>1006702</v>
      </c>
      <c r="AH75" s="49">
        <f t="shared" si="12"/>
        <v>958105</v>
      </c>
      <c r="AI75" s="49">
        <f t="shared" si="12"/>
        <v>959640</v>
      </c>
      <c r="AJ75" s="49">
        <f t="shared" ref="AJ75:AT75" si="13">SUM(AJ68:AJ74)</f>
        <v>913341</v>
      </c>
      <c r="AK75" s="49">
        <f t="shared" si="13"/>
        <v>880740</v>
      </c>
      <c r="AL75" s="49">
        <f t="shared" si="13"/>
        <v>823518</v>
      </c>
      <c r="AM75" s="49">
        <f t="shared" si="13"/>
        <v>973650.59100000001</v>
      </c>
      <c r="AN75" s="49">
        <f t="shared" si="13"/>
        <v>932473.26961999992</v>
      </c>
      <c r="AO75" s="49">
        <f t="shared" si="13"/>
        <v>905227</v>
      </c>
      <c r="AP75" s="49">
        <f t="shared" si="13"/>
        <v>840222.93191000004</v>
      </c>
      <c r="AQ75" s="49">
        <f t="shared" si="13"/>
        <v>1420006</v>
      </c>
      <c r="AR75" s="49">
        <f t="shared" si="13"/>
        <v>1323970</v>
      </c>
      <c r="AS75" s="49">
        <f t="shared" si="13"/>
        <v>1153727</v>
      </c>
      <c r="AT75" s="49">
        <f t="shared" si="13"/>
        <v>1025061</v>
      </c>
      <c r="AU75" s="49">
        <v>991923</v>
      </c>
      <c r="AV75" s="49">
        <v>945580</v>
      </c>
      <c r="AW75" s="49">
        <f t="shared" ref="AW75" si="14">SUM(AW68:AW74)</f>
        <v>879530</v>
      </c>
      <c r="AX75" s="49">
        <f t="shared" ref="AX75:AY75" si="15">SUM(AX68:AX74)</f>
        <v>931310</v>
      </c>
      <c r="AY75" s="49">
        <f t="shared" si="15"/>
        <v>859005</v>
      </c>
      <c r="AZ75" s="49">
        <v>1093501</v>
      </c>
      <c r="BA75" s="49">
        <f t="shared" ref="BA75:BD75" si="16">SUM(BA68:BA74)</f>
        <v>1069354</v>
      </c>
      <c r="BB75" s="49">
        <f t="shared" si="16"/>
        <v>973981</v>
      </c>
      <c r="BC75" s="49">
        <f t="shared" ref="BC75" si="17">SUM(BC68:BC74)</f>
        <v>517184</v>
      </c>
      <c r="BD75" s="49">
        <f t="shared" si="16"/>
        <v>368340</v>
      </c>
      <c r="BE75" s="49">
        <f t="shared" ref="BE75:BF75" si="18">SUM(BE68:BE74)</f>
        <v>304199</v>
      </c>
      <c r="BF75" s="49">
        <f t="shared" si="18"/>
        <v>107804</v>
      </c>
    </row>
    <row r="76" spans="2:58" x14ac:dyDescent="0.35">
      <c r="B76" s="36" t="str">
        <f>IF('Índice - Index'!$D$14="Português","Participação não controladores","Minority Interest")</f>
        <v>Participação não controladores</v>
      </c>
      <c r="C76" s="49">
        <v>0</v>
      </c>
      <c r="D76" s="49">
        <v>22</v>
      </c>
      <c r="E76" s="49">
        <v>24</v>
      </c>
      <c r="F76" s="49">
        <v>7</v>
      </c>
      <c r="G76" s="49">
        <v>8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5002</v>
      </c>
      <c r="N76" s="49">
        <v>5823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49">
        <v>0</v>
      </c>
      <c r="AL76" s="49">
        <v>0</v>
      </c>
      <c r="AM76" s="49">
        <v>0</v>
      </c>
      <c r="AN76" s="49">
        <v>0</v>
      </c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</row>
    <row r="77" spans="2:58" x14ac:dyDescent="0.35">
      <c r="B77" s="42" t="str">
        <f>IF('Índice - Index'!$D$14="Português","Total do Patrimônio Líquido","Total Shareholder Equity")</f>
        <v>Total do Patrimônio Líquido</v>
      </c>
      <c r="C77" s="51">
        <f t="shared" ref="C77:O77" si="19">C75+C76</f>
        <v>720460</v>
      </c>
      <c r="D77" s="51">
        <f t="shared" si="19"/>
        <v>721395</v>
      </c>
      <c r="E77" s="51">
        <f t="shared" si="19"/>
        <v>759074</v>
      </c>
      <c r="F77" s="51">
        <f t="shared" si="19"/>
        <v>769609</v>
      </c>
      <c r="G77" s="51">
        <f t="shared" si="19"/>
        <v>823045</v>
      </c>
      <c r="H77" s="51">
        <f t="shared" si="19"/>
        <v>859064</v>
      </c>
      <c r="I77" s="51">
        <f t="shared" si="19"/>
        <v>917889</v>
      </c>
      <c r="J77" s="51">
        <f t="shared" si="19"/>
        <v>851914</v>
      </c>
      <c r="K77" s="51">
        <f t="shared" si="19"/>
        <v>857765</v>
      </c>
      <c r="L77" s="51">
        <f t="shared" si="19"/>
        <v>866054</v>
      </c>
      <c r="M77" s="51">
        <f t="shared" si="19"/>
        <v>921024</v>
      </c>
      <c r="N77" s="51">
        <f t="shared" si="19"/>
        <v>988742</v>
      </c>
      <c r="O77" s="51">
        <f t="shared" si="19"/>
        <v>1039049</v>
      </c>
      <c r="P77" s="51">
        <f t="shared" ref="P77:V77" si="20">P75+P76</f>
        <v>1048345</v>
      </c>
      <c r="Q77" s="51">
        <f t="shared" si="20"/>
        <v>1088772</v>
      </c>
      <c r="R77" s="51">
        <f t="shared" si="20"/>
        <v>1101681</v>
      </c>
      <c r="S77" s="51">
        <f t="shared" si="20"/>
        <v>1107738</v>
      </c>
      <c r="T77" s="51">
        <f t="shared" si="20"/>
        <v>1122141</v>
      </c>
      <c r="U77" s="51">
        <f t="shared" si="20"/>
        <v>1134372</v>
      </c>
      <c r="V77" s="51">
        <f t="shared" si="20"/>
        <v>1118966</v>
      </c>
      <c r="W77" s="51">
        <f>W75+W76</f>
        <v>1155878</v>
      </c>
      <c r="X77" s="51">
        <f>X75+X76</f>
        <v>1179538.792254</v>
      </c>
      <c r="Y77" s="51">
        <f>Y75+Y76</f>
        <v>1139052.9697181999</v>
      </c>
      <c r="Z77" s="51">
        <f>Z75+Z76</f>
        <v>1129519.9523002</v>
      </c>
      <c r="AA77" s="51">
        <f t="shared" ref="AA77:AF77" si="21">AA75+AA76</f>
        <v>1118845.0742091045</v>
      </c>
      <c r="AB77" s="51">
        <f t="shared" si="21"/>
        <v>1094014.0584497999</v>
      </c>
      <c r="AC77" s="51">
        <f t="shared" si="21"/>
        <v>1069897.0834266001</v>
      </c>
      <c r="AD77" s="51">
        <f t="shared" si="21"/>
        <v>1025169</v>
      </c>
      <c r="AE77" s="51">
        <f t="shared" si="21"/>
        <v>1011636</v>
      </c>
      <c r="AF77" s="51">
        <f t="shared" si="21"/>
        <v>1026748</v>
      </c>
      <c r="AG77" s="51">
        <f t="shared" ref="AG77:AT77" si="22">AG75+AG76</f>
        <v>1006702</v>
      </c>
      <c r="AH77" s="51">
        <f t="shared" si="22"/>
        <v>958105</v>
      </c>
      <c r="AI77" s="51">
        <f t="shared" si="22"/>
        <v>959640</v>
      </c>
      <c r="AJ77" s="51">
        <f t="shared" si="22"/>
        <v>913341</v>
      </c>
      <c r="AK77" s="51">
        <f t="shared" si="22"/>
        <v>880740</v>
      </c>
      <c r="AL77" s="51">
        <f t="shared" si="22"/>
        <v>823518</v>
      </c>
      <c r="AM77" s="51">
        <f t="shared" si="22"/>
        <v>973650.59100000001</v>
      </c>
      <c r="AN77" s="51">
        <f t="shared" si="22"/>
        <v>932473.26961999992</v>
      </c>
      <c r="AO77" s="51">
        <f t="shared" si="22"/>
        <v>905227</v>
      </c>
      <c r="AP77" s="51">
        <f t="shared" si="22"/>
        <v>840222.93191000004</v>
      </c>
      <c r="AQ77" s="51">
        <f t="shared" si="22"/>
        <v>1420006</v>
      </c>
      <c r="AR77" s="51">
        <f t="shared" si="22"/>
        <v>1323970</v>
      </c>
      <c r="AS77" s="51">
        <f t="shared" si="22"/>
        <v>1153727</v>
      </c>
      <c r="AT77" s="51">
        <f t="shared" si="22"/>
        <v>1025061</v>
      </c>
      <c r="AU77" s="51">
        <v>991923</v>
      </c>
      <c r="AV77" s="51">
        <v>945580</v>
      </c>
      <c r="AW77" s="51">
        <f>AW75</f>
        <v>879530</v>
      </c>
      <c r="AX77" s="51">
        <f>AX75</f>
        <v>931310</v>
      </c>
      <c r="AY77" s="51">
        <f>AY75</f>
        <v>859005</v>
      </c>
      <c r="AZ77" s="51">
        <v>1093501</v>
      </c>
      <c r="BA77" s="51">
        <f t="shared" ref="BA77:BF77" si="23">BA75</f>
        <v>1069354</v>
      </c>
      <c r="BB77" s="51">
        <f t="shared" si="23"/>
        <v>973981</v>
      </c>
      <c r="BC77" s="51">
        <f t="shared" si="23"/>
        <v>517184</v>
      </c>
      <c r="BD77" s="51">
        <f t="shared" si="23"/>
        <v>368340</v>
      </c>
      <c r="BE77" s="51">
        <f t="shared" si="23"/>
        <v>304199</v>
      </c>
      <c r="BF77" s="51">
        <f t="shared" si="23"/>
        <v>107804</v>
      </c>
    </row>
    <row r="78" spans="2:58" x14ac:dyDescent="0.35">
      <c r="B78" s="42"/>
      <c r="C78" s="51"/>
      <c r="D78" s="51"/>
      <c r="E78" s="51"/>
      <c r="F78" s="51"/>
      <c r="G78" s="51"/>
      <c r="H78" s="51"/>
      <c r="I78" s="51"/>
      <c r="K78" s="51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2:58" x14ac:dyDescent="0.35">
      <c r="B79" s="43" t="str">
        <f>IF('Índice - Index'!$D$14="Português","TOTAL DO PASSIVO E PATRIMÔNIO LÍQUIDO","TOTAL LIABILITIES AND SHAREHOLDER EQUITY")</f>
        <v>TOTAL DO PASSIVO E PATRIMÔNIO LÍQUIDO</v>
      </c>
      <c r="C79" s="44">
        <f t="shared" ref="C79:AT79" si="24">C53+C65+C77</f>
        <v>1538278</v>
      </c>
      <c r="D79" s="44">
        <f t="shared" si="24"/>
        <v>1442611</v>
      </c>
      <c r="E79" s="44">
        <f t="shared" si="24"/>
        <v>1447516</v>
      </c>
      <c r="F79" s="44">
        <f t="shared" si="24"/>
        <v>1590452</v>
      </c>
      <c r="G79" s="44">
        <f t="shared" si="24"/>
        <v>2061292</v>
      </c>
      <c r="H79" s="44">
        <f t="shared" si="24"/>
        <v>2208331</v>
      </c>
      <c r="I79" s="44">
        <f t="shared" si="24"/>
        <v>2488784</v>
      </c>
      <c r="J79" s="44">
        <f t="shared" si="24"/>
        <v>1992709</v>
      </c>
      <c r="K79" s="44">
        <f t="shared" si="24"/>
        <v>2432599</v>
      </c>
      <c r="L79" s="44">
        <f t="shared" si="24"/>
        <v>2144703</v>
      </c>
      <c r="M79" s="44">
        <f t="shared" si="24"/>
        <v>2178307</v>
      </c>
      <c r="N79" s="44">
        <f t="shared" si="24"/>
        <v>2286557</v>
      </c>
      <c r="O79" s="44">
        <f t="shared" si="24"/>
        <v>2440691</v>
      </c>
      <c r="P79" s="44">
        <f t="shared" si="24"/>
        <v>2326051</v>
      </c>
      <c r="Q79" s="44">
        <f t="shared" si="24"/>
        <v>2325139</v>
      </c>
      <c r="R79" s="44">
        <f t="shared" si="24"/>
        <v>2344382</v>
      </c>
      <c r="S79" s="44">
        <f t="shared" si="24"/>
        <v>2576323</v>
      </c>
      <c r="T79" s="44">
        <f t="shared" si="24"/>
        <v>2650955</v>
      </c>
      <c r="U79" s="44">
        <f t="shared" si="24"/>
        <v>2767128</v>
      </c>
      <c r="V79" s="44">
        <f t="shared" si="24"/>
        <v>2815085</v>
      </c>
      <c r="W79" s="44">
        <f t="shared" si="24"/>
        <v>2975990</v>
      </c>
      <c r="X79" s="44">
        <f t="shared" si="24"/>
        <v>2908866.9220440001</v>
      </c>
      <c r="Y79" s="44">
        <f t="shared" si="24"/>
        <v>2921292.9697182002</v>
      </c>
      <c r="Z79" s="44">
        <f t="shared" si="24"/>
        <v>3034292.9523002002</v>
      </c>
      <c r="AA79" s="44">
        <f t="shared" si="24"/>
        <v>2832135.0742091043</v>
      </c>
      <c r="AB79" s="44">
        <f t="shared" si="24"/>
        <v>2690062.0584498001</v>
      </c>
      <c r="AC79" s="44">
        <f t="shared" si="24"/>
        <v>2744238.0834266003</v>
      </c>
      <c r="AD79" s="44">
        <f t="shared" si="24"/>
        <v>2723300</v>
      </c>
      <c r="AE79" s="44">
        <f t="shared" si="24"/>
        <v>2644048.67</v>
      </c>
      <c r="AF79" s="44">
        <f t="shared" si="24"/>
        <v>2706824</v>
      </c>
      <c r="AG79" s="44">
        <f t="shared" si="24"/>
        <v>2607892</v>
      </c>
      <c r="AH79" s="44">
        <f t="shared" si="24"/>
        <v>2750725</v>
      </c>
      <c r="AI79" s="44">
        <f t="shared" si="24"/>
        <v>2832732</v>
      </c>
      <c r="AJ79" s="44">
        <f t="shared" si="24"/>
        <v>2653323</v>
      </c>
      <c r="AK79" s="44">
        <f t="shared" si="24"/>
        <v>2569825</v>
      </c>
      <c r="AL79" s="44">
        <f t="shared" si="24"/>
        <v>2586063</v>
      </c>
      <c r="AM79" s="44">
        <f t="shared" si="24"/>
        <v>3162101.591</v>
      </c>
      <c r="AN79" s="44">
        <f t="shared" si="24"/>
        <v>3587409.3807599996</v>
      </c>
      <c r="AO79" s="44">
        <f t="shared" si="24"/>
        <v>3557368</v>
      </c>
      <c r="AP79" s="44">
        <f t="shared" si="24"/>
        <v>3489169.1300900001</v>
      </c>
      <c r="AQ79" s="44">
        <f t="shared" si="24"/>
        <v>4020068</v>
      </c>
      <c r="AR79" s="44">
        <f t="shared" si="24"/>
        <v>3418120</v>
      </c>
      <c r="AS79" s="44">
        <f t="shared" si="24"/>
        <v>3145454</v>
      </c>
      <c r="AT79" s="44">
        <f t="shared" si="24"/>
        <v>3008529</v>
      </c>
      <c r="AU79" s="44">
        <v>3367654</v>
      </c>
      <c r="AV79" s="44">
        <v>3278729</v>
      </c>
      <c r="AW79" s="44">
        <f>AW53+AW65+AW77</f>
        <v>3256365</v>
      </c>
      <c r="AX79" s="44">
        <f>AX53+AX65+AX77</f>
        <v>3370923</v>
      </c>
      <c r="AY79" s="44">
        <f>AY53+AY65+AY77</f>
        <v>3352448</v>
      </c>
      <c r="AZ79" s="44">
        <v>3338452</v>
      </c>
      <c r="BA79" s="44">
        <f t="shared" ref="BA79:BF79" si="25">SUM(BA77,BA65,BA53)</f>
        <v>3617087</v>
      </c>
      <c r="BB79" s="44">
        <f t="shared" si="25"/>
        <v>3582988</v>
      </c>
      <c r="BC79" s="44">
        <f t="shared" si="25"/>
        <v>3104952</v>
      </c>
      <c r="BD79" s="44">
        <f t="shared" si="25"/>
        <v>2911241</v>
      </c>
      <c r="BE79" s="44">
        <f t="shared" si="25"/>
        <v>2666904</v>
      </c>
      <c r="BF79" s="44">
        <f t="shared" si="25"/>
        <v>2479688</v>
      </c>
    </row>
    <row r="80" spans="2:58" x14ac:dyDescent="0.35">
      <c r="AE80" s="190"/>
      <c r="AF80" s="189"/>
      <c r="AG80" s="189"/>
      <c r="AH80" s="189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>
        <f>AU79-AU35</f>
        <v>0</v>
      </c>
      <c r="AV80" s="191">
        <f>AV79-AV35</f>
        <v>0</v>
      </c>
      <c r="AW80" s="191">
        <f>AW79-AW35</f>
        <v>0</v>
      </c>
      <c r="AX80" s="191">
        <f>AX79-AX35</f>
        <v>0</v>
      </c>
      <c r="AY80" s="191">
        <v>0</v>
      </c>
      <c r="AZ80" s="191">
        <v>0</v>
      </c>
      <c r="BA80" s="191">
        <f t="shared" ref="BA80:BF80" si="26">BA79-BA35</f>
        <v>0</v>
      </c>
      <c r="BB80" s="191">
        <f t="shared" si="26"/>
        <v>0</v>
      </c>
      <c r="BC80" s="191">
        <f t="shared" si="26"/>
        <v>0</v>
      </c>
      <c r="BD80" s="191">
        <f t="shared" si="26"/>
        <v>0</v>
      </c>
      <c r="BE80" s="191">
        <f t="shared" si="26"/>
        <v>0</v>
      </c>
      <c r="BF80" s="191">
        <f t="shared" si="26"/>
        <v>0</v>
      </c>
    </row>
    <row r="81" spans="39:55" x14ac:dyDescent="0.35">
      <c r="AM81" s="192"/>
      <c r="AN81" s="192"/>
      <c r="AO81" s="192"/>
      <c r="AP81" s="192"/>
      <c r="AQ81" s="192"/>
      <c r="AR81" s="192"/>
      <c r="AS81" s="192"/>
      <c r="AT81" s="192"/>
      <c r="AU81" s="192"/>
      <c r="AV81" s="192"/>
      <c r="AY81" s="192"/>
      <c r="BC81" s="192"/>
    </row>
    <row r="82" spans="39:55" x14ac:dyDescent="0.35">
      <c r="AM82" s="195"/>
      <c r="AP82" s="195"/>
      <c r="AQ82" s="195"/>
      <c r="AR82" s="195"/>
      <c r="AS82" s="195"/>
      <c r="AT82" s="195"/>
      <c r="AU82" s="195"/>
      <c r="AV82" s="195"/>
      <c r="AY82" s="195"/>
      <c r="BC82" s="195"/>
    </row>
  </sheetData>
  <sheetProtection formatCells="0" formatColumns="0" formatRows="0" insertColumns="0" insertRows="0" insertHyperlinks="0" deleteColumns="0" deleteRows="0" sort="0" autoFilter="0" pivotTables="0"/>
  <phoneticPr fontId="73" type="noConversion"/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AW41"/>
  <sheetViews>
    <sheetView showGridLines="0" topLeftCell="C1" zoomScale="90" zoomScaleNormal="90" workbookViewId="0">
      <pane xSplit="1" ySplit="3" topLeftCell="AB4" activePane="bottomRight" state="frozen"/>
      <selection activeCell="B1" sqref="B1"/>
      <selection pane="topRight" activeCell="B1" sqref="B1"/>
      <selection pane="bottomLeft" activeCell="B1" sqref="B1"/>
      <selection pane="bottomRight" activeCell="AV15" sqref="AV15"/>
    </sheetView>
  </sheetViews>
  <sheetFormatPr defaultColWidth="9.1796875" defaultRowHeight="13.5" outlineLevelCol="1" x14ac:dyDescent="0.35"/>
  <cols>
    <col min="1" max="2" width="2.08984375" style="25" bestFit="1" customWidth="1"/>
    <col min="3" max="3" width="34.453125" style="25" bestFit="1" customWidth="1"/>
    <col min="4" max="4" width="12.453125" style="27" hidden="1" customWidth="1" outlineLevel="1"/>
    <col min="5" max="7" width="11.54296875" style="27" hidden="1" customWidth="1" outlineLevel="1"/>
    <col min="8" max="8" width="11.54296875" style="27" bestFit="1" customWidth="1" collapsed="1"/>
    <col min="9" max="9" width="12.453125" style="27" hidden="1" customWidth="1" outlineLevel="1"/>
    <col min="10" max="12" width="11.54296875" style="27" hidden="1" customWidth="1" outlineLevel="1"/>
    <col min="13" max="13" width="11.54296875" style="27" bestFit="1" customWidth="1" collapsed="1"/>
    <col min="14" max="14" width="12.453125" style="27" hidden="1" customWidth="1" outlineLevel="1"/>
    <col min="15" max="17" width="11.54296875" style="27" hidden="1" customWidth="1" outlineLevel="1"/>
    <col min="18" max="18" width="12.453125" style="27" bestFit="1" customWidth="1" collapsed="1"/>
    <col min="19" max="22" width="11.453125" style="27" hidden="1" customWidth="1" outlineLevel="1"/>
    <col min="23" max="23" width="11.453125" style="27" customWidth="1" collapsed="1"/>
    <col min="24" max="27" width="11.453125" style="27" hidden="1" customWidth="1" outlineLevel="1"/>
    <col min="28" max="28" width="11.453125" style="27" customWidth="1" collapsed="1"/>
    <col min="29" max="31" width="11.453125" style="27" hidden="1" customWidth="1" outlineLevel="1" collapsed="1"/>
    <col min="32" max="32" width="11.453125" style="27" customWidth="1" collapsed="1"/>
    <col min="33" max="35" width="11.453125" style="27" hidden="1" customWidth="1" outlineLevel="1" collapsed="1"/>
    <col min="36" max="36" width="11.453125" style="27" customWidth="1" collapsed="1"/>
    <col min="37" max="37" width="11.453125" style="27" hidden="1" customWidth="1" outlineLevel="1"/>
    <col min="38" max="38" width="9.81640625" style="27" hidden="1" customWidth="1" outlineLevel="1"/>
    <col min="39" max="39" width="9.7265625" style="27" hidden="1" customWidth="1" outlineLevel="1"/>
    <col min="40" max="40" width="15.08984375" style="27" customWidth="1" collapsed="1"/>
    <col min="41" max="43" width="15.26953125" style="27" hidden="1" customWidth="1" outlineLevel="1"/>
    <col min="44" max="44" width="15.08984375" style="27" customWidth="1" collapsed="1"/>
    <col min="45" max="47" width="11.453125" style="27" customWidth="1" collapsed="1"/>
    <col min="48" max="48" width="9.1796875" style="27"/>
    <col min="49" max="49" width="13.1796875" style="27" bestFit="1" customWidth="1"/>
    <col min="50" max="16384" width="9.1796875" style="27"/>
  </cols>
  <sheetData>
    <row r="1" spans="3:49" x14ac:dyDescent="0.35">
      <c r="C1" s="53"/>
    </row>
    <row r="3" spans="3:49" ht="28" customHeight="1" x14ac:dyDescent="0.35">
      <c r="C3" s="88" t="str">
        <f>IF('Índice - Index'!$D$14="Português","FLUXO DE CAIXA (R$ Milhares)","CASH FLOW (R$ million)")</f>
        <v>FLUXO DE CAIXA (R$ Milhares)</v>
      </c>
      <c r="D3" s="28" t="str">
        <f>IF('Índice - Index'!$D$14="Português","1T14","1Q14")</f>
        <v>1T14</v>
      </c>
      <c r="E3" s="28" t="str">
        <f>IF('Índice - Index'!$D$14="Português","2T14","2Q14")</f>
        <v>2T14</v>
      </c>
      <c r="F3" s="28" t="str">
        <f>IF('Índice - Index'!$D$14="Português","3T14","3Q14")</f>
        <v>3T14</v>
      </c>
      <c r="G3" s="28" t="str">
        <f>IF('Índice - Index'!$D$14="Português","4T14","4Q14")</f>
        <v>4T14</v>
      </c>
      <c r="H3" s="28" t="str">
        <f>IF('Índice - Index'!$D$14="Português","2014","2014")</f>
        <v>2014</v>
      </c>
      <c r="I3" s="28" t="str">
        <f>IF('Índice - Index'!$D$14="Português","1T15","1Q15")</f>
        <v>1T15</v>
      </c>
      <c r="J3" s="28" t="str">
        <f>IF('Índice - Index'!$D$14="Português","2T15","2Q15")</f>
        <v>2T15</v>
      </c>
      <c r="K3" s="28" t="str">
        <f>IF('Índice - Index'!$D$14="Português","3T15","3Q15")</f>
        <v>3T15</v>
      </c>
      <c r="L3" s="28" t="str">
        <f>IF('Índice - Index'!$D$14="Português","4T15","4Q15")</f>
        <v>4T15</v>
      </c>
      <c r="M3" s="28" t="str">
        <f>IF('Índice - Index'!$D$14="Português","2015","2015")</f>
        <v>2015</v>
      </c>
      <c r="N3" s="28" t="str">
        <f>IF('Índice - Index'!$D$14="Português","1T16","1Q16")</f>
        <v>1T16</v>
      </c>
      <c r="O3" s="28" t="str">
        <f>IF('Índice - Index'!$D$14="Português","2T16","2Q16")</f>
        <v>2T16</v>
      </c>
      <c r="P3" s="28" t="str">
        <f>IF('Índice - Index'!$D$14="Português","3T16","3Q16")</f>
        <v>3T16</v>
      </c>
      <c r="Q3" s="28" t="str">
        <f>IF('Índice - Index'!$D$14="Português","4T16","4Q16")</f>
        <v>4T16</v>
      </c>
      <c r="R3" s="28" t="str">
        <f>IF('Índice - Index'!$D$14="Português","2016","2016")</f>
        <v>2016</v>
      </c>
      <c r="S3" s="28" t="str">
        <f>IF('Índice - Index'!$D$14="Português","1T17","1Q17")</f>
        <v>1T17</v>
      </c>
      <c r="T3" s="28" t="str">
        <f>IF('Índice - Index'!$D$14="Português","2T17","2Q17")</f>
        <v>2T17</v>
      </c>
      <c r="U3" s="28" t="str">
        <f>IF('Índice - Index'!$D$14="Português","3T17","3Q17")</f>
        <v>3T17</v>
      </c>
      <c r="V3" s="28" t="str">
        <f>IF('Índice - Index'!$D$14="Português","4T17","4Q17")</f>
        <v>4T17</v>
      </c>
      <c r="W3" s="28">
        <v>2017</v>
      </c>
      <c r="X3" s="28" t="str">
        <f>IF('Índice - Index'!$D$14="Português","1T18","1Q18")</f>
        <v>1T18</v>
      </c>
      <c r="Y3" s="28" t="str">
        <f>IF('Índice - Index'!$D$14="Português","2T18","2Q18")</f>
        <v>2T18</v>
      </c>
      <c r="Z3" s="28" t="str">
        <f>IF('Índice - Index'!$D$14="Português","3T18","3Q18")</f>
        <v>3T18</v>
      </c>
      <c r="AA3" s="28" t="str">
        <f>IF('Índice - Index'!$D$14="Português","4T18","4Q18")</f>
        <v>4T18</v>
      </c>
      <c r="AB3" s="111" t="str">
        <f>IF('Índice - Index'!$D$14="Português","2018","2018")</f>
        <v>2018</v>
      </c>
      <c r="AC3" s="111" t="str">
        <f>IF('Índice - Index'!$D$14="Português","1T19","1Q19")</f>
        <v>1T19</v>
      </c>
      <c r="AD3" s="111" t="str">
        <f>IF('Índice - Index'!$D$14="Português","6M19","6M19")</f>
        <v>6M19</v>
      </c>
      <c r="AE3" s="111" t="s">
        <v>27</v>
      </c>
      <c r="AF3" s="111">
        <v>2019</v>
      </c>
      <c r="AG3" s="111" t="str">
        <f>IF('Índice - Index'!$D$14="Português","1T20","1Q20")</f>
        <v>1T20</v>
      </c>
      <c r="AH3" s="111" t="s">
        <v>29</v>
      </c>
      <c r="AI3" s="111" t="s">
        <v>30</v>
      </c>
      <c r="AJ3" s="111">
        <v>2020</v>
      </c>
      <c r="AK3" s="111" t="str">
        <f>IF('Índice - Index'!$D$14="Português","1T21","1Q21")</f>
        <v>1T21</v>
      </c>
      <c r="AL3" s="111" t="s">
        <v>39</v>
      </c>
      <c r="AM3" s="111" t="s">
        <v>40</v>
      </c>
      <c r="AN3" s="242" t="str">
        <f>IF('Índice - Index'!$D$14="Português","2021 (reapresentado)","2021 (restated)")</f>
        <v>2021 (reapresentado)</v>
      </c>
      <c r="AO3" s="242" t="str">
        <f>IF('Índice - Index'!$D$14="Português","1T22 (reapresentado)","1Q22 (restated)")</f>
        <v>1T22 (reapresentado)</v>
      </c>
      <c r="AP3" s="242" t="str">
        <f>IF('Índice - Index'!$D$14="Português","6M22 (reapresentado)","6M22 (restated)")</f>
        <v>6M22 (reapresentado)</v>
      </c>
      <c r="AQ3" s="242" t="str">
        <f>IF('Índice - Index'!$D$14="Português","9M22 (reapresentado)","9M22 (restated)")</f>
        <v>9M22 (reapresentado)</v>
      </c>
      <c r="AR3" s="242" t="str">
        <f>IF('Índice - Index'!$D$14="Português","2022 (reapresentado)","2022 (restated)")</f>
        <v>2022 (reapresentado)</v>
      </c>
      <c r="AS3" s="26" t="str">
        <f>IF('Índice - Index'!$D$14="Português","1T23","1Q23")</f>
        <v>1T23</v>
      </c>
      <c r="AT3" s="26" t="str">
        <f>IF('Índice - Index'!$D$14="Português","6M23","6M23")</f>
        <v>6M23</v>
      </c>
      <c r="AU3" s="26" t="str">
        <f>IF('Índice - Index'!$D$14="Português","9M23","9M23")</f>
        <v>9M23</v>
      </c>
    </row>
    <row r="4" spans="3:49" x14ac:dyDescent="0.35">
      <c r="C4" s="160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3:49" x14ac:dyDescent="0.35">
      <c r="C5" s="56" t="str">
        <f>IF('Índice - Index'!$D$14="Português","EBITDA","EBITDA")</f>
        <v>EBITDA</v>
      </c>
      <c r="D5" s="162">
        <v>102986</v>
      </c>
      <c r="E5" s="162">
        <v>100606</v>
      </c>
      <c r="F5" s="162">
        <v>37235</v>
      </c>
      <c r="G5" s="162">
        <v>146411</v>
      </c>
      <c r="H5" s="162">
        <v>387236.17488999985</v>
      </c>
      <c r="I5" s="162">
        <v>64972</v>
      </c>
      <c r="J5" s="162">
        <v>56936</v>
      </c>
      <c r="K5" s="162">
        <v>45069</v>
      </c>
      <c r="L5" s="162">
        <v>108900</v>
      </c>
      <c r="M5" s="162">
        <v>275877</v>
      </c>
      <c r="N5" s="162">
        <v>51330</v>
      </c>
      <c r="O5" s="162">
        <v>60676</v>
      </c>
      <c r="P5" s="162">
        <v>7131</v>
      </c>
      <c r="Q5" s="162">
        <v>61598</v>
      </c>
      <c r="R5" s="162">
        <v>180735</v>
      </c>
      <c r="S5" s="162">
        <v>101616</v>
      </c>
      <c r="T5" s="162">
        <v>42161</v>
      </c>
      <c r="U5" s="162">
        <v>34107</v>
      </c>
      <c r="V5" s="162" t="s">
        <v>16</v>
      </c>
      <c r="W5" s="162" t="s">
        <v>16</v>
      </c>
      <c r="X5" s="162" t="s">
        <v>16</v>
      </c>
      <c r="Y5" s="162" t="s">
        <v>16</v>
      </c>
      <c r="Z5" s="162" t="s">
        <v>16</v>
      </c>
      <c r="AA5" s="162" t="s">
        <v>16</v>
      </c>
      <c r="AB5" s="162" t="s">
        <v>16</v>
      </c>
      <c r="AC5" s="162" t="s">
        <v>16</v>
      </c>
      <c r="AD5" s="162" t="s">
        <v>16</v>
      </c>
      <c r="AE5" s="162" t="s">
        <v>16</v>
      </c>
      <c r="AF5" s="162" t="s">
        <v>16</v>
      </c>
      <c r="AG5" s="162" t="s">
        <v>16</v>
      </c>
      <c r="AH5" s="162" t="s">
        <v>16</v>
      </c>
      <c r="AI5" s="162" t="s">
        <v>16</v>
      </c>
      <c r="AJ5" s="162" t="s">
        <v>16</v>
      </c>
      <c r="AK5" s="162" t="s">
        <v>16</v>
      </c>
      <c r="AL5" s="162" t="s">
        <v>16</v>
      </c>
      <c r="AM5" s="162" t="s">
        <v>16</v>
      </c>
      <c r="AN5" s="162" t="s">
        <v>16</v>
      </c>
      <c r="AO5" s="162" t="s">
        <v>16</v>
      </c>
      <c r="AP5" s="273"/>
      <c r="AQ5" s="162"/>
      <c r="AR5" s="162"/>
      <c r="AS5" s="162"/>
      <c r="AT5" s="273"/>
      <c r="AU5" s="273"/>
    </row>
    <row r="6" spans="3:49" x14ac:dyDescent="0.35">
      <c r="C6" s="56" t="str">
        <f>IF('Índice - Index'!$D$14="Português","EBITDA AJUSTADO","ADJUSTED EBITDA")</f>
        <v>EBITDA AJUSTADO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>
        <v>93673</v>
      </c>
      <c r="W6" s="162">
        <v>282930</v>
      </c>
      <c r="X6" s="162">
        <v>40589</v>
      </c>
      <c r="Y6" s="162">
        <v>48780</v>
      </c>
      <c r="Z6" s="162">
        <v>37807</v>
      </c>
      <c r="AA6" s="162">
        <v>320552.98400000005</v>
      </c>
      <c r="AB6" s="162">
        <v>447729.37390000001</v>
      </c>
      <c r="AC6" s="162">
        <v>97765.413359999817</v>
      </c>
      <c r="AD6" s="162">
        <v>83200.390289999748</v>
      </c>
      <c r="AE6" s="162">
        <v>82501.328519995979</v>
      </c>
      <c r="AF6" s="162">
        <v>190852.84306651112</v>
      </c>
      <c r="AG6" s="162">
        <v>13877.321319992185</v>
      </c>
      <c r="AH6" s="210">
        <v>-49906.20008885234</v>
      </c>
      <c r="AI6" s="210">
        <v>-76073.155331017522</v>
      </c>
      <c r="AJ6" s="210">
        <v>-226493.59383634973</v>
      </c>
      <c r="AK6" s="210">
        <v>8758.8355563398363</v>
      </c>
      <c r="AL6" s="210">
        <v>-2160.8946773206771</v>
      </c>
      <c r="AM6" s="210">
        <v>1869.5896463396871</v>
      </c>
      <c r="AN6" s="210">
        <v>25747.55415006512</v>
      </c>
      <c r="AO6" s="210">
        <v>-45592.810530000032</v>
      </c>
      <c r="AP6" s="210">
        <v>-16488.973243660635</v>
      </c>
      <c r="AQ6" s="210">
        <v>-52414.850373661015</v>
      </c>
      <c r="AR6" s="210">
        <v>-201489.4278236613</v>
      </c>
      <c r="AS6" s="210">
        <v>-80667.218705599997</v>
      </c>
      <c r="AT6" s="210">
        <v>-118372.69093231915</v>
      </c>
      <c r="AU6" s="210">
        <v>-245982.70011999947</v>
      </c>
      <c r="AV6" s="53"/>
      <c r="AW6" s="53"/>
    </row>
    <row r="7" spans="3:49" x14ac:dyDescent="0.35">
      <c r="C7" s="163" t="str">
        <f>IF('Índice - Index'!$D$14="Português","- IR e CSLL","- Income Tax")</f>
        <v>- IR e CSLL</v>
      </c>
      <c r="D7" s="53">
        <v>-2091</v>
      </c>
      <c r="E7" s="53">
        <v>1451</v>
      </c>
      <c r="F7" s="53">
        <v>19713</v>
      </c>
      <c r="G7" s="53">
        <v>-24422</v>
      </c>
      <c r="H7" s="53">
        <v>-5349</v>
      </c>
      <c r="I7" s="53">
        <v>10699</v>
      </c>
      <c r="J7" s="164">
        <v>13158</v>
      </c>
      <c r="K7" s="53">
        <v>12351</v>
      </c>
      <c r="L7" s="53">
        <v>4036</v>
      </c>
      <c r="M7" s="53">
        <v>40244</v>
      </c>
      <c r="N7" s="53">
        <v>9290</v>
      </c>
      <c r="O7" s="53">
        <v>680</v>
      </c>
      <c r="P7" s="53">
        <v>29244</v>
      </c>
      <c r="Q7" s="53">
        <v>17695</v>
      </c>
      <c r="R7" s="53">
        <v>56909</v>
      </c>
      <c r="S7" s="53">
        <v>-13741</v>
      </c>
      <c r="T7" s="53">
        <v>2771</v>
      </c>
      <c r="U7" s="53">
        <v>-15561</v>
      </c>
      <c r="V7" s="53">
        <v>-25348</v>
      </c>
      <c r="W7" s="53">
        <v>-51879</v>
      </c>
      <c r="X7" s="53">
        <v>-28305</v>
      </c>
      <c r="Y7" s="53">
        <v>-22591</v>
      </c>
      <c r="Z7" s="53">
        <v>-29229</v>
      </c>
      <c r="AA7" s="53">
        <v>-444760</v>
      </c>
      <c r="AB7" s="53">
        <v>-524885</v>
      </c>
      <c r="AC7" s="53">
        <v>-18721.135149999998</v>
      </c>
      <c r="AD7" s="53">
        <v>-18393.590690000001</v>
      </c>
      <c r="AE7" s="53">
        <v>-22940.343000000001</v>
      </c>
      <c r="AF7" s="53">
        <v>-32418.862939999999</v>
      </c>
      <c r="AG7" s="53">
        <v>-10954.14114</v>
      </c>
      <c r="AH7" s="53">
        <v>2684.2221999999992</v>
      </c>
      <c r="AI7" s="53">
        <v>11645.782620000002</v>
      </c>
      <c r="AJ7" s="53">
        <v>2895.9150600000003</v>
      </c>
      <c r="AK7" s="53">
        <v>-4081.0354199999988</v>
      </c>
      <c r="AL7" s="53">
        <v>-89.009810000000925</v>
      </c>
      <c r="AM7" s="53">
        <v>-7314.2506860400163</v>
      </c>
      <c r="AN7" s="53">
        <v>78054.6486</v>
      </c>
      <c r="AO7" s="53">
        <v>5063.9032099999995</v>
      </c>
      <c r="AP7" s="53">
        <v>32390.039500000006</v>
      </c>
      <c r="AQ7" s="53">
        <v>52600.74295</v>
      </c>
      <c r="AR7" s="53">
        <v>-25570.474920000008</v>
      </c>
      <c r="AS7" s="53">
        <v>8570.22919</v>
      </c>
      <c r="AT7" s="53">
        <v>25727.406789999994</v>
      </c>
      <c r="AU7" s="53">
        <v>36629.953699999998</v>
      </c>
      <c r="AV7" s="53"/>
      <c r="AW7" s="53"/>
    </row>
    <row r="8" spans="3:49" x14ac:dyDescent="0.35">
      <c r="C8" s="163" t="str">
        <f>IF('Índice - Index'!$D$14="Português","- Financeiras, Liq (exceto dívida), e outros","- Financial Expenses, net (excluding debts), and others")</f>
        <v>- Financeiras, Liq (exceto dívida), e outros</v>
      </c>
      <c r="D8" s="165">
        <v>731</v>
      </c>
      <c r="E8" s="165">
        <v>1664</v>
      </c>
      <c r="F8" s="165">
        <v>3863</v>
      </c>
      <c r="G8" s="165">
        <v>7123</v>
      </c>
      <c r="H8" s="165">
        <v>13381</v>
      </c>
      <c r="I8" s="165">
        <v>-7302</v>
      </c>
      <c r="J8" s="166">
        <v>10516</v>
      </c>
      <c r="K8" s="165">
        <v>13915</v>
      </c>
      <c r="L8" s="165">
        <v>13448</v>
      </c>
      <c r="M8" s="165">
        <v>50043</v>
      </c>
      <c r="N8" s="165">
        <v>719</v>
      </c>
      <c r="O8" s="165">
        <v>1415</v>
      </c>
      <c r="P8" s="165">
        <v>-1989</v>
      </c>
      <c r="Q8" s="165">
        <v>-9078</v>
      </c>
      <c r="R8" s="165">
        <v>-8933</v>
      </c>
      <c r="S8" s="165">
        <v>-8537</v>
      </c>
      <c r="T8" s="165">
        <v>-8808</v>
      </c>
      <c r="U8" s="165">
        <v>-9550</v>
      </c>
      <c r="V8" s="165">
        <v>-7484</v>
      </c>
      <c r="W8" s="165">
        <v>-34379</v>
      </c>
      <c r="X8" s="165">
        <v>-3442</v>
      </c>
      <c r="Y8" s="165">
        <v>-8805</v>
      </c>
      <c r="Z8" s="165">
        <v>60869</v>
      </c>
      <c r="AA8" s="165">
        <v>328966.84833000001</v>
      </c>
      <c r="AB8" s="165">
        <v>377589</v>
      </c>
      <c r="AC8" s="165">
        <v>-23287.292520000006</v>
      </c>
      <c r="AD8" s="165">
        <v>-29100.460439999988</v>
      </c>
      <c r="AE8" s="165">
        <v>-44567.193339999991</v>
      </c>
      <c r="AF8" s="165">
        <v>-71616.704700000031</v>
      </c>
      <c r="AG8" s="165">
        <v>-27937.502870000004</v>
      </c>
      <c r="AH8" s="165">
        <v>-66205.399309999993</v>
      </c>
      <c r="AI8" s="165">
        <v>-98266.762610000005</v>
      </c>
      <c r="AJ8" s="165">
        <v>-72418.548190000001</v>
      </c>
      <c r="AK8" s="165">
        <v>-21397.958120000003</v>
      </c>
      <c r="AL8" s="53">
        <v>-59704.739010000012</v>
      </c>
      <c r="AM8" s="53">
        <v>-53781.16171</v>
      </c>
      <c r="AN8" s="165">
        <v>-72531.217468999996</v>
      </c>
      <c r="AO8" s="218">
        <v>-7764.5826399999787</v>
      </c>
      <c r="AP8" s="218">
        <v>-64682.452139999994</v>
      </c>
      <c r="AQ8" s="218">
        <v>-119093.09579999997</v>
      </c>
      <c r="AR8" s="165">
        <v>-178296.24684999994</v>
      </c>
      <c r="AS8" s="218">
        <v>-52050.699939999962</v>
      </c>
      <c r="AT8" s="218">
        <v>-71775.126679999972</v>
      </c>
      <c r="AU8" s="218">
        <v>-127435.78802999995</v>
      </c>
      <c r="AV8" s="53"/>
      <c r="AW8" s="53"/>
    </row>
    <row r="9" spans="3:49" x14ac:dyDescent="0.35"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270"/>
      <c r="AQ9" s="168"/>
      <c r="AR9" s="168"/>
      <c r="AS9" s="168"/>
      <c r="AT9" s="270"/>
      <c r="AU9" s="270"/>
      <c r="AV9" s="53"/>
      <c r="AW9" s="53"/>
    </row>
    <row r="10" spans="3:49" x14ac:dyDescent="0.35">
      <c r="C10" s="56" t="str">
        <f>IF('Índice - Index'!$D$14="Português","GERAÇÃO BRUTA DE CAIXA","GROSS CASH FLOW")</f>
        <v>GERAÇÃO BRUTA DE CAIXA</v>
      </c>
      <c r="D10" s="162">
        <v>101626</v>
      </c>
      <c r="E10" s="162">
        <v>103721</v>
      </c>
      <c r="F10" s="162">
        <v>60811</v>
      </c>
      <c r="G10" s="162">
        <v>129112</v>
      </c>
      <c r="H10" s="162">
        <v>395268.17488999985</v>
      </c>
      <c r="I10" s="162">
        <v>68368.995210000081</v>
      </c>
      <c r="J10" s="162">
        <v>80610</v>
      </c>
      <c r="K10" s="162">
        <v>71335</v>
      </c>
      <c r="L10" s="162">
        <v>126384</v>
      </c>
      <c r="M10" s="162">
        <v>366164</v>
      </c>
      <c r="N10" s="162">
        <v>61339</v>
      </c>
      <c r="O10" s="162">
        <v>62771</v>
      </c>
      <c r="P10" s="162">
        <v>34386</v>
      </c>
      <c r="Q10" s="162">
        <v>70215</v>
      </c>
      <c r="R10" s="162">
        <v>228711</v>
      </c>
      <c r="S10" s="162">
        <v>79338</v>
      </c>
      <c r="T10" s="162">
        <v>36124</v>
      </c>
      <c r="U10" s="162">
        <v>8996</v>
      </c>
      <c r="V10" s="162">
        <v>60841</v>
      </c>
      <c r="W10" s="162">
        <v>196672</v>
      </c>
      <c r="X10" s="162">
        <v>8842</v>
      </c>
      <c r="Y10" s="162">
        <v>17384</v>
      </c>
      <c r="Z10" s="162">
        <v>69447</v>
      </c>
      <c r="AA10" s="162">
        <v>204759.83233000006</v>
      </c>
      <c r="AB10" s="162">
        <v>300433.37390000001</v>
      </c>
      <c r="AC10" s="162">
        <v>55756.985689999812</v>
      </c>
      <c r="AD10" s="162">
        <v>35706.339159999756</v>
      </c>
      <c r="AE10" s="162">
        <v>14993.792179995988</v>
      </c>
      <c r="AF10" s="162">
        <v>86817.2754265111</v>
      </c>
      <c r="AG10" s="210">
        <v>-25014.322690007819</v>
      </c>
      <c r="AH10" s="210">
        <v>-113427.37719885234</v>
      </c>
      <c r="AI10" s="210">
        <v>-162694.13532101753</v>
      </c>
      <c r="AJ10" s="210">
        <v>-296016.22696634976</v>
      </c>
      <c r="AK10" s="210">
        <v>-16720.157983660167</v>
      </c>
      <c r="AL10" s="210">
        <v>-61954.643497320692</v>
      </c>
      <c r="AM10" s="210">
        <v>-59225.822749700332</v>
      </c>
      <c r="AN10" s="210">
        <f>SUM(AN6:AN8)</f>
        <v>31270.985281065121</v>
      </c>
      <c r="AO10" s="210">
        <v>-48293.864023660295</v>
      </c>
      <c r="AP10" s="210">
        <f t="shared" ref="AP10:AU10" si="0">SUM(AP6:AP8)</f>
        <v>-48781.385883660623</v>
      </c>
      <c r="AQ10" s="210">
        <f t="shared" si="0"/>
        <v>-118907.20322366098</v>
      </c>
      <c r="AR10" s="210">
        <f t="shared" si="0"/>
        <v>-405356.14959366125</v>
      </c>
      <c r="AS10" s="210">
        <f t="shared" si="0"/>
        <v>-124147.68945559996</v>
      </c>
      <c r="AT10" s="210">
        <f t="shared" si="0"/>
        <v>-164420.41082231913</v>
      </c>
      <c r="AU10" s="210">
        <f t="shared" si="0"/>
        <v>-336788.5344499994</v>
      </c>
      <c r="AV10" s="53"/>
      <c r="AW10" s="53"/>
    </row>
    <row r="11" spans="3:49" x14ac:dyDescent="0.35">
      <c r="C11" s="167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270"/>
      <c r="AQ11" s="169"/>
      <c r="AR11" s="169"/>
      <c r="AS11" s="169"/>
      <c r="AT11" s="270"/>
      <c r="AU11" s="270"/>
      <c r="AV11" s="53"/>
      <c r="AW11" s="53"/>
    </row>
    <row r="12" spans="3:49" x14ac:dyDescent="0.35">
      <c r="C12" s="56" t="str">
        <f>IF('Índice - Index'!$D$14="Português","Capital de Giro*","Working Capital*")</f>
        <v>Capital de Giro*</v>
      </c>
      <c r="D12" s="170">
        <v>-265005.43846000027</v>
      </c>
      <c r="E12" s="170">
        <v>-33490.018270000037</v>
      </c>
      <c r="F12" s="170">
        <v>91848.222110000002</v>
      </c>
      <c r="G12" s="170">
        <v>118901.66158000001</v>
      </c>
      <c r="H12" s="170">
        <v>-87745.573040000279</v>
      </c>
      <c r="I12" s="170">
        <v>-187051.792254</v>
      </c>
      <c r="J12" s="170">
        <v>54877.145065800294</v>
      </c>
      <c r="K12" s="170">
        <v>32875.017418000003</v>
      </c>
      <c r="L12" s="170">
        <v>135443.87809109554</v>
      </c>
      <c r="M12" s="170">
        <v>37523.925790895533</v>
      </c>
      <c r="N12" s="170">
        <v>-70982.925790895533</v>
      </c>
      <c r="O12" s="170">
        <v>40615.000000000029</v>
      </c>
      <c r="P12" s="170">
        <v>45720.999999999971</v>
      </c>
      <c r="Q12" s="170">
        <v>160453.66999999998</v>
      </c>
      <c r="R12" s="170">
        <v>175808.74420910445</v>
      </c>
      <c r="S12" s="170">
        <v>-15727.669999999998</v>
      </c>
      <c r="T12" s="170">
        <v>-153787</v>
      </c>
      <c r="U12" s="170">
        <v>27128</v>
      </c>
      <c r="V12" s="170">
        <v>-48886</v>
      </c>
      <c r="W12" s="170">
        <v>-201240.66999999998</v>
      </c>
      <c r="X12" s="170">
        <v>49124</v>
      </c>
      <c r="Y12" s="170">
        <v>-69380</v>
      </c>
      <c r="Z12" s="170">
        <v>11643</v>
      </c>
      <c r="AA12" s="170">
        <v>-96244.489519999945</v>
      </c>
      <c r="AB12" s="170">
        <v>-104858.37390000006</v>
      </c>
      <c r="AC12" s="170">
        <v>-174875.59022999991</v>
      </c>
      <c r="AD12" s="170">
        <v>-183005</v>
      </c>
      <c r="AE12" s="170">
        <v>-137605.19072999968</v>
      </c>
      <c r="AF12" s="170">
        <v>-143891.54149</v>
      </c>
      <c r="AG12" s="170">
        <v>-159125.97476000001</v>
      </c>
      <c r="AH12" s="170">
        <v>-145586.77867</v>
      </c>
      <c r="AI12" s="170">
        <v>-41950.062390000006</v>
      </c>
      <c r="AJ12" s="170">
        <v>247844.72</v>
      </c>
      <c r="AK12" s="170">
        <v>-115169.54</v>
      </c>
      <c r="AL12" s="170">
        <v>-253733.40126634069</v>
      </c>
      <c r="AM12" s="170">
        <v>-194825.64976634042</v>
      </c>
      <c r="AN12" s="170">
        <f t="shared" ref="AN12:AU12" si="1">SUM(AN13:AN17)</f>
        <v>-231445.85987633909</v>
      </c>
      <c r="AO12" s="170">
        <f t="shared" si="1"/>
        <v>-179158.39872999978</v>
      </c>
      <c r="AP12" s="217">
        <f t="shared" ref="AP12:AQ12" si="2">SUM(AP13:AP17)</f>
        <v>21331.042269999936</v>
      </c>
      <c r="AQ12" s="170">
        <f t="shared" si="2"/>
        <v>-43266.376569999848</v>
      </c>
      <c r="AR12" s="170">
        <f t="shared" si="1"/>
        <v>448185.70253000001</v>
      </c>
      <c r="AS12" s="170">
        <f t="shared" si="1"/>
        <v>162524.7116355999</v>
      </c>
      <c r="AT12" s="217">
        <f t="shared" si="1"/>
        <v>321391.91728241619</v>
      </c>
      <c r="AU12" s="217">
        <f t="shared" si="1"/>
        <v>472611.99009165936</v>
      </c>
      <c r="AV12" s="233"/>
      <c r="AW12" s="53"/>
    </row>
    <row r="13" spans="3:49" x14ac:dyDescent="0.35">
      <c r="C13" s="167" t="str">
        <f>IF('Índice - Index'!$D$14="Português","Contas a Receber","Accounts Receivables")</f>
        <v>Contas a Receber</v>
      </c>
      <c r="D13" s="221">
        <v>141180</v>
      </c>
      <c r="E13" s="221">
        <v>-19281</v>
      </c>
      <c r="F13" s="221">
        <v>74488</v>
      </c>
      <c r="G13" s="221">
        <v>-195124</v>
      </c>
      <c r="H13" s="221">
        <v>1263</v>
      </c>
      <c r="I13" s="221">
        <v>172002</v>
      </c>
      <c r="J13" s="221">
        <v>17908</v>
      </c>
      <c r="K13" s="221">
        <v>63674</v>
      </c>
      <c r="L13" s="221">
        <v>-104461</v>
      </c>
      <c r="M13" s="221">
        <v>149123</v>
      </c>
      <c r="N13" s="221">
        <v>173829</v>
      </c>
      <c r="O13" s="221">
        <v>-92476</v>
      </c>
      <c r="P13" s="221">
        <v>86166</v>
      </c>
      <c r="Q13" s="221">
        <v>-12135</v>
      </c>
      <c r="R13" s="221">
        <v>155384</v>
      </c>
      <c r="S13" s="221">
        <v>56146</v>
      </c>
      <c r="T13" s="221">
        <v>-26648</v>
      </c>
      <c r="U13" s="221">
        <v>-50927</v>
      </c>
      <c r="V13" s="221">
        <v>-103511</v>
      </c>
      <c r="W13" s="221">
        <v>-124940</v>
      </c>
      <c r="X13" s="221">
        <v>205478</v>
      </c>
      <c r="Y13" s="221">
        <v>-79760</v>
      </c>
      <c r="Z13" s="221">
        <v>17089</v>
      </c>
      <c r="AA13" s="221">
        <v>-94954.743799999967</v>
      </c>
      <c r="AB13" s="221">
        <v>47852.999999999942</v>
      </c>
      <c r="AC13" s="221">
        <v>69677.360899999971</v>
      </c>
      <c r="AD13" s="221">
        <v>1786</v>
      </c>
      <c r="AE13" s="221">
        <v>-10475</v>
      </c>
      <c r="AF13" s="221">
        <v>-121594</v>
      </c>
      <c r="AG13" s="221">
        <v>189221</v>
      </c>
      <c r="AH13" s="221">
        <v>406918</v>
      </c>
      <c r="AI13" s="171">
        <v>334119</v>
      </c>
      <c r="AJ13" s="171">
        <v>167316</v>
      </c>
      <c r="AK13" s="171">
        <v>142878</v>
      </c>
      <c r="AL13" s="171">
        <v>156960</v>
      </c>
      <c r="AM13" s="221">
        <v>-44861.649196339502</v>
      </c>
      <c r="AN13" s="53">
        <v>-148517.391496339</v>
      </c>
      <c r="AO13" s="53">
        <v>92784.756060000043</v>
      </c>
      <c r="AP13" s="53">
        <v>40275.504820000031</v>
      </c>
      <c r="AQ13" s="53">
        <v>106274.79498999997</v>
      </c>
      <c r="AR13" s="53">
        <v>225491.57118000009</v>
      </c>
      <c r="AS13" s="53">
        <v>226193.47960559992</v>
      </c>
      <c r="AT13" s="53">
        <v>263981.92221241619</v>
      </c>
      <c r="AU13" s="53">
        <v>411070.6377416593</v>
      </c>
      <c r="AV13" s="53"/>
      <c r="AW13" s="53"/>
    </row>
    <row r="14" spans="3:49" x14ac:dyDescent="0.35">
      <c r="C14" s="167" t="str">
        <f>IF('Índice - Index'!$D$14="Português","Estoques","Inventories")</f>
        <v>Estoques</v>
      </c>
      <c r="D14" s="171">
        <v>-253978.12226</v>
      </c>
      <c r="E14" s="171">
        <v>88518.122260000004</v>
      </c>
      <c r="F14" s="171">
        <v>23733</v>
      </c>
      <c r="G14" s="171">
        <v>111412</v>
      </c>
      <c r="H14" s="221">
        <v>-30315</v>
      </c>
      <c r="I14" s="221">
        <v>-197885.12979000001</v>
      </c>
      <c r="J14" s="221">
        <v>89507.129790000006</v>
      </c>
      <c r="K14" s="221">
        <v>21473</v>
      </c>
      <c r="L14" s="221">
        <v>129889</v>
      </c>
      <c r="M14" s="221">
        <v>42984</v>
      </c>
      <c r="N14" s="221">
        <v>-100031</v>
      </c>
      <c r="O14" s="221">
        <v>96257</v>
      </c>
      <c r="P14" s="221">
        <v>-53634</v>
      </c>
      <c r="Q14" s="221">
        <v>48777</v>
      </c>
      <c r="R14" s="221">
        <v>-8631</v>
      </c>
      <c r="S14" s="221">
        <v>-74315</v>
      </c>
      <c r="T14" s="221">
        <v>-25011</v>
      </c>
      <c r="U14" s="221">
        <v>-12255</v>
      </c>
      <c r="V14" s="221">
        <v>31435</v>
      </c>
      <c r="W14" s="221">
        <v>-80146</v>
      </c>
      <c r="X14" s="221">
        <v>-63781</v>
      </c>
      <c r="Y14" s="221">
        <v>53397</v>
      </c>
      <c r="Z14" s="221">
        <v>53250</v>
      </c>
      <c r="AA14" s="221">
        <v>15454</v>
      </c>
      <c r="AB14" s="221">
        <v>58320</v>
      </c>
      <c r="AC14" s="221">
        <v>-96026.743569999991</v>
      </c>
      <c r="AD14" s="221">
        <v>-76193</v>
      </c>
      <c r="AE14" s="221">
        <v>-87674</v>
      </c>
      <c r="AF14" s="221">
        <v>-80371</v>
      </c>
      <c r="AG14" s="221">
        <v>-95401</v>
      </c>
      <c r="AH14" s="221">
        <v>-41145</v>
      </c>
      <c r="AI14" s="221">
        <v>88852</v>
      </c>
      <c r="AJ14" s="221">
        <v>166793</v>
      </c>
      <c r="AK14" s="221">
        <v>-188810</v>
      </c>
      <c r="AL14" s="221">
        <v>-320647</v>
      </c>
      <c r="AM14" s="221">
        <v>-156494.57342</v>
      </c>
      <c r="AN14" s="53">
        <v>-94452.169130000111</v>
      </c>
      <c r="AO14" s="53">
        <v>-72004.239520000003</v>
      </c>
      <c r="AP14" s="53">
        <v>-5756.2159299999475</v>
      </c>
      <c r="AQ14" s="53">
        <v>-48231.35671000008</v>
      </c>
      <c r="AR14" s="53">
        <v>-15227.728600000031</v>
      </c>
      <c r="AS14" s="53">
        <v>-3701.1735699999845</v>
      </c>
      <c r="AT14" s="53">
        <v>194334.74617</v>
      </c>
      <c r="AU14" s="53">
        <v>225737.10871</v>
      </c>
      <c r="AV14" s="53"/>
      <c r="AW14" s="53"/>
    </row>
    <row r="15" spans="3:49" x14ac:dyDescent="0.35">
      <c r="C15" s="167" t="str">
        <f>IF('Índice - Index'!$D$14="Português","Fornecedor","Suppliers")</f>
        <v>Fornecedor</v>
      </c>
      <c r="D15" s="171">
        <v>26782.122259999975</v>
      </c>
      <c r="E15" s="171">
        <v>-107081.12225999997</v>
      </c>
      <c r="F15" s="171">
        <v>25915</v>
      </c>
      <c r="G15" s="171">
        <v>44655</v>
      </c>
      <c r="H15" s="221">
        <v>-9729</v>
      </c>
      <c r="I15" s="221">
        <v>-2692.8702099999937</v>
      </c>
      <c r="J15" s="221">
        <v>-43040.129790000006</v>
      </c>
      <c r="K15" s="221">
        <v>9519</v>
      </c>
      <c r="L15" s="221">
        <v>-3595</v>
      </c>
      <c r="M15" s="221">
        <v>-39809</v>
      </c>
      <c r="N15" s="221">
        <v>-16949</v>
      </c>
      <c r="O15" s="221">
        <v>52153</v>
      </c>
      <c r="P15" s="221">
        <v>45177</v>
      </c>
      <c r="Q15" s="221">
        <v>23684</v>
      </c>
      <c r="R15" s="221">
        <v>104065</v>
      </c>
      <c r="S15" s="221">
        <v>116164</v>
      </c>
      <c r="T15" s="221">
        <v>-91090</v>
      </c>
      <c r="U15" s="221">
        <v>85540</v>
      </c>
      <c r="V15" s="221">
        <v>-66529</v>
      </c>
      <c r="W15" s="221">
        <v>44085</v>
      </c>
      <c r="X15" s="221">
        <v>59714</v>
      </c>
      <c r="Y15" s="221">
        <v>-25116</v>
      </c>
      <c r="Z15" s="221">
        <v>6913</v>
      </c>
      <c r="AA15" s="221">
        <v>95122.23828000002</v>
      </c>
      <c r="AB15" s="221">
        <v>136634</v>
      </c>
      <c r="AC15" s="221">
        <v>-10531.453959999955</v>
      </c>
      <c r="AD15" s="221">
        <v>-15580</v>
      </c>
      <c r="AE15" s="221">
        <v>3234</v>
      </c>
      <c r="AF15" s="221">
        <v>45075</v>
      </c>
      <c r="AG15" s="221">
        <v>-155678</v>
      </c>
      <c r="AH15" s="221">
        <v>-360174</v>
      </c>
      <c r="AI15" s="221">
        <v>-290520</v>
      </c>
      <c r="AJ15" s="221">
        <v>-61368</v>
      </c>
      <c r="AK15" s="221">
        <v>-5964</v>
      </c>
      <c r="AL15" s="221">
        <v>-53770</v>
      </c>
      <c r="AM15" s="221">
        <v>45326.283219999998</v>
      </c>
      <c r="AN15" s="53">
        <v>7221.1295700000483</v>
      </c>
      <c r="AO15" s="53">
        <v>-75041.485159999924</v>
      </c>
      <c r="AP15" s="53">
        <v>-709.35006000008434</v>
      </c>
      <c r="AQ15" s="53">
        <v>3288.5038199999835</v>
      </c>
      <c r="AR15" s="53">
        <v>65213.52476999996</v>
      </c>
      <c r="AS15" s="53">
        <v>46960.138300000108</v>
      </c>
      <c r="AT15" s="53">
        <v>-89640.079749999975</v>
      </c>
      <c r="AU15" s="53">
        <v>-72705.145979999972</v>
      </c>
      <c r="AV15" s="53"/>
      <c r="AW15" s="53"/>
    </row>
    <row r="16" spans="3:49" x14ac:dyDescent="0.35">
      <c r="C16" s="167" t="str">
        <f>IF('Índice - Index'!$D$14="Português","Impostos","Taxes")</f>
        <v>Impostos</v>
      </c>
      <c r="D16" s="171">
        <v>-139017</v>
      </c>
      <c r="E16" s="171">
        <v>1619</v>
      </c>
      <c r="F16" s="171">
        <v>-36349</v>
      </c>
      <c r="G16" s="171">
        <v>102142</v>
      </c>
      <c r="H16" s="221">
        <v>-71605</v>
      </c>
      <c r="I16" s="221">
        <v>-126002.792254</v>
      </c>
      <c r="J16" s="221">
        <v>-12925.177464200009</v>
      </c>
      <c r="K16" s="221">
        <v>-21610.982581999997</v>
      </c>
      <c r="L16" s="221">
        <v>24596.878091095539</v>
      </c>
      <c r="M16" s="221">
        <v>-135942.07420910447</v>
      </c>
      <c r="N16" s="221">
        <v>-129928.98424069554</v>
      </c>
      <c r="O16" s="221">
        <v>12804.975023200037</v>
      </c>
      <c r="P16" s="221">
        <v>-73348.916573400027</v>
      </c>
      <c r="Q16" s="221">
        <v>47379</v>
      </c>
      <c r="R16" s="221">
        <v>-143093.92579089553</v>
      </c>
      <c r="S16" s="221">
        <v>-66648</v>
      </c>
      <c r="T16" s="221">
        <v>-24657</v>
      </c>
      <c r="U16" s="221">
        <v>-2386</v>
      </c>
      <c r="V16" s="221">
        <v>80989</v>
      </c>
      <c r="W16" s="221">
        <v>-12702</v>
      </c>
      <c r="X16" s="221">
        <v>-80490</v>
      </c>
      <c r="Y16" s="221">
        <v>-4859</v>
      </c>
      <c r="Z16" s="221">
        <v>-62907</v>
      </c>
      <c r="AA16" s="221">
        <v>-276286</v>
      </c>
      <c r="AB16" s="221">
        <v>-424542</v>
      </c>
      <c r="AC16" s="221">
        <v>-47243.69544000004</v>
      </c>
      <c r="AD16" s="221">
        <v>-32335</v>
      </c>
      <c r="AE16" s="221">
        <v>-48966</v>
      </c>
      <c r="AF16" s="221">
        <v>-8471</v>
      </c>
      <c r="AG16" s="221">
        <v>-30984</v>
      </c>
      <c r="AH16" s="221">
        <v>11070</v>
      </c>
      <c r="AI16" s="221">
        <v>21154</v>
      </c>
      <c r="AJ16" s="221">
        <v>76503</v>
      </c>
      <c r="AK16" s="221">
        <v>-51503</v>
      </c>
      <c r="AL16" s="221">
        <v>-71323</v>
      </c>
      <c r="AM16" s="221">
        <v>-115611.78075999999</v>
      </c>
      <c r="AN16" s="53">
        <v>-60197.159089999899</v>
      </c>
      <c r="AO16" s="53">
        <v>-54726.731439999814</v>
      </c>
      <c r="AP16" s="53">
        <v>-31329.538460000098</v>
      </c>
      <c r="AQ16" s="53">
        <v>-91816.412149999975</v>
      </c>
      <c r="AR16" s="53">
        <v>77526.727899999969</v>
      </c>
      <c r="AS16" s="53">
        <v>-6021.2018699999171</v>
      </c>
      <c r="AT16" s="53">
        <v>-47450.437549999915</v>
      </c>
      <c r="AU16" s="53">
        <v>-87260.900419999845</v>
      </c>
      <c r="AV16" s="53"/>
      <c r="AW16" s="53"/>
    </row>
    <row r="17" spans="3:49" x14ac:dyDescent="0.35">
      <c r="C17" s="167" t="str">
        <f>IF('Índice - Index'!$D$14="Português","Outros","Others")</f>
        <v>Outros</v>
      </c>
      <c r="D17" s="171">
        <v>-39972.43846000023</v>
      </c>
      <c r="E17" s="171">
        <v>2734.981729999934</v>
      </c>
      <c r="F17" s="171">
        <v>4061.2221100000024</v>
      </c>
      <c r="G17" s="171">
        <v>55816.661580000015</v>
      </c>
      <c r="H17" s="221">
        <v>22640.426959999721</v>
      </c>
      <c r="I17" s="221">
        <v>-32473</v>
      </c>
      <c r="J17" s="221">
        <v>3427.3225300003032</v>
      </c>
      <c r="K17" s="221">
        <v>-40180</v>
      </c>
      <c r="L17" s="221">
        <v>89014</v>
      </c>
      <c r="M17" s="221">
        <v>21168</v>
      </c>
      <c r="N17" s="221">
        <v>2097.0584498000098</v>
      </c>
      <c r="O17" s="221">
        <v>-28123.975023200008</v>
      </c>
      <c r="P17" s="221">
        <v>41360.916573399998</v>
      </c>
      <c r="Q17" s="221">
        <v>52748.67</v>
      </c>
      <c r="R17" s="221">
        <v>68084.67</v>
      </c>
      <c r="S17" s="221">
        <v>-47981.67</v>
      </c>
      <c r="T17" s="221">
        <v>13619</v>
      </c>
      <c r="U17" s="221">
        <v>7156</v>
      </c>
      <c r="V17" s="221">
        <v>8730</v>
      </c>
      <c r="W17" s="221">
        <v>-27537.67</v>
      </c>
      <c r="X17" s="221">
        <v>-71797</v>
      </c>
      <c r="Y17" s="221">
        <v>-13042</v>
      </c>
      <c r="Z17" s="221">
        <v>-2702</v>
      </c>
      <c r="AA17" s="221">
        <v>164420.016</v>
      </c>
      <c r="AB17" s="221">
        <v>76876.626099999994</v>
      </c>
      <c r="AC17" s="221">
        <v>-90751.058159999899</v>
      </c>
      <c r="AD17" s="221">
        <v>-60683</v>
      </c>
      <c r="AE17" s="221">
        <v>6275.8092700003181</v>
      </c>
      <c r="AF17" s="221">
        <v>21469.458509999997</v>
      </c>
      <c r="AG17" s="221">
        <v>-66283.974759999997</v>
      </c>
      <c r="AH17" s="221">
        <v>-162255.77867</v>
      </c>
      <c r="AI17" s="221">
        <v>-195555.06239000001</v>
      </c>
      <c r="AJ17" s="221">
        <v>-101399.28</v>
      </c>
      <c r="AK17" s="221">
        <v>-11770.539999999999</v>
      </c>
      <c r="AL17" s="221">
        <v>33037.46</v>
      </c>
      <c r="AM17" s="221">
        <v>76816.070389999106</v>
      </c>
      <c r="AN17" s="53">
        <v>64499.730269999898</v>
      </c>
      <c r="AO17" s="53">
        <v>-70170.698670000071</v>
      </c>
      <c r="AP17" s="53">
        <v>18850.641900000035</v>
      </c>
      <c r="AQ17" s="53">
        <v>-12781.906519999742</v>
      </c>
      <c r="AR17" s="53">
        <v>95181.607280000026</v>
      </c>
      <c r="AS17" s="53">
        <v>-100906.53083000018</v>
      </c>
      <c r="AT17" s="53">
        <v>165.7661999999109</v>
      </c>
      <c r="AU17" s="53">
        <v>-4229.709960000102</v>
      </c>
      <c r="AV17" s="53"/>
      <c r="AW17" s="53"/>
    </row>
    <row r="18" spans="3:49" x14ac:dyDescent="0.35">
      <c r="C18" s="167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270"/>
      <c r="AQ18" s="168"/>
      <c r="AR18" s="168"/>
      <c r="AS18" s="168"/>
      <c r="AT18" s="270"/>
      <c r="AU18" s="270"/>
      <c r="AV18" s="53"/>
      <c r="AW18" s="53"/>
    </row>
    <row r="19" spans="3:49" x14ac:dyDescent="0.35">
      <c r="C19" s="56" t="str">
        <f>IF('Índice - Index'!$D$14="Português","Investimentos","Investments")</f>
        <v>Investimentos</v>
      </c>
      <c r="D19" s="172">
        <v>-51088.56153999977</v>
      </c>
      <c r="E19" s="172">
        <v>-69501.981729999941</v>
      </c>
      <c r="F19" s="172">
        <v>-55219.222110000017</v>
      </c>
      <c r="G19" s="172">
        <v>-44567.661580000015</v>
      </c>
      <c r="H19" s="170">
        <v>-220377.42695999972</v>
      </c>
      <c r="I19" s="170">
        <v>-30854</v>
      </c>
      <c r="J19" s="170">
        <v>-31342.322530000303</v>
      </c>
      <c r="K19" s="170">
        <v>-23244</v>
      </c>
      <c r="L19" s="170">
        <v>-26059</v>
      </c>
      <c r="M19" s="170">
        <v>-112879</v>
      </c>
      <c r="N19" s="170">
        <v>-26991</v>
      </c>
      <c r="O19" s="170">
        <v>-33552</v>
      </c>
      <c r="P19" s="170">
        <v>-27303</v>
      </c>
      <c r="Q19" s="170">
        <v>-19500</v>
      </c>
      <c r="R19" s="170">
        <v>-107346</v>
      </c>
      <c r="S19" s="170">
        <v>-12496</v>
      </c>
      <c r="T19" s="170">
        <v>-11335</v>
      </c>
      <c r="U19" s="170">
        <v>-11542</v>
      </c>
      <c r="V19" s="170">
        <v>-12583</v>
      </c>
      <c r="W19" s="170">
        <v>-47956</v>
      </c>
      <c r="X19" s="170">
        <v>-10121</v>
      </c>
      <c r="Y19" s="170">
        <v>-15490</v>
      </c>
      <c r="Z19" s="170">
        <v>-22077</v>
      </c>
      <c r="AA19" s="170">
        <v>239</v>
      </c>
      <c r="AB19" s="170">
        <v>-47449</v>
      </c>
      <c r="AC19" s="170">
        <v>-15444.830020000005</v>
      </c>
      <c r="AD19" s="170">
        <v>-30122.630919999996</v>
      </c>
      <c r="AE19" s="170">
        <v>-41992.196549999993</v>
      </c>
      <c r="AF19" s="170">
        <v>-56620.694299999974</v>
      </c>
      <c r="AG19" s="170">
        <v>-9110.4573399999936</v>
      </c>
      <c r="AH19" s="170">
        <v>-20164.63665999996</v>
      </c>
      <c r="AI19" s="170">
        <v>-31770.078969999944</v>
      </c>
      <c r="AJ19" s="170">
        <v>-51646.559139999998</v>
      </c>
      <c r="AK19" s="170">
        <v>-11290.326269999998</v>
      </c>
      <c r="AL19" s="170">
        <v>-41215.218249999984</v>
      </c>
      <c r="AM19" s="170">
        <v>-48640.126740000007</v>
      </c>
      <c r="AN19" s="170">
        <f>AN20+AN21</f>
        <v>-70941.397460000095</v>
      </c>
      <c r="AO19" s="170">
        <f t="shared" ref="AO19:AU19" si="3">SUM(AO20:AO23)</f>
        <v>-17648.805669999951</v>
      </c>
      <c r="AP19" s="217">
        <f t="shared" si="3"/>
        <v>-35205.245870000079</v>
      </c>
      <c r="AQ19" s="170">
        <f t="shared" ref="AQ19" si="4">SUM(AQ20:AQ23)</f>
        <v>-47873.8115700001</v>
      </c>
      <c r="AR19" s="170">
        <f t="shared" si="3"/>
        <v>-6266.35347000006</v>
      </c>
      <c r="AS19" s="170">
        <f t="shared" si="3"/>
        <v>-3496.3528299997161</v>
      </c>
      <c r="AT19" s="217">
        <f t="shared" si="3"/>
        <v>-9525.5095499998388</v>
      </c>
      <c r="AU19" s="217">
        <f t="shared" si="3"/>
        <v>-9485.3014699997875</v>
      </c>
      <c r="AV19" s="53"/>
      <c r="AW19" s="53"/>
    </row>
    <row r="20" spans="3:49" x14ac:dyDescent="0.35">
      <c r="C20" s="167" t="str">
        <f>IF('Índice - Index'!$D$14="Português","Imobilizado","Assets")</f>
        <v>Imobilizado</v>
      </c>
      <c r="D20" s="171">
        <v>-44088.592719999746</v>
      </c>
      <c r="E20" s="171">
        <v>-29647.403779999942</v>
      </c>
      <c r="F20" s="171">
        <v>-39133.161830000012</v>
      </c>
      <c r="G20" s="171">
        <v>-27774.125409999993</v>
      </c>
      <c r="H20" s="222">
        <v>-140643.28373999969</v>
      </c>
      <c r="I20" s="222">
        <v>23658</v>
      </c>
      <c r="J20" s="222">
        <v>-16016.799490000265</v>
      </c>
      <c r="K20" s="222">
        <v>-11933</v>
      </c>
      <c r="L20" s="222">
        <v>-17979</v>
      </c>
      <c r="M20" s="222">
        <v>-62112</v>
      </c>
      <c r="N20" s="222">
        <v>-18804</v>
      </c>
      <c r="O20" s="222">
        <v>-25236</v>
      </c>
      <c r="P20" s="222">
        <v>-21498</v>
      </c>
      <c r="Q20" s="222">
        <v>-13297</v>
      </c>
      <c r="R20" s="222">
        <v>-78835</v>
      </c>
      <c r="S20" s="222">
        <v>-4914</v>
      </c>
      <c r="T20" s="222">
        <v>-4370</v>
      </c>
      <c r="U20" s="222">
        <v>-5375</v>
      </c>
      <c r="V20" s="222">
        <v>-8815</v>
      </c>
      <c r="W20" s="222">
        <v>-23474</v>
      </c>
      <c r="X20" s="222">
        <v>-3147</v>
      </c>
      <c r="Y20" s="222">
        <v>-6868</v>
      </c>
      <c r="Z20" s="222">
        <v>-8525</v>
      </c>
      <c r="AA20" s="222">
        <v>9883</v>
      </c>
      <c r="AB20" s="222">
        <v>-8657</v>
      </c>
      <c r="AC20" s="222">
        <v>-15444.830020000005</v>
      </c>
      <c r="AD20" s="222">
        <v>-36721.630919999996</v>
      </c>
      <c r="AE20" s="222">
        <v>-52564.196549999993</v>
      </c>
      <c r="AF20" s="222">
        <v>-71343.694299999974</v>
      </c>
      <c r="AG20" s="222">
        <v>-15068.457339999994</v>
      </c>
      <c r="AH20" s="222">
        <v>-30595.63665999996</v>
      </c>
      <c r="AI20" s="222">
        <v>-50100.078969999944</v>
      </c>
      <c r="AJ20" s="222">
        <v>-64331.559139999998</v>
      </c>
      <c r="AK20" s="222">
        <v>-7390.3262699999977</v>
      </c>
      <c r="AL20" s="222">
        <v>-17107.299999999996</v>
      </c>
      <c r="AM20" s="222">
        <v>-34068.520320000003</v>
      </c>
      <c r="AN20" s="53">
        <v>-70941.397460000095</v>
      </c>
      <c r="AO20" s="53">
        <v>-17648.805669999951</v>
      </c>
      <c r="AP20" s="53">
        <v>-35205.245870000079</v>
      </c>
      <c r="AQ20" s="53">
        <v>-47873.8115700001</v>
      </c>
      <c r="AR20" s="53">
        <v>-6266.35347000006</v>
      </c>
      <c r="AS20" s="53">
        <v>-3496.3528299997161</v>
      </c>
      <c r="AT20" s="53">
        <v>-9525.5095499998388</v>
      </c>
      <c r="AU20" s="53">
        <v>-9485.3014699997875</v>
      </c>
      <c r="AV20" s="53"/>
      <c r="AW20" s="53"/>
    </row>
    <row r="21" spans="3:49" x14ac:dyDescent="0.35">
      <c r="C21" s="167" t="str">
        <f>IF('Índice - Index'!$D$14="Português","Intangivel","Intangible")</f>
        <v>Intangivel</v>
      </c>
      <c r="D21" s="171">
        <v>-6999.9688200000246</v>
      </c>
      <c r="E21" s="171">
        <v>-37617.577949999992</v>
      </c>
      <c r="F21" s="171">
        <v>7702.9397199999948</v>
      </c>
      <c r="G21" s="171">
        <v>-16793.536170000021</v>
      </c>
      <c r="H21" s="221">
        <v>-53708.143220000042</v>
      </c>
      <c r="I21" s="221">
        <v>-7366</v>
      </c>
      <c r="J21" s="221">
        <v>-15325.523040000036</v>
      </c>
      <c r="K21" s="221">
        <v>-11311</v>
      </c>
      <c r="L21" s="221">
        <v>-8080</v>
      </c>
      <c r="M21" s="221">
        <v>-50767</v>
      </c>
      <c r="N21" s="221">
        <v>-8187</v>
      </c>
      <c r="O21" s="221">
        <v>-8316</v>
      </c>
      <c r="P21" s="221">
        <v>-5805</v>
      </c>
      <c r="Q21" s="221">
        <v>-6203</v>
      </c>
      <c r="R21" s="221">
        <v>-28511</v>
      </c>
      <c r="S21" s="221">
        <v>-7582</v>
      </c>
      <c r="T21" s="221">
        <v>-6965</v>
      </c>
      <c r="U21" s="221">
        <v>-6167</v>
      </c>
      <c r="V21" s="221">
        <v>-3768</v>
      </c>
      <c r="W21" s="221">
        <v>-24482</v>
      </c>
      <c r="X21" s="221">
        <v>-6974</v>
      </c>
      <c r="Y21" s="221">
        <v>-8622</v>
      </c>
      <c r="Z21" s="221">
        <v>-13552</v>
      </c>
      <c r="AA21" s="221">
        <v>-9644</v>
      </c>
      <c r="AB21" s="221">
        <v>-38792</v>
      </c>
      <c r="AC21" s="221">
        <v>0</v>
      </c>
      <c r="AD21" s="221">
        <v>6599</v>
      </c>
      <c r="AE21" s="221">
        <v>10572</v>
      </c>
      <c r="AF21" s="221">
        <v>14723</v>
      </c>
      <c r="AG21" s="221">
        <v>5958</v>
      </c>
      <c r="AH21" s="221">
        <v>10431</v>
      </c>
      <c r="AI21" s="221">
        <v>18330</v>
      </c>
      <c r="AJ21" s="221">
        <v>12685</v>
      </c>
      <c r="AK21" s="221">
        <v>-3900</v>
      </c>
      <c r="AL21" s="221">
        <v>-24108.436000000002</v>
      </c>
      <c r="AM21" s="221">
        <v>-14571.60642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/>
      <c r="AW21" s="53"/>
    </row>
    <row r="22" spans="3:49" x14ac:dyDescent="0.35">
      <c r="C22" s="167" t="str">
        <f>IF('Índice - Index'!$D$14="Português","Outras Aquisições","Other Acquisitions")</f>
        <v>Outras Aquisições</v>
      </c>
      <c r="D22" s="171">
        <v>0</v>
      </c>
      <c r="E22" s="171">
        <v>-2237</v>
      </c>
      <c r="F22" s="171">
        <v>-23789</v>
      </c>
      <c r="G22" s="171">
        <v>0</v>
      </c>
      <c r="H22" s="221">
        <v>-26026</v>
      </c>
      <c r="I22" s="221">
        <v>-49096</v>
      </c>
      <c r="J22" s="221">
        <v>0</v>
      </c>
      <c r="K22" s="221">
        <v>0</v>
      </c>
      <c r="L22" s="221">
        <v>0</v>
      </c>
      <c r="M22" s="221">
        <v>0</v>
      </c>
      <c r="N22" s="221">
        <v>0</v>
      </c>
      <c r="O22" s="221">
        <v>0</v>
      </c>
      <c r="P22" s="221">
        <v>0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1">
        <v>0</v>
      </c>
      <c r="W22" s="221">
        <v>0</v>
      </c>
      <c r="X22" s="221">
        <v>0</v>
      </c>
      <c r="Y22" s="221">
        <v>0</v>
      </c>
      <c r="Z22" s="221">
        <v>0</v>
      </c>
      <c r="AA22" s="221">
        <v>0</v>
      </c>
      <c r="AB22" s="221">
        <v>0</v>
      </c>
      <c r="AC22" s="221">
        <v>0</v>
      </c>
      <c r="AD22" s="221">
        <v>0</v>
      </c>
      <c r="AE22" s="221">
        <v>0</v>
      </c>
      <c r="AF22" s="221">
        <v>0</v>
      </c>
      <c r="AG22" s="221">
        <v>0</v>
      </c>
      <c r="AH22" s="221">
        <v>0</v>
      </c>
      <c r="AI22" s="221">
        <v>0</v>
      </c>
      <c r="AJ22" s="221">
        <v>0</v>
      </c>
      <c r="AK22" s="221">
        <v>0</v>
      </c>
      <c r="AL22" s="221">
        <v>0</v>
      </c>
      <c r="AM22" s="221">
        <v>0</v>
      </c>
      <c r="AN22" s="221">
        <v>0</v>
      </c>
      <c r="AO22" s="221">
        <v>0</v>
      </c>
      <c r="AP22" s="222">
        <v>0</v>
      </c>
      <c r="AQ22" s="221">
        <v>0</v>
      </c>
      <c r="AR22" s="221">
        <v>0</v>
      </c>
      <c r="AS22" s="221">
        <v>0</v>
      </c>
      <c r="AT22" s="222">
        <v>0</v>
      </c>
      <c r="AU22" s="222">
        <v>0</v>
      </c>
      <c r="AV22" s="53"/>
      <c r="AW22" s="53"/>
    </row>
    <row r="23" spans="3:49" x14ac:dyDescent="0.35">
      <c r="C23" s="167" t="str">
        <f>IF('Índice - Index'!$D$14="Português","Títulos","Securities")</f>
        <v>Títulos</v>
      </c>
      <c r="D23" s="171">
        <v>0</v>
      </c>
      <c r="E23" s="171">
        <v>0</v>
      </c>
      <c r="F23" s="171">
        <v>0</v>
      </c>
      <c r="G23" s="171">
        <v>0</v>
      </c>
      <c r="H23" s="221">
        <v>0</v>
      </c>
      <c r="I23" s="221">
        <v>1950</v>
      </c>
      <c r="J23" s="221">
        <v>0</v>
      </c>
      <c r="K23" s="221">
        <v>0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1">
        <v>0</v>
      </c>
      <c r="W23" s="221">
        <v>0</v>
      </c>
      <c r="X23" s="221">
        <v>0</v>
      </c>
      <c r="Y23" s="221">
        <v>0</v>
      </c>
      <c r="Z23" s="221">
        <v>0</v>
      </c>
      <c r="AA23" s="221">
        <v>0</v>
      </c>
      <c r="AB23" s="221">
        <v>0</v>
      </c>
      <c r="AC23" s="221">
        <v>0</v>
      </c>
      <c r="AD23" s="221">
        <v>0</v>
      </c>
      <c r="AE23" s="221">
        <v>0</v>
      </c>
      <c r="AF23" s="221">
        <v>0</v>
      </c>
      <c r="AG23" s="221">
        <v>0</v>
      </c>
      <c r="AH23" s="221">
        <v>0</v>
      </c>
      <c r="AI23" s="221">
        <v>0</v>
      </c>
      <c r="AJ23" s="221">
        <v>0</v>
      </c>
      <c r="AK23" s="221">
        <v>0</v>
      </c>
      <c r="AL23" s="221">
        <v>0</v>
      </c>
      <c r="AM23" s="221">
        <v>0</v>
      </c>
      <c r="AN23" s="221">
        <v>0</v>
      </c>
      <c r="AO23" s="221">
        <v>0</v>
      </c>
      <c r="AP23" s="222">
        <v>0</v>
      </c>
      <c r="AQ23" s="221">
        <v>0</v>
      </c>
      <c r="AR23" s="221">
        <v>0</v>
      </c>
      <c r="AS23" s="221">
        <v>0</v>
      </c>
      <c r="AT23" s="222">
        <v>0</v>
      </c>
      <c r="AU23" s="222">
        <v>0</v>
      </c>
      <c r="AV23" s="53"/>
      <c r="AW23" s="53"/>
    </row>
    <row r="24" spans="3:49" x14ac:dyDescent="0.35">
      <c r="C24" s="173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270"/>
      <c r="AQ24" s="168"/>
      <c r="AR24" s="168"/>
      <c r="AS24" s="168"/>
      <c r="AT24" s="270"/>
      <c r="AU24" s="270"/>
      <c r="AV24" s="53"/>
      <c r="AW24" s="53"/>
    </row>
    <row r="25" spans="3:49" x14ac:dyDescent="0.35">
      <c r="C25" s="56" t="str">
        <f>IF('Índice - Index'!$D$14="Português","GERAÇÃO OPERACIONAL DE CAIXA","CASH FROM OPERATIONS")</f>
        <v>GERAÇÃO OPERACIONAL DE CAIXA</v>
      </c>
      <c r="D25" s="170">
        <v>-214468.00000000006</v>
      </c>
      <c r="E25" s="170">
        <v>729.0000000000291</v>
      </c>
      <c r="F25" s="170">
        <v>97439.999999999985</v>
      </c>
      <c r="G25" s="170">
        <v>203446</v>
      </c>
      <c r="H25" s="170">
        <v>87145.174889999849</v>
      </c>
      <c r="I25" s="170">
        <v>-149536.79704399992</v>
      </c>
      <c r="J25" s="170">
        <v>104144.82253579999</v>
      </c>
      <c r="K25" s="170">
        <v>80966.017418000003</v>
      </c>
      <c r="L25" s="170">
        <v>235768.87809109554</v>
      </c>
      <c r="M25" s="170">
        <v>290808.92579089553</v>
      </c>
      <c r="N25" s="170">
        <v>-36634.925790895533</v>
      </c>
      <c r="O25" s="170">
        <v>69834.000000000029</v>
      </c>
      <c r="P25" s="170">
        <v>52803.999999999971</v>
      </c>
      <c r="Q25" s="170">
        <v>211168.66999999998</v>
      </c>
      <c r="R25" s="170">
        <v>297173.74420910445</v>
      </c>
      <c r="S25" s="170">
        <v>51114.33</v>
      </c>
      <c r="T25" s="170">
        <v>-128998</v>
      </c>
      <c r="U25" s="170">
        <v>24582</v>
      </c>
      <c r="V25" s="170">
        <v>-628</v>
      </c>
      <c r="W25" s="170">
        <v>-52524.669999999984</v>
      </c>
      <c r="X25" s="170">
        <v>47845</v>
      </c>
      <c r="Y25" s="170">
        <v>-67486</v>
      </c>
      <c r="Z25" s="170">
        <v>59013</v>
      </c>
      <c r="AA25" s="170">
        <v>108754.34281000012</v>
      </c>
      <c r="AB25" s="170">
        <v>148125.99999999994</v>
      </c>
      <c r="AC25" s="170">
        <v>-134563.43456000011</v>
      </c>
      <c r="AD25" s="170">
        <v>-177421.12640000004</v>
      </c>
      <c r="AE25" s="170">
        <v>-165181.42406000372</v>
      </c>
      <c r="AF25" s="170">
        <v>-113694.96036348888</v>
      </c>
      <c r="AG25" s="170">
        <v>-193250.75479000784</v>
      </c>
      <c r="AH25" s="170">
        <v>-279179.06353885232</v>
      </c>
      <c r="AI25" s="170">
        <v>-236414.27668101748</v>
      </c>
      <c r="AJ25" s="170">
        <v>-99818.066106349754</v>
      </c>
      <c r="AK25" s="170">
        <v>-143180.02425366014</v>
      </c>
      <c r="AL25" s="170">
        <v>-362188.62312366161</v>
      </c>
      <c r="AM25" s="170">
        <v>-248910.43754604101</v>
      </c>
      <c r="AN25" s="170">
        <v>-272557.98625999968</v>
      </c>
      <c r="AO25" s="170">
        <f t="shared" ref="AO25:AU25" si="5">SUM(AO10,AO12,AO19)</f>
        <v>-245101.06842366004</v>
      </c>
      <c r="AP25" s="217">
        <f t="shared" si="5"/>
        <v>-62655.589483660762</v>
      </c>
      <c r="AQ25" s="170">
        <f t="shared" ref="AQ25" si="6">SUM(AQ10,AQ12,AQ19)</f>
        <v>-210047.39136366095</v>
      </c>
      <c r="AR25" s="170">
        <f t="shared" si="5"/>
        <v>36563.199466338701</v>
      </c>
      <c r="AS25" s="170">
        <f t="shared" si="5"/>
        <v>34880.669350000229</v>
      </c>
      <c r="AT25" s="217">
        <f t="shared" si="5"/>
        <v>147445.99691009722</v>
      </c>
      <c r="AU25" s="217">
        <f t="shared" si="5"/>
        <v>126338.15417166018</v>
      </c>
      <c r="AV25" s="53"/>
      <c r="AW25" s="53"/>
    </row>
    <row r="26" spans="3:49" x14ac:dyDescent="0.35">
      <c r="C26" s="167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270"/>
      <c r="AQ26" s="169"/>
      <c r="AR26" s="169"/>
      <c r="AS26" s="169"/>
      <c r="AT26" s="270"/>
      <c r="AU26" s="270"/>
      <c r="AV26" s="53"/>
      <c r="AW26" s="53"/>
    </row>
    <row r="27" spans="3:49" x14ac:dyDescent="0.35">
      <c r="C27" s="56" t="s">
        <v>7</v>
      </c>
      <c r="D27" s="170">
        <v>644</v>
      </c>
      <c r="E27" s="170">
        <v>-19940</v>
      </c>
      <c r="F27" s="170">
        <v>-1010</v>
      </c>
      <c r="G27" s="170">
        <v>-10032</v>
      </c>
      <c r="H27" s="170">
        <v>-30338</v>
      </c>
      <c r="I27" s="170">
        <v>488</v>
      </c>
      <c r="J27" s="170">
        <v>-12008</v>
      </c>
      <c r="K27" s="170">
        <v>198</v>
      </c>
      <c r="L27" s="170">
        <v>-121</v>
      </c>
      <c r="M27" s="170">
        <v>-11443</v>
      </c>
      <c r="N27" s="170">
        <v>134.00000000001</v>
      </c>
      <c r="O27" s="170">
        <v>106.99999999999181</v>
      </c>
      <c r="P27" s="170">
        <v>45.999999999998181</v>
      </c>
      <c r="Q27" s="170">
        <v>-8143</v>
      </c>
      <c r="R27" s="170">
        <v>-7856</v>
      </c>
      <c r="S27" s="170">
        <v>542</v>
      </c>
      <c r="T27" s="170">
        <v>743</v>
      </c>
      <c r="U27" s="170">
        <v>119</v>
      </c>
      <c r="V27" s="170">
        <v>0</v>
      </c>
      <c r="W27" s="170">
        <v>0</v>
      </c>
      <c r="X27" s="170">
        <v>-5967</v>
      </c>
      <c r="Y27" s="170">
        <v>5967</v>
      </c>
      <c r="Z27" s="170">
        <v>0</v>
      </c>
      <c r="AA27" s="170">
        <v>-6736</v>
      </c>
      <c r="AB27" s="170">
        <v>-6736</v>
      </c>
      <c r="AC27" s="170">
        <v>-1486.9105199996375</v>
      </c>
      <c r="AD27" s="170">
        <v>724.40900000001056</v>
      </c>
      <c r="AE27" s="170">
        <v>4971.4390900000071</v>
      </c>
      <c r="AF27" s="170">
        <v>551980.40899999999</v>
      </c>
      <c r="AG27" s="170">
        <v>11077</v>
      </c>
      <c r="AH27" s="170">
        <v>12536</v>
      </c>
      <c r="AI27" s="170">
        <v>8349</v>
      </c>
      <c r="AJ27" s="170">
        <v>4113</v>
      </c>
      <c r="AK27" s="170">
        <v>499</v>
      </c>
      <c r="AL27" s="170">
        <v>169.54230999999913</v>
      </c>
      <c r="AM27" s="170">
        <v>680.70280000001196</v>
      </c>
      <c r="AN27" s="170">
        <f>AN29</f>
        <v>72652.614319999877</v>
      </c>
      <c r="AO27" s="170">
        <v>159595.28139000016</v>
      </c>
      <c r="AP27" s="217">
        <f t="shared" ref="AP27:AU27" si="7">SUM(AP28:AP30)</f>
        <v>1973.2689799995715</v>
      </c>
      <c r="AQ27" s="170">
        <f t="shared" si="7"/>
        <v>178891.67066999985</v>
      </c>
      <c r="AR27" s="170">
        <f t="shared" si="7"/>
        <v>40632.298240000091</v>
      </c>
      <c r="AS27" s="170">
        <f t="shared" si="7"/>
        <v>1597.5915600004373</v>
      </c>
      <c r="AT27" s="217">
        <f t="shared" si="7"/>
        <v>-672.28516999923158</v>
      </c>
      <c r="AU27" s="217">
        <f t="shared" si="7"/>
        <v>-610.40047999948729</v>
      </c>
      <c r="AV27" s="53"/>
      <c r="AW27" s="53"/>
    </row>
    <row r="28" spans="3:49" x14ac:dyDescent="0.35">
      <c r="C28" s="174" t="str">
        <f>IF('Índice - Index'!$D$14="Português","Pagamento de Dividendo + JCP","Payment of Dividends and Interests on Equity")</f>
        <v>Pagamento de Dividendo + JCP</v>
      </c>
      <c r="D28" s="175">
        <v>0</v>
      </c>
      <c r="E28" s="175">
        <v>-20306</v>
      </c>
      <c r="F28" s="175">
        <v>0</v>
      </c>
      <c r="G28" s="175">
        <v>0</v>
      </c>
      <c r="H28" s="175">
        <v>-20306</v>
      </c>
      <c r="I28" s="175">
        <v>0</v>
      </c>
      <c r="J28" s="175">
        <v>-12132</v>
      </c>
      <c r="K28" s="175">
        <v>0</v>
      </c>
      <c r="L28" s="175">
        <v>0</v>
      </c>
      <c r="M28" s="175">
        <v>-12132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v>0</v>
      </c>
      <c r="X28" s="175">
        <v>0</v>
      </c>
      <c r="Y28" s="175">
        <v>0</v>
      </c>
      <c r="Z28" s="175">
        <v>0</v>
      </c>
      <c r="AA28" s="175">
        <v>-6736</v>
      </c>
      <c r="AB28" s="175">
        <v>-6736</v>
      </c>
      <c r="AC28" s="175">
        <v>-187.82128000000012</v>
      </c>
      <c r="AD28" s="175">
        <v>0</v>
      </c>
      <c r="AE28" s="175">
        <v>-6736</v>
      </c>
      <c r="AF28" s="175">
        <v>-6736</v>
      </c>
      <c r="AG28" s="175">
        <v>0</v>
      </c>
      <c r="AH28" s="175">
        <v>0</v>
      </c>
      <c r="AI28" s="175">
        <v>0</v>
      </c>
      <c r="AJ28" s="175">
        <v>0</v>
      </c>
      <c r="AK28" s="175">
        <v>0</v>
      </c>
      <c r="AL28" s="171">
        <v>0</v>
      </c>
      <c r="AM28" s="175">
        <v>0</v>
      </c>
      <c r="AN28" s="175">
        <v>0</v>
      </c>
      <c r="AO28" s="175">
        <v>0</v>
      </c>
      <c r="AP28" s="218">
        <v>0</v>
      </c>
      <c r="AQ28" s="175">
        <v>0</v>
      </c>
      <c r="AR28" s="175">
        <v>0</v>
      </c>
      <c r="AS28" s="175">
        <v>0</v>
      </c>
      <c r="AT28" s="218">
        <v>0</v>
      </c>
      <c r="AU28" s="218">
        <v>0</v>
      </c>
      <c r="AV28" s="53"/>
      <c r="AW28" s="53"/>
    </row>
    <row r="29" spans="3:49" x14ac:dyDescent="0.35">
      <c r="C29" s="174" t="str">
        <f>IF('Índice - Index'!$D$14="Português","Variação do Capital","Variation in Capital")</f>
        <v>Variação do Capital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238104</v>
      </c>
      <c r="L29" s="175">
        <v>0</v>
      </c>
      <c r="M29" s="175">
        <v>238104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0</v>
      </c>
      <c r="AB29" s="175">
        <v>0</v>
      </c>
      <c r="AC29" s="175">
        <v>-1299.0892399996374</v>
      </c>
      <c r="AD29" s="175">
        <v>724.40900000001056</v>
      </c>
      <c r="AE29" s="175">
        <v>11707.439090000007</v>
      </c>
      <c r="AF29" s="175">
        <v>558716.40899999999</v>
      </c>
      <c r="AG29" s="175">
        <v>-286228</v>
      </c>
      <c r="AH29" s="175">
        <v>12536</v>
      </c>
      <c r="AI29" s="175">
        <v>8349</v>
      </c>
      <c r="AJ29" s="175">
        <v>4113</v>
      </c>
      <c r="AK29" s="175">
        <v>499</v>
      </c>
      <c r="AL29" s="171">
        <v>169.54230999999913</v>
      </c>
      <c r="AM29" s="175">
        <v>680.70280000001196</v>
      </c>
      <c r="AN29" s="175">
        <v>72652.614319999877</v>
      </c>
      <c r="AO29" s="175">
        <v>176769.9399099999</v>
      </c>
      <c r="AP29" s="218">
        <v>1973.2689799995715</v>
      </c>
      <c r="AQ29" s="175">
        <v>178891.67066999985</v>
      </c>
      <c r="AR29" s="175">
        <v>40632.298240000091</v>
      </c>
      <c r="AS29" s="175">
        <v>1597.5915600004373</v>
      </c>
      <c r="AT29" s="218">
        <v>-672.28516999923158</v>
      </c>
      <c r="AU29" s="218">
        <v>-610.40047999948729</v>
      </c>
      <c r="AV29" s="53"/>
      <c r="AW29" s="53"/>
    </row>
    <row r="30" spans="3:49" x14ac:dyDescent="0.35">
      <c r="C30" s="174" t="str">
        <f>IF('Índice - Index'!$D$14="Português","Variação de Reservas","Variation in Reserves")</f>
        <v>Variação de Reservas</v>
      </c>
      <c r="D30" s="175">
        <v>644</v>
      </c>
      <c r="E30" s="175">
        <v>366</v>
      </c>
      <c r="F30" s="175">
        <v>-1010</v>
      </c>
      <c r="G30" s="175">
        <v>-10032</v>
      </c>
      <c r="H30" s="175">
        <v>-10032</v>
      </c>
      <c r="I30" s="175">
        <v>488</v>
      </c>
      <c r="J30" s="175">
        <v>124</v>
      </c>
      <c r="K30" s="175">
        <v>-237906</v>
      </c>
      <c r="L30" s="175">
        <v>-121</v>
      </c>
      <c r="M30" s="175">
        <v>-237415</v>
      </c>
      <c r="N30" s="175">
        <v>134.00000000001</v>
      </c>
      <c r="O30" s="175">
        <v>106.99999999999181</v>
      </c>
      <c r="P30" s="175">
        <v>45.999999999998181</v>
      </c>
      <c r="Q30" s="175">
        <v>-8143</v>
      </c>
      <c r="R30" s="175">
        <v>-7856</v>
      </c>
      <c r="S30" s="175">
        <v>542</v>
      </c>
      <c r="T30" s="175">
        <v>743</v>
      </c>
      <c r="U30" s="175">
        <v>119</v>
      </c>
      <c r="V30" s="175">
        <v>0</v>
      </c>
      <c r="W30" s="175">
        <v>0</v>
      </c>
      <c r="X30" s="175">
        <v>-5967</v>
      </c>
      <c r="Y30" s="175">
        <v>5967</v>
      </c>
      <c r="Z30" s="175">
        <v>0</v>
      </c>
      <c r="AA30" s="175">
        <v>0</v>
      </c>
      <c r="AB30" s="175">
        <v>0</v>
      </c>
      <c r="AC30" s="175">
        <v>0</v>
      </c>
      <c r="AD30" s="175">
        <v>0</v>
      </c>
      <c r="AE30" s="175">
        <v>0</v>
      </c>
      <c r="AF30" s="175">
        <v>0</v>
      </c>
      <c r="AG30" s="175">
        <v>0</v>
      </c>
      <c r="AH30" s="175">
        <v>0</v>
      </c>
      <c r="AI30" s="175">
        <v>0</v>
      </c>
      <c r="AJ30" s="175">
        <v>0</v>
      </c>
      <c r="AK30" s="175">
        <v>0</v>
      </c>
      <c r="AL30" s="171">
        <v>0</v>
      </c>
      <c r="AM30" s="175">
        <v>0</v>
      </c>
      <c r="AN30" s="175">
        <v>0</v>
      </c>
      <c r="AO30" s="175">
        <v>0</v>
      </c>
      <c r="AP30" s="218">
        <v>0</v>
      </c>
      <c r="AQ30" s="175">
        <v>0</v>
      </c>
      <c r="AR30" s="175">
        <v>0</v>
      </c>
      <c r="AS30" s="175">
        <v>0</v>
      </c>
      <c r="AT30" s="218">
        <v>0</v>
      </c>
      <c r="AU30" s="218">
        <v>0</v>
      </c>
      <c r="AV30" s="53"/>
      <c r="AW30" s="53"/>
    </row>
    <row r="31" spans="3:49" x14ac:dyDescent="0.35">
      <c r="C31" s="167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270"/>
      <c r="AQ31" s="168"/>
      <c r="AR31" s="168"/>
      <c r="AS31" s="168"/>
      <c r="AT31" s="270"/>
      <c r="AU31" s="270"/>
      <c r="AV31" s="53"/>
      <c r="AW31" s="53"/>
    </row>
    <row r="32" spans="3:49" x14ac:dyDescent="0.35">
      <c r="C32" s="56" t="str">
        <f>IF('Índice - Index'!$D$14="Português","Endividamento","Debt")</f>
        <v>Endividamento</v>
      </c>
      <c r="D32" s="170">
        <v>112164</v>
      </c>
      <c r="E32" s="170">
        <v>141834</v>
      </c>
      <c r="F32" s="170">
        <v>18249</v>
      </c>
      <c r="G32" s="170">
        <v>-76259</v>
      </c>
      <c r="H32" s="170">
        <v>195988</v>
      </c>
      <c r="I32" s="170">
        <v>13021</v>
      </c>
      <c r="J32" s="170">
        <v>29162</v>
      </c>
      <c r="K32" s="170">
        <v>68213</v>
      </c>
      <c r="L32" s="170">
        <v>-329363</v>
      </c>
      <c r="M32" s="170">
        <v>-238433</v>
      </c>
      <c r="N32" s="170">
        <v>-83754</v>
      </c>
      <c r="O32" s="170">
        <v>-49485</v>
      </c>
      <c r="P32" s="170">
        <v>-46814</v>
      </c>
      <c r="Q32" s="170">
        <v>-241820</v>
      </c>
      <c r="R32" s="170">
        <v>-421873</v>
      </c>
      <c r="S32" s="170">
        <v>-34071</v>
      </c>
      <c r="T32" s="170">
        <v>-32628</v>
      </c>
      <c r="U32" s="170">
        <v>90661</v>
      </c>
      <c r="V32" s="170">
        <v>67039</v>
      </c>
      <c r="W32" s="170">
        <v>91001</v>
      </c>
      <c r="X32" s="170">
        <v>-117142</v>
      </c>
      <c r="Y32" s="170">
        <v>-82797</v>
      </c>
      <c r="Z32" s="170">
        <v>-15440</v>
      </c>
      <c r="AA32" s="170">
        <v>13190.151670000007</v>
      </c>
      <c r="AB32" s="170">
        <v>-202189</v>
      </c>
      <c r="AC32" s="170">
        <v>6558.8740400001298</v>
      </c>
      <c r="AD32" s="170">
        <v>-9253.6955499999967</v>
      </c>
      <c r="AE32" s="170">
        <v>-66453.395320000011</v>
      </c>
      <c r="AF32" s="170">
        <v>-109523.19774999999</v>
      </c>
      <c r="AG32" s="170">
        <v>-292009.92719999998</v>
      </c>
      <c r="AH32" s="170">
        <v>-149970.14146000001</v>
      </c>
      <c r="AI32" s="170">
        <v>-178664.41321</v>
      </c>
      <c r="AJ32" s="170">
        <v>-102861.17200999999</v>
      </c>
      <c r="AK32" s="170">
        <v>-109913.24825999999</v>
      </c>
      <c r="AL32" s="170">
        <v>-124162.58142000003</v>
      </c>
      <c r="AM32" s="217">
        <v>-33150.249460000094</v>
      </c>
      <c r="AN32" s="170">
        <f t="shared" ref="AN32:AU32" si="8">AN33+AN34</f>
        <v>-65051.984460000065</v>
      </c>
      <c r="AO32" s="170">
        <f t="shared" si="8"/>
        <v>-71748.309239999973</v>
      </c>
      <c r="AP32" s="217">
        <f t="shared" ref="AP32:AQ32" si="9">AP33+AP34</f>
        <v>105626.94860999995</v>
      </c>
      <c r="AQ32" s="170">
        <f t="shared" si="9"/>
        <v>-49421.773699999845</v>
      </c>
      <c r="AR32" s="170">
        <f t="shared" si="8"/>
        <v>-97937.023799901683</v>
      </c>
      <c r="AS32" s="170">
        <f t="shared" si="8"/>
        <v>-77248.178980098062</v>
      </c>
      <c r="AT32" s="217">
        <f t="shared" si="8"/>
        <v>-48289.502779999981</v>
      </c>
      <c r="AU32" s="217">
        <f t="shared" si="8"/>
        <v>-156876.99696999983</v>
      </c>
      <c r="AV32" s="53"/>
      <c r="AW32" s="53"/>
    </row>
    <row r="33" spans="3:49" x14ac:dyDescent="0.35">
      <c r="C33" s="167" t="str">
        <f>IF('Índice - Index'!$D$14="Português","Desp.Financ.Estrutural","Structural Interest Expense")</f>
        <v>Desp.Financ.Estrutural</v>
      </c>
      <c r="D33" s="165">
        <v>-41424</v>
      </c>
      <c r="E33" s="165">
        <v>-44880</v>
      </c>
      <c r="F33" s="165">
        <v>-29868</v>
      </c>
      <c r="G33" s="165">
        <v>-35465</v>
      </c>
      <c r="H33" s="165">
        <v>-151637</v>
      </c>
      <c r="I33" s="165">
        <v>-22578</v>
      </c>
      <c r="J33" s="165">
        <v>-50013</v>
      </c>
      <c r="K33" s="165">
        <v>-50674</v>
      </c>
      <c r="L33" s="165">
        <v>-54053</v>
      </c>
      <c r="M33" s="165">
        <v>-196784</v>
      </c>
      <c r="N33" s="165">
        <v>-35783</v>
      </c>
      <c r="O33" s="165">
        <v>-37186</v>
      </c>
      <c r="P33" s="165">
        <v>-37935</v>
      </c>
      <c r="Q33" s="165">
        <v>-34433</v>
      </c>
      <c r="R33" s="165">
        <v>-145337</v>
      </c>
      <c r="S33" s="165">
        <v>-25244</v>
      </c>
      <c r="T33" s="165">
        <v>-21874</v>
      </c>
      <c r="U33" s="165">
        <v>-21379</v>
      </c>
      <c r="V33" s="165">
        <v>-17593</v>
      </c>
      <c r="W33" s="165">
        <v>-86090</v>
      </c>
      <c r="X33" s="165">
        <v>-13633</v>
      </c>
      <c r="Y33" s="165">
        <v>-18433</v>
      </c>
      <c r="Z33" s="165">
        <v>-75046</v>
      </c>
      <c r="AA33" s="165">
        <v>2772.1516700000066</v>
      </c>
      <c r="AB33" s="165">
        <v>-104340</v>
      </c>
      <c r="AC33" s="165">
        <v>-10988.641769999998</v>
      </c>
      <c r="AD33" s="165">
        <v>-23583.695549999997</v>
      </c>
      <c r="AE33" s="165">
        <v>-35361.395320000003</v>
      </c>
      <c r="AF33" s="165">
        <v>-43083.197749999999</v>
      </c>
      <c r="AG33" s="165">
        <v>-5781.9272000000001</v>
      </c>
      <c r="AH33" s="165">
        <v>-8740.1414600000007</v>
      </c>
      <c r="AI33" s="165">
        <v>-11943.413209999999</v>
      </c>
      <c r="AJ33" s="165">
        <v>-15739.172009999998</v>
      </c>
      <c r="AK33" s="165">
        <v>-9964.2482600000003</v>
      </c>
      <c r="AL33" s="218">
        <v>-29712.063579999998</v>
      </c>
      <c r="AM33" s="218">
        <v>-29884.780939999997</v>
      </c>
      <c r="AN33" s="165">
        <v>-40091.233180000003</v>
      </c>
      <c r="AO33" s="165">
        <v>-10773.802380000001</v>
      </c>
      <c r="AP33" s="218">
        <v>-20614.247039999998</v>
      </c>
      <c r="AQ33" s="165">
        <v>-31070.511400000003</v>
      </c>
      <c r="AR33" s="165">
        <v>-42385.309779999996</v>
      </c>
      <c r="AS33" s="165">
        <v>-9987.0052099999994</v>
      </c>
      <c r="AT33" s="218">
        <v>-19461.162269999997</v>
      </c>
      <c r="AU33" s="218">
        <v>-27273.679530000005</v>
      </c>
      <c r="AV33" s="53"/>
      <c r="AW33" s="53"/>
    </row>
    <row r="34" spans="3:49" x14ac:dyDescent="0.35">
      <c r="C34" s="167" t="str">
        <f>IF('Índice - Index'!$D$14="Português","Amortizações/Captações","Amortizations/Fundings")</f>
        <v>Amortizações/Captações</v>
      </c>
      <c r="D34" s="165">
        <v>153588</v>
      </c>
      <c r="E34" s="165">
        <v>186714</v>
      </c>
      <c r="F34" s="165">
        <v>48117</v>
      </c>
      <c r="G34" s="165">
        <v>-40794</v>
      </c>
      <c r="H34" s="165">
        <v>347625</v>
      </c>
      <c r="I34" s="165">
        <v>35599</v>
      </c>
      <c r="J34" s="165">
        <v>79175</v>
      </c>
      <c r="K34" s="165">
        <v>118887</v>
      </c>
      <c r="L34" s="165">
        <v>-275310</v>
      </c>
      <c r="M34" s="165">
        <v>-41649</v>
      </c>
      <c r="N34" s="165">
        <v>-47971</v>
      </c>
      <c r="O34" s="165">
        <v>-12299</v>
      </c>
      <c r="P34" s="165">
        <v>-8879</v>
      </c>
      <c r="Q34" s="165">
        <v>-207387</v>
      </c>
      <c r="R34" s="165">
        <v>-276536</v>
      </c>
      <c r="S34" s="165">
        <v>-8827</v>
      </c>
      <c r="T34" s="165">
        <v>-10754</v>
      </c>
      <c r="U34" s="165">
        <v>112040</v>
      </c>
      <c r="V34" s="165">
        <v>84632</v>
      </c>
      <c r="W34" s="165">
        <v>177091</v>
      </c>
      <c r="X34" s="165">
        <v>-103509</v>
      </c>
      <c r="Y34" s="165">
        <v>-64364</v>
      </c>
      <c r="Z34" s="165">
        <v>59606</v>
      </c>
      <c r="AA34" s="165">
        <v>10418</v>
      </c>
      <c r="AB34" s="165">
        <v>-97849</v>
      </c>
      <c r="AC34" s="165">
        <v>17547.515810000128</v>
      </c>
      <c r="AD34" s="165">
        <v>14330</v>
      </c>
      <c r="AE34" s="165">
        <v>-31092</v>
      </c>
      <c r="AF34" s="165">
        <v>-66440</v>
      </c>
      <c r="AG34" s="165">
        <v>-286228</v>
      </c>
      <c r="AH34" s="165">
        <v>-141230</v>
      </c>
      <c r="AI34" s="165">
        <v>-166721</v>
      </c>
      <c r="AJ34" s="165">
        <v>-87122</v>
      </c>
      <c r="AK34" s="165">
        <v>-99949</v>
      </c>
      <c r="AL34" s="218">
        <v>-94450.517840000044</v>
      </c>
      <c r="AM34" s="218">
        <v>-3265.4685200000968</v>
      </c>
      <c r="AN34" s="165">
        <v>-24960.751280000062</v>
      </c>
      <c r="AO34" s="165">
        <v>-60974.506859999979</v>
      </c>
      <c r="AP34" s="218">
        <v>126241.19564999995</v>
      </c>
      <c r="AQ34" s="165">
        <v>-18351.262299999842</v>
      </c>
      <c r="AR34" s="165">
        <v>-55551.714019901679</v>
      </c>
      <c r="AS34" s="165">
        <v>-67261.173770098059</v>
      </c>
      <c r="AT34" s="218">
        <v>-28828.34050999998</v>
      </c>
      <c r="AU34" s="218">
        <v>-129603.31743999984</v>
      </c>
      <c r="AV34" s="53"/>
      <c r="AW34" s="53"/>
    </row>
    <row r="35" spans="3:49" x14ac:dyDescent="0.35">
      <c r="C35" s="167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270"/>
      <c r="AQ35" s="168"/>
      <c r="AR35" s="168"/>
      <c r="AS35" s="168"/>
      <c r="AT35" s="270"/>
      <c r="AU35" s="270"/>
      <c r="AV35" s="53"/>
      <c r="AW35" s="53"/>
    </row>
    <row r="36" spans="3:49" x14ac:dyDescent="0.35">
      <c r="C36" s="56" t="str">
        <f>IF('Índice - Index'!$D$14="Português","VARIAÇÃO FINAL DE CAIXA","Increase (decrease) in Cash and Cash Equivalents")</f>
        <v>VARIAÇÃO FINAL DE CAIXA</v>
      </c>
      <c r="D36" s="170">
        <v>-101660.00000000003</v>
      </c>
      <c r="E36" s="170">
        <v>122623.00000000003</v>
      </c>
      <c r="F36" s="170">
        <v>114678.99999999999</v>
      </c>
      <c r="G36" s="170">
        <v>117155</v>
      </c>
      <c r="H36" s="170">
        <v>252795.17488999985</v>
      </c>
      <c r="I36" s="170">
        <v>-136027.79704399992</v>
      </c>
      <c r="J36" s="170">
        <v>121298.82253579999</v>
      </c>
      <c r="K36" s="170">
        <v>149377.017418</v>
      </c>
      <c r="L36" s="170">
        <v>-93715.121908904461</v>
      </c>
      <c r="M36" s="170">
        <v>40932.925790895533</v>
      </c>
      <c r="N36" s="170">
        <v>-120254.92579089553</v>
      </c>
      <c r="O36" s="170">
        <v>20456.000000000015</v>
      </c>
      <c r="P36" s="170">
        <v>6035.9999999999709</v>
      </c>
      <c r="Q36" s="170">
        <v>-38794.330000000016</v>
      </c>
      <c r="R36" s="170">
        <v>-132555.25579089555</v>
      </c>
      <c r="S36" s="170">
        <v>17585.330000000002</v>
      </c>
      <c r="T36" s="170">
        <v>-160883</v>
      </c>
      <c r="U36" s="170">
        <v>115362</v>
      </c>
      <c r="V36" s="170">
        <v>66411</v>
      </c>
      <c r="W36" s="170">
        <v>38476.330000000016</v>
      </c>
      <c r="X36" s="170">
        <v>-75264</v>
      </c>
      <c r="Y36" s="170">
        <v>-144316</v>
      </c>
      <c r="Z36" s="170">
        <v>43573</v>
      </c>
      <c r="AA36" s="170">
        <v>115208.49448000012</v>
      </c>
      <c r="AB36" s="170">
        <v>-60799.000000000058</v>
      </c>
      <c r="AC36" s="170">
        <v>-129491.47103999961</v>
      </c>
      <c r="AD36" s="170">
        <v>-185950.57831000024</v>
      </c>
      <c r="AE36" s="170">
        <v>-226663.55133000368</v>
      </c>
      <c r="AF36" s="170">
        <v>328762.25088651112</v>
      </c>
      <c r="AG36" s="170">
        <v>-474183.68199000781</v>
      </c>
      <c r="AH36" s="170">
        <v>-416613.20499885234</v>
      </c>
      <c r="AI36" s="170">
        <v>-406729.68989101751</v>
      </c>
      <c r="AJ36" s="170">
        <v>-198566.23811634973</v>
      </c>
      <c r="AK36" s="170">
        <v>-252594.27251366014</v>
      </c>
      <c r="AL36" s="170">
        <v>-233587.20962662483</v>
      </c>
      <c r="AM36" s="170">
        <v>-251495.20326604109</v>
      </c>
      <c r="AN36" s="170">
        <f t="shared" ref="AN36:AU36" si="10">AN39-AN38</f>
        <v>-264957.35639999987</v>
      </c>
      <c r="AO36" s="170">
        <f t="shared" si="10"/>
        <v>-140079.43775366017</v>
      </c>
      <c r="AP36" s="217">
        <f t="shared" ref="AP36:AQ36" si="11">AP39-AP38</f>
        <v>-6006.7476573209278</v>
      </c>
      <c r="AQ36" s="170">
        <f t="shared" si="11"/>
        <v>-80577.494393660949</v>
      </c>
      <c r="AR36" s="170">
        <f t="shared" si="10"/>
        <v>-20741.52609356289</v>
      </c>
      <c r="AS36" s="170">
        <f t="shared" si="10"/>
        <v>-40768.776500097127</v>
      </c>
      <c r="AT36" s="217">
        <f t="shared" si="10"/>
        <v>98484.208960098011</v>
      </c>
      <c r="AU36" s="217">
        <f t="shared" si="10"/>
        <v>-31149.243278339127</v>
      </c>
      <c r="AW36" s="53"/>
    </row>
    <row r="37" spans="3:49" x14ac:dyDescent="0.35">
      <c r="C37" s="167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270"/>
      <c r="AQ37" s="169"/>
      <c r="AR37" s="169"/>
      <c r="AS37" s="169"/>
      <c r="AT37" s="270"/>
      <c r="AU37" s="270"/>
      <c r="AV37" s="53"/>
      <c r="AW37" s="53"/>
    </row>
    <row r="38" spans="3:49" x14ac:dyDescent="0.35">
      <c r="C38" s="176" t="str">
        <f>IF('Índice - Index'!$D$14="Português","SALDO INICIAL","At the Beginning of the Period")</f>
        <v>SALDO INICIAL</v>
      </c>
      <c r="D38" s="177">
        <v>257883</v>
      </c>
      <c r="E38" s="177">
        <v>156223</v>
      </c>
      <c r="F38" s="177">
        <v>278846</v>
      </c>
      <c r="G38" s="177">
        <v>393525</v>
      </c>
      <c r="H38" s="177">
        <v>257883</v>
      </c>
      <c r="I38" s="177">
        <v>510680</v>
      </c>
      <c r="J38" s="177">
        <v>374652</v>
      </c>
      <c r="K38" s="177">
        <v>495951</v>
      </c>
      <c r="L38" s="177">
        <v>645328</v>
      </c>
      <c r="M38" s="177">
        <v>510680</v>
      </c>
      <c r="N38" s="177">
        <v>551613</v>
      </c>
      <c r="O38" s="177">
        <v>431358</v>
      </c>
      <c r="P38" s="177">
        <v>451815.07420910452</v>
      </c>
      <c r="Q38" s="177">
        <v>457851</v>
      </c>
      <c r="R38" s="177">
        <v>551612.92579089548</v>
      </c>
      <c r="S38" s="177">
        <v>419058</v>
      </c>
      <c r="T38" s="177">
        <v>436643</v>
      </c>
      <c r="U38" s="177">
        <v>275761</v>
      </c>
      <c r="V38" s="177">
        <v>391123</v>
      </c>
      <c r="W38" s="177">
        <v>419058</v>
      </c>
      <c r="X38" s="177">
        <v>457534</v>
      </c>
      <c r="Y38" s="177">
        <v>382270</v>
      </c>
      <c r="Z38" s="177">
        <v>237954</v>
      </c>
      <c r="AA38" s="177">
        <v>281527</v>
      </c>
      <c r="AB38" s="177">
        <v>457534.33</v>
      </c>
      <c r="AC38" s="177">
        <v>396735</v>
      </c>
      <c r="AD38" s="177">
        <v>396735.32999999996</v>
      </c>
      <c r="AE38" s="177">
        <v>396735.32999999996</v>
      </c>
      <c r="AF38" s="177">
        <v>396735.32999999996</v>
      </c>
      <c r="AG38" s="177">
        <v>725498</v>
      </c>
      <c r="AH38" s="177">
        <v>725498</v>
      </c>
      <c r="AI38" s="177">
        <v>725498</v>
      </c>
      <c r="AJ38" s="177">
        <v>725498</v>
      </c>
      <c r="AK38" s="177">
        <f>AJ39</f>
        <v>526931.76188365021</v>
      </c>
      <c r="AL38" s="177">
        <v>526931.76188365021</v>
      </c>
      <c r="AM38" s="177">
        <v>526931.94197702687</v>
      </c>
      <c r="AN38" s="177">
        <v>526931.88249356335</v>
      </c>
      <c r="AO38" s="177">
        <v>261974.52609356301</v>
      </c>
      <c r="AP38" s="177">
        <v>261974.52609356301</v>
      </c>
      <c r="AQ38" s="177">
        <v>261974.52609356301</v>
      </c>
      <c r="AR38" s="177">
        <v>261974.52609356301</v>
      </c>
      <c r="AS38" s="177">
        <v>241233.00000000012</v>
      </c>
      <c r="AT38" s="271">
        <v>241232.79103990205</v>
      </c>
      <c r="AU38" s="271">
        <v>241232.79103990205</v>
      </c>
      <c r="AV38" s="53"/>
      <c r="AW38" s="53"/>
    </row>
    <row r="39" spans="3:49" x14ac:dyDescent="0.35">
      <c r="C39" s="178" t="str">
        <f>IF('Índice - Index'!$D$14="Português","SALDO FINAL DE CAIXA","At the End of the Period")</f>
        <v>SALDO FINAL DE CAIXA</v>
      </c>
      <c r="D39" s="179">
        <v>156223</v>
      </c>
      <c r="E39" s="179">
        <v>278846</v>
      </c>
      <c r="F39" s="179">
        <v>393525</v>
      </c>
      <c r="G39" s="179">
        <v>510680</v>
      </c>
      <c r="H39" s="179">
        <v>510680</v>
      </c>
      <c r="I39" s="179">
        <v>374652</v>
      </c>
      <c r="J39" s="179">
        <v>495951</v>
      </c>
      <c r="K39" s="179">
        <v>645328</v>
      </c>
      <c r="L39" s="179">
        <v>551612.87809109548</v>
      </c>
      <c r="M39" s="179">
        <v>551612.92579089548</v>
      </c>
      <c r="N39" s="179">
        <v>431358.07420910447</v>
      </c>
      <c r="O39" s="179">
        <v>451815</v>
      </c>
      <c r="P39" s="179">
        <v>457852.07420910452</v>
      </c>
      <c r="Q39" s="179">
        <v>419057.67</v>
      </c>
      <c r="R39" s="179">
        <v>419057.66999999993</v>
      </c>
      <c r="S39" s="179">
        <v>436643.33</v>
      </c>
      <c r="T39" s="179">
        <v>275760</v>
      </c>
      <c r="U39" s="179">
        <v>391123</v>
      </c>
      <c r="V39" s="179">
        <v>457534</v>
      </c>
      <c r="W39" s="179">
        <v>457534.33</v>
      </c>
      <c r="X39" s="179">
        <v>382270</v>
      </c>
      <c r="Y39" s="179">
        <v>237954</v>
      </c>
      <c r="Z39" s="179">
        <v>281527</v>
      </c>
      <c r="AA39" s="179">
        <v>396735.49448000011</v>
      </c>
      <c r="AB39" s="179">
        <v>396735.32999999996</v>
      </c>
      <c r="AC39" s="179">
        <v>267243.52896000037</v>
      </c>
      <c r="AD39" s="179">
        <v>210784.91704999993</v>
      </c>
      <c r="AE39" s="179">
        <v>170071.77866999627</v>
      </c>
      <c r="AF39" s="179">
        <v>725497.58088651113</v>
      </c>
      <c r="AG39" s="179">
        <v>251314.31800999219</v>
      </c>
      <c r="AH39" s="179">
        <v>308884.79500114766</v>
      </c>
      <c r="AI39" s="179">
        <v>318767.33023898257</v>
      </c>
      <c r="AJ39" s="179">
        <v>526931.76188365021</v>
      </c>
      <c r="AK39" s="179">
        <v>274337.72748633986</v>
      </c>
      <c r="AL39" s="179">
        <v>293344.55225702538</v>
      </c>
      <c r="AM39" s="179">
        <v>275436.74660615821</v>
      </c>
      <c r="AN39" s="179">
        <v>261974.52609356347</v>
      </c>
      <c r="AO39" s="179">
        <v>121895.08833990284</v>
      </c>
      <c r="AP39" s="272">
        <v>255967.77843624208</v>
      </c>
      <c r="AQ39" s="179">
        <v>181397.03169990206</v>
      </c>
      <c r="AR39" s="179">
        <v>241233.00000000012</v>
      </c>
      <c r="AS39" s="179">
        <v>200464.22349990299</v>
      </c>
      <c r="AT39" s="272">
        <v>339717.00000000006</v>
      </c>
      <c r="AU39" s="272">
        <v>210083.54776156292</v>
      </c>
      <c r="AV39" s="53"/>
      <c r="AW39" s="53"/>
    </row>
    <row r="40" spans="3:49" x14ac:dyDescent="0.35">
      <c r="AK40" s="225"/>
      <c r="AL40" s="225"/>
    </row>
    <row r="41" spans="3:49" x14ac:dyDescent="0.35">
      <c r="C41" s="235" t="str">
        <f>IF('Índice - Index'!$D$14="Português","*Capital de giro inclui variação de titulos e valores mobiliários","*Working capital includes changes in marketable securities")</f>
        <v>*Capital de giro inclui variação de titulos e valores mobiliários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CB54"/>
  <sheetViews>
    <sheetView showGridLines="0" topLeftCell="C1" zoomScaleNormal="100" workbookViewId="0">
      <pane xSplit="1" ySplit="3" topLeftCell="BG4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H35" sqref="H35"/>
    </sheetView>
  </sheetViews>
  <sheetFormatPr defaultColWidth="9.1796875" defaultRowHeight="13.5" outlineLevelCol="1" x14ac:dyDescent="0.35"/>
  <cols>
    <col min="1" max="1" width="3" style="25" customWidth="1"/>
    <col min="2" max="2" width="4.453125" style="25" customWidth="1"/>
    <col min="3" max="3" width="39" style="25" bestFit="1" customWidth="1"/>
    <col min="4" max="4" width="11.453125" style="25" customWidth="1"/>
    <col min="5" max="5" width="10.1796875" style="25" hidden="1" customWidth="1" outlineLevel="1"/>
    <col min="6" max="7" width="10.453125" style="25" hidden="1" customWidth="1" outlineLevel="1"/>
    <col min="8" max="8" width="11.1796875" style="25" hidden="1" customWidth="1" outlineLevel="1"/>
    <col min="9" max="9" width="11.54296875" style="25" customWidth="1" collapsed="1"/>
    <col min="10" max="10" width="10.54296875" style="25" hidden="1" customWidth="1" outlineLevel="1"/>
    <col min="11" max="11" width="10.453125" style="25" hidden="1" customWidth="1" outlineLevel="1"/>
    <col min="12" max="12" width="10.1796875" style="25" hidden="1" customWidth="1" outlineLevel="1"/>
    <col min="13" max="13" width="11.54296875" style="25" hidden="1" customWidth="1" outlineLevel="1"/>
    <col min="14" max="14" width="11.453125" style="25" customWidth="1" collapsed="1"/>
    <col min="15" max="15" width="9.81640625" style="25" hidden="1" customWidth="1" outlineLevel="1"/>
    <col min="16" max="16" width="10.453125" style="25" hidden="1" customWidth="1" outlineLevel="1"/>
    <col min="17" max="17" width="10.1796875" style="25" hidden="1" customWidth="1" outlineLevel="1"/>
    <col min="18" max="18" width="11.453125" style="25" hidden="1" customWidth="1" outlineLevel="1"/>
    <col min="19" max="19" width="11.453125" style="25" customWidth="1" collapsed="1"/>
    <col min="20" max="21" width="10.453125" style="25" hidden="1" customWidth="1" outlineLevel="1"/>
    <col min="22" max="22" width="10.54296875" style="25" hidden="1" customWidth="1" outlineLevel="1"/>
    <col min="23" max="23" width="11.453125" style="25" hidden="1" customWidth="1" outlineLevel="1"/>
    <col min="24" max="24" width="12" style="25" customWidth="1" collapsed="1"/>
    <col min="25" max="25" width="9.81640625" style="25" hidden="1" customWidth="1" outlineLevel="1"/>
    <col min="26" max="26" width="11.1796875" style="25" hidden="1" customWidth="1" outlineLevel="1"/>
    <col min="27" max="27" width="10.54296875" style="25" hidden="1" customWidth="1" outlineLevel="1"/>
    <col min="28" max="28" width="11" style="25" hidden="1" customWidth="1" outlineLevel="1"/>
    <col min="29" max="29" width="11.54296875" style="25" customWidth="1" collapsed="1"/>
    <col min="30" max="30" width="10.54296875" style="25" hidden="1" customWidth="1" outlineLevel="1"/>
    <col min="31" max="31" width="11.54296875" style="25" hidden="1" customWidth="1" outlineLevel="1"/>
    <col min="32" max="32" width="10.54296875" style="25" hidden="1" customWidth="1" outlineLevel="1"/>
    <col min="33" max="33" width="11.453125" style="25" hidden="1" customWidth="1" outlineLevel="1"/>
    <col min="34" max="34" width="11.54296875" style="25" customWidth="1" collapsed="1"/>
    <col min="35" max="35" width="10.1796875" style="25" hidden="1" customWidth="1" outlineLevel="1"/>
    <col min="36" max="36" width="10.81640625" style="25" hidden="1" customWidth="1" outlineLevel="1"/>
    <col min="37" max="37" width="10.453125" style="25" hidden="1" customWidth="1" outlineLevel="1"/>
    <col min="38" max="38" width="11.1796875" style="25" hidden="1" customWidth="1" outlineLevel="1"/>
    <col min="39" max="39" width="12" style="25" customWidth="1" collapsed="1"/>
    <col min="40" max="40" width="11.54296875" style="25" hidden="1" customWidth="1" outlineLevel="1"/>
    <col min="41" max="43" width="12" style="25" hidden="1" customWidth="1" outlineLevel="1"/>
    <col min="44" max="44" width="11.81640625" style="25" customWidth="1" collapsed="1"/>
    <col min="45" max="48" width="11.81640625" style="25" hidden="1" customWidth="1" outlineLevel="1"/>
    <col min="49" max="49" width="11.81640625" style="25" customWidth="1" collapsed="1"/>
    <col min="50" max="53" width="11.81640625" style="25" hidden="1" customWidth="1" outlineLevel="1" collapsed="1"/>
    <col min="54" max="54" width="11.81640625" style="25" customWidth="1" collapsed="1"/>
    <col min="55" max="58" width="11.81640625" style="25" hidden="1" customWidth="1" outlineLevel="1" collapsed="1"/>
    <col min="59" max="59" width="11.81640625" style="25" customWidth="1" collapsed="1"/>
    <col min="60" max="60" width="11.81640625" style="25" hidden="1" customWidth="1" outlineLevel="1"/>
    <col min="61" max="61" width="10.1796875" style="25" hidden="1" customWidth="1" outlineLevel="1"/>
    <col min="62" max="62" width="10" style="25" hidden="1" customWidth="1" outlineLevel="1"/>
    <col min="63" max="63" width="15.7265625" style="25" hidden="1" customWidth="1" outlineLevel="1"/>
    <col min="64" max="64" width="15.08984375" style="25" customWidth="1" collapsed="1"/>
    <col min="65" max="67" width="15.36328125" style="25" hidden="1" customWidth="1" outlineLevel="1"/>
    <col min="68" max="68" width="11.81640625" style="25" hidden="1" customWidth="1" outlineLevel="1"/>
    <col min="69" max="69" width="11.81640625" style="25" customWidth="1" collapsed="1"/>
    <col min="70" max="72" width="11.81640625" style="25" customWidth="1" outlineLevel="1"/>
    <col min="73" max="74" width="9.1796875" style="25"/>
    <col min="75" max="75" width="14.6328125" style="25" bestFit="1" customWidth="1"/>
    <col min="76" max="76" width="11.90625" style="25" customWidth="1"/>
    <col min="77" max="77" width="9.1796875" style="25"/>
    <col min="78" max="78" width="9.54296875" style="25" bestFit="1" customWidth="1"/>
    <col min="79" max="16384" width="9.1796875" style="25"/>
  </cols>
  <sheetData>
    <row r="1" spans="1:80" x14ac:dyDescent="0.35">
      <c r="A1" s="215" t="s">
        <v>35</v>
      </c>
    </row>
    <row r="3" spans="1:80" ht="29.5" customHeight="1" x14ac:dyDescent="0.35">
      <c r="C3" s="212" t="str">
        <f>IF('Índice - Index'!$D$14="Português","Consolidado","Consolidated")</f>
        <v>Consolidado</v>
      </c>
      <c r="D3" s="26" t="s">
        <v>21</v>
      </c>
      <c r="E3" s="26" t="str">
        <f>IF('Índice - Index'!$D$14="Português","1T10","1Q10")</f>
        <v>1T10</v>
      </c>
      <c r="F3" s="26" t="str">
        <f>IF('Índice - Index'!$D$14="Português","2T10","2Q10")</f>
        <v>2T10</v>
      </c>
      <c r="G3" s="26" t="str">
        <f>IF('Índice - Index'!$D$14="Português","3T10","3Q10")</f>
        <v>3T10</v>
      </c>
      <c r="H3" s="26" t="str">
        <f>IF('Índice - Index'!$D$14="Português","4T10","4Q10")</f>
        <v>4T10</v>
      </c>
      <c r="I3" s="26" t="str">
        <f>IF('Índice - Index'!$D$14="Português","2010","2010")</f>
        <v>2010</v>
      </c>
      <c r="J3" s="26" t="str">
        <f>IF('Índice - Index'!$D$14="Português","1T11","1Q11")</f>
        <v>1T11</v>
      </c>
      <c r="K3" s="26" t="str">
        <f>IF('Índice - Index'!$D$14="Português","2T11","2Q11")</f>
        <v>2T11</v>
      </c>
      <c r="L3" s="26" t="str">
        <f>IF('Índice - Index'!$D$14="Português","3T11","3Q11")</f>
        <v>3T11</v>
      </c>
      <c r="M3" s="26" t="str">
        <f>IF('Índice - Index'!$D$14="Português","4T11","4Q11")</f>
        <v>4T11</v>
      </c>
      <c r="N3" s="26" t="str">
        <f>IF('Índice - Index'!$D$14="Português","2011","2011")</f>
        <v>2011</v>
      </c>
      <c r="O3" s="26" t="str">
        <f>IF('Índice - Index'!$D$14="Português","1T12","1Q12")</f>
        <v>1T12</v>
      </c>
      <c r="P3" s="26" t="str">
        <f>IF('Índice - Index'!$D$14="Português","2T12","2Q12")</f>
        <v>2T12</v>
      </c>
      <c r="Q3" s="26" t="str">
        <f>IF('Índice - Index'!$D$14="Português","3T12","3Q12")</f>
        <v>3T12</v>
      </c>
      <c r="R3" s="26" t="str">
        <f>IF('Índice - Index'!$D$14="Português","4T12","4Q12")</f>
        <v>4T12</v>
      </c>
      <c r="S3" s="26" t="str">
        <f>IF('Índice - Index'!$D$14="Português","2012","2012")</f>
        <v>2012</v>
      </c>
      <c r="T3" s="26" t="str">
        <f>IF('Índice - Index'!$D$14="Português","1T13","1Q13")</f>
        <v>1T13</v>
      </c>
      <c r="U3" s="26" t="str">
        <f>IF('Índice - Index'!$D$14="Português","2T13","2Q13")</f>
        <v>2T13</v>
      </c>
      <c r="V3" s="26" t="str">
        <f>IF('Índice - Index'!$D$14="Português","3T13","3Q13")</f>
        <v>3T13</v>
      </c>
      <c r="W3" s="26" t="str">
        <f>IF('Índice - Index'!$D$14="Português","4T13","4Q13")</f>
        <v>4T13</v>
      </c>
      <c r="X3" s="26" t="str">
        <f>IF('Índice - Index'!$D$14="Português","2013","2013")</f>
        <v>2013</v>
      </c>
      <c r="Y3" s="26" t="str">
        <f>IF('Índice - Index'!$D$14="Português","1T14","1Q14")</f>
        <v>1T14</v>
      </c>
      <c r="Z3" s="26" t="str">
        <f>IF('Índice - Index'!$D$14="Português","2T14","2Q14")</f>
        <v>2T14</v>
      </c>
      <c r="AA3" s="26" t="str">
        <f>IF('Índice - Index'!$D$14="Português","3T14","3Q14")</f>
        <v>3T14</v>
      </c>
      <c r="AB3" s="26" t="str">
        <f>IF('Índice - Index'!$D$14="Português","4T14","4Q14")</f>
        <v>4T14</v>
      </c>
      <c r="AC3" s="26" t="str">
        <f>IF('Índice - Index'!$D$14="Português","2014","2014")</f>
        <v>2014</v>
      </c>
      <c r="AD3" s="26" t="str">
        <f>IF('Índice - Index'!$D$14="Português","1T15","1Q15")</f>
        <v>1T15</v>
      </c>
      <c r="AE3" s="26" t="str">
        <f>IF('Índice - Index'!$D$14="Português","2T15","2Q15")</f>
        <v>2T15</v>
      </c>
      <c r="AF3" s="26" t="str">
        <f>IF('Índice - Index'!$D$14="Português","3T15","3Q15")</f>
        <v>3T15</v>
      </c>
      <c r="AG3" s="26" t="str">
        <f>IF('Índice - Index'!$D$14="Português","4T15","4Q15")</f>
        <v>4T15</v>
      </c>
      <c r="AH3" s="26" t="str">
        <f>IF('Índice - Index'!$D$14="Português","2015","2015")</f>
        <v>2015</v>
      </c>
      <c r="AI3" s="26" t="str">
        <f>IF('Índice - Index'!$D$14="Português","1T16","1Q16")</f>
        <v>1T16</v>
      </c>
      <c r="AJ3" s="26" t="str">
        <f>IF('Índice - Index'!$D$14="Português","2T16","2Q16")</f>
        <v>2T16</v>
      </c>
      <c r="AK3" s="26" t="str">
        <f>IF('Índice - Index'!$D$14="Português","3T16","3Q16")</f>
        <v>3T16</v>
      </c>
      <c r="AL3" s="26" t="str">
        <f>IF('Índice - Index'!$D$14="Português","4T16","4Q16")</f>
        <v>4T16</v>
      </c>
      <c r="AM3" s="26" t="str">
        <f>IF('Índice - Index'!$D$14="Português","2016","2016")</f>
        <v>2016</v>
      </c>
      <c r="AN3" s="26" t="str">
        <f>IF('Índice - Index'!$D$14="Português","1T17","1Q17")</f>
        <v>1T17</v>
      </c>
      <c r="AO3" s="26" t="str">
        <f>IF('Índice - Index'!$D$14="Português","2T17","2Q17")</f>
        <v>2T17</v>
      </c>
      <c r="AP3" s="26" t="str">
        <f>IF('Índice - Index'!$D$14="Português","3T17","3Q17")</f>
        <v>3T17</v>
      </c>
      <c r="AQ3" s="26" t="str">
        <f>IF('Índice - Index'!$D$14="Português","4T17","4Q17")</f>
        <v>4T17</v>
      </c>
      <c r="AR3" s="26" t="str">
        <f>IF('Índice - Index'!$D$14="Português","2017","2017")</f>
        <v>2017</v>
      </c>
      <c r="AS3" s="26" t="str">
        <f>IF('Índice - Index'!$D$14="Português","1T18","1Q18")</f>
        <v>1T18</v>
      </c>
      <c r="AT3" s="26" t="str">
        <f>IF('Índice - Index'!$D$14="Português","2T18","2Q18")</f>
        <v>2T18</v>
      </c>
      <c r="AU3" s="26" t="str">
        <f>IF('Índice - Index'!$D$14="Português","3T18","3Q18")</f>
        <v>3T18</v>
      </c>
      <c r="AV3" s="26" t="str">
        <f>IF('Índice - Index'!$D$14="Português","4T18","4Q18")</f>
        <v>4T18</v>
      </c>
      <c r="AW3" s="26" t="str">
        <f>IF('Índice - Index'!$D$14="Português","2018","2018")</f>
        <v>2018</v>
      </c>
      <c r="AX3" s="26" t="str">
        <f>IF('Índice - Index'!$D$14="Português","1T19","1Q19")</f>
        <v>1T19</v>
      </c>
      <c r="AY3" s="26" t="str">
        <f>IF('Índice - Index'!$D$14="Português","2T19","2Q19")</f>
        <v>2T19</v>
      </c>
      <c r="AZ3" s="26" t="str">
        <f>IF('Índice - Index'!$D$14="Português","3T19","3Q19")</f>
        <v>3T19</v>
      </c>
      <c r="BA3" s="26" t="str">
        <f>IF('Índice - Index'!$D$14="Português","4T19","4Q19")</f>
        <v>4T19</v>
      </c>
      <c r="BB3" s="26" t="str">
        <f>IF('Índice - Index'!$D$14="Português","2019","2019")</f>
        <v>2019</v>
      </c>
      <c r="BC3" s="26" t="str">
        <f>IF('Índice - Index'!$D$14="Português","1T20","1Q20")</f>
        <v>1T20</v>
      </c>
      <c r="BD3" s="26" t="str">
        <f>IF('Índice - Index'!$D$14="Português","2T20","2Q20")</f>
        <v>2T20</v>
      </c>
      <c r="BE3" s="26" t="str">
        <f>IF('Índice - Index'!$D$14="Português","3T20","3Q20")</f>
        <v>3T20</v>
      </c>
      <c r="BF3" s="26" t="str">
        <f>IF('Índice - Index'!$D$14="Português","4T20","4Q20")</f>
        <v>4T20</v>
      </c>
      <c r="BG3" s="26" t="str">
        <f>IF('Índice - Index'!$D$14="Português","2020","2020")</f>
        <v>2020</v>
      </c>
      <c r="BH3" s="26" t="str">
        <f>IF('Índice - Index'!$D$14="Português","1T21","1Q21")</f>
        <v>1T21</v>
      </c>
      <c r="BI3" s="26" t="str">
        <f>IF('Índice - Index'!$D$14="Português","2T21","2Q21")</f>
        <v>2T21</v>
      </c>
      <c r="BJ3" s="26" t="str">
        <f>IF('Índice - Index'!$D$14="Português","3T21","3Q21")</f>
        <v>3T21</v>
      </c>
      <c r="BK3" s="243" t="str">
        <f>IF('Índice - Index'!$D$14="Português","4T21 (reapresentado)","4Q21 (restated)")</f>
        <v>4T21 (reapresentado)</v>
      </c>
      <c r="BL3" s="243" t="str">
        <f>IF('Índice - Index'!$D$14="Português","2021 (reapresentado)","2021 (restated)")</f>
        <v>2021 (reapresentado)</v>
      </c>
      <c r="BM3" s="243" t="str">
        <f>IF('Índice - Index'!$D$14="Português","1T22 (reapresentado)","1Q22 (restated)")</f>
        <v>1T22 (reapresentado)</v>
      </c>
      <c r="BN3" s="243" t="str">
        <f>IF('Índice - Index'!$D$14="Português","2T22 (reapresentado)","2Q22 (restated)")</f>
        <v>2T22 (reapresentado)</v>
      </c>
      <c r="BO3" s="243" t="str">
        <f>IF('Índice - Index'!$D$14="Português","3T22 (reapresentado)","3Q22 (restated)")</f>
        <v>3T22 (reapresentado)</v>
      </c>
      <c r="BP3" s="243" t="str">
        <f>IF('Índice - Index'!$D$14="Português","4T22","4Q22")</f>
        <v>4T22</v>
      </c>
      <c r="BQ3" s="243" t="str">
        <f>IF('Índice - Index'!$D$14="Português","2022","2022")</f>
        <v>2022</v>
      </c>
      <c r="BR3" s="26" t="str">
        <f>IF('Índice - Index'!$D$14="Português","1T23","1Q23")</f>
        <v>1T23</v>
      </c>
      <c r="BS3" s="26" t="str">
        <f>IF('Índice - Index'!$D$14="Português","2T23","2Q23")</f>
        <v>2T23</v>
      </c>
      <c r="BT3" s="26" t="str">
        <f>IF('Índice - Index'!$D$14="Português","3T23**","3Q23**")</f>
        <v>3T23**</v>
      </c>
    </row>
    <row r="4" spans="1:80" x14ac:dyDescent="0.35"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94"/>
      <c r="AJ4" s="194"/>
      <c r="AK4" s="194"/>
      <c r="AL4" s="194"/>
      <c r="BZ4" s="250"/>
      <c r="CA4" s="250"/>
    </row>
    <row r="5" spans="1:80" x14ac:dyDescent="0.35">
      <c r="C5" s="56" t="str">
        <f>IF('Índice - Index'!$D$14="Português","RECEITA BRUTA","GROSS REVENUE")</f>
        <v>RECEITA BRUTA</v>
      </c>
      <c r="D5" s="57">
        <f t="shared" ref="D5:I5" si="0">SUM(D6:D8)</f>
        <v>2286729</v>
      </c>
      <c r="E5" s="57">
        <f t="shared" si="0"/>
        <v>485829</v>
      </c>
      <c r="F5" s="57">
        <f t="shared" si="0"/>
        <v>659393</v>
      </c>
      <c r="G5" s="57">
        <f t="shared" si="0"/>
        <v>727781</v>
      </c>
      <c r="H5" s="57">
        <f t="shared" si="0"/>
        <v>1014293</v>
      </c>
      <c r="I5" s="57">
        <f t="shared" si="0"/>
        <v>2887296</v>
      </c>
      <c r="J5" s="57">
        <f>SUM(J6:J8)</f>
        <v>630420</v>
      </c>
      <c r="K5" s="57">
        <f t="shared" ref="K5:X5" si="1">SUM(K6:K8)</f>
        <v>818527</v>
      </c>
      <c r="L5" s="57">
        <f t="shared" si="1"/>
        <v>721959</v>
      </c>
      <c r="M5" s="57">
        <f t="shared" si="1"/>
        <v>1009658</v>
      </c>
      <c r="N5" s="57">
        <f t="shared" si="1"/>
        <v>3180564</v>
      </c>
      <c r="O5" s="57">
        <f t="shared" si="1"/>
        <v>668166</v>
      </c>
      <c r="P5" s="57">
        <f t="shared" si="1"/>
        <v>905064</v>
      </c>
      <c r="Q5" s="57">
        <f t="shared" si="1"/>
        <v>942461</v>
      </c>
      <c r="R5" s="57">
        <f t="shared" si="1"/>
        <v>1228483</v>
      </c>
      <c r="S5" s="57">
        <f t="shared" si="1"/>
        <v>3744174</v>
      </c>
      <c r="T5" s="57">
        <f t="shared" si="1"/>
        <v>807606</v>
      </c>
      <c r="U5" s="57">
        <f t="shared" si="1"/>
        <v>977876</v>
      </c>
      <c r="V5" s="57">
        <f t="shared" si="1"/>
        <v>948524</v>
      </c>
      <c r="W5" s="58">
        <f t="shared" si="1"/>
        <v>1335828</v>
      </c>
      <c r="X5" s="58">
        <f t="shared" si="1"/>
        <v>4069833</v>
      </c>
      <c r="Y5" s="57">
        <v>896738.77931999997</v>
      </c>
      <c r="Z5" s="57">
        <v>1067635.0159199999</v>
      </c>
      <c r="AA5" s="57">
        <v>1017732.36467</v>
      </c>
      <c r="AB5" s="57">
        <v>1396977.7114799998</v>
      </c>
      <c r="AC5" s="57">
        <v>4379083.87139</v>
      </c>
      <c r="AD5" s="57">
        <v>874961.05695999996</v>
      </c>
      <c r="AE5" s="57">
        <v>1030061.90443</v>
      </c>
      <c r="AF5" s="57">
        <v>980343.86864</v>
      </c>
      <c r="AG5" s="57">
        <v>1253956.22438</v>
      </c>
      <c r="AH5" s="57">
        <v>4139323.0496199997</v>
      </c>
      <c r="AI5" s="57">
        <v>781264.38653999998</v>
      </c>
      <c r="AJ5" s="57">
        <v>1017359</v>
      </c>
      <c r="AK5" s="57">
        <v>809644</v>
      </c>
      <c r="AL5" s="57">
        <v>1091659</v>
      </c>
      <c r="AM5" s="57">
        <v>3699926</v>
      </c>
      <c r="AN5" s="57">
        <v>778129</v>
      </c>
      <c r="AO5" s="57">
        <v>905983</v>
      </c>
      <c r="AP5" s="57">
        <v>910879</v>
      </c>
      <c r="AQ5" s="57">
        <v>1074552</v>
      </c>
      <c r="AR5" s="57">
        <v>3669543</v>
      </c>
      <c r="AS5" s="57">
        <v>744381</v>
      </c>
      <c r="AT5" s="57">
        <v>879231</v>
      </c>
      <c r="AU5" s="57">
        <v>875478</v>
      </c>
      <c r="AV5" s="57">
        <v>1049557.9999999998</v>
      </c>
      <c r="AW5" s="57">
        <v>3548648</v>
      </c>
      <c r="AX5" s="57">
        <v>770194.39172999992</v>
      </c>
      <c r="AY5" s="57">
        <v>884519.60864999983</v>
      </c>
      <c r="AZ5" s="57">
        <v>895995.61895999999</v>
      </c>
      <c r="BA5" s="57">
        <v>1118425.9697700003</v>
      </c>
      <c r="BB5" s="57">
        <v>3669135.9697700003</v>
      </c>
      <c r="BC5" s="57">
        <v>723848.96439000021</v>
      </c>
      <c r="BD5" s="57">
        <v>330984.91835999989</v>
      </c>
      <c r="BE5" s="57">
        <v>698033.02310999995</v>
      </c>
      <c r="BF5" s="57">
        <v>1001100.0892699994</v>
      </c>
      <c r="BG5" s="57">
        <v>2753966.9951299997</v>
      </c>
      <c r="BH5" s="57">
        <f>SUM(BH6:BH8)</f>
        <v>520714.37725000014</v>
      </c>
      <c r="BI5" s="57">
        <f>SUM(BI6:BI8)</f>
        <v>793587.4860700001</v>
      </c>
      <c r="BJ5" s="57">
        <f>SUM(BJ6:BJ8)</f>
        <v>847000.97764999955</v>
      </c>
      <c r="BK5" s="57">
        <f>SUM(BK6:BK8)</f>
        <v>1083802.22713</v>
      </c>
      <c r="BL5" s="57">
        <f>BL6+BL8</f>
        <v>3257504.96361</v>
      </c>
      <c r="BM5" s="57">
        <f>SUM(BM6:BM8)</f>
        <v>743244.36446000007</v>
      </c>
      <c r="BN5" s="239">
        <f>SUM(BN6:BN8)</f>
        <v>956659.97702999995</v>
      </c>
      <c r="BO5" s="57">
        <f>SUM(BO6:BO8)</f>
        <v>817997.75584000011</v>
      </c>
      <c r="BP5" s="57">
        <f>SUM(BP6:BP8)</f>
        <v>1084463.3246499996</v>
      </c>
      <c r="BQ5" s="57">
        <f>BQ6+BQ8</f>
        <v>3599092.4219799996</v>
      </c>
      <c r="BR5" s="57">
        <f>SUM(BR6:BR8)</f>
        <v>728333.24718000006</v>
      </c>
      <c r="BS5" s="57">
        <f>SUM(BS6:BS8)</f>
        <v>723801.6278400002</v>
      </c>
      <c r="BT5" s="57">
        <f>SUM(BT6:BT8)</f>
        <v>412613.55057499994</v>
      </c>
      <c r="BZ5" s="253"/>
      <c r="CA5" s="252"/>
    </row>
    <row r="6" spans="1:80" x14ac:dyDescent="0.35">
      <c r="C6" s="59" t="str">
        <f>IF('Índice - Index'!$D$14="Português","Varejo - Receita Bruta","Retail - Gross Revenue")</f>
        <v>Varejo - Receita Bruta</v>
      </c>
      <c r="D6" s="60">
        <v>1955850</v>
      </c>
      <c r="E6" s="60">
        <v>401756</v>
      </c>
      <c r="F6" s="60">
        <v>567544</v>
      </c>
      <c r="G6" s="60">
        <v>623914</v>
      </c>
      <c r="H6" s="60">
        <v>723982</v>
      </c>
      <c r="I6" s="60">
        <v>2317196</v>
      </c>
      <c r="J6" s="60">
        <v>508554</v>
      </c>
      <c r="K6" s="61">
        <v>694618</v>
      </c>
      <c r="L6" s="61">
        <v>615014</v>
      </c>
      <c r="M6" s="61">
        <v>893770</v>
      </c>
      <c r="N6" s="61">
        <v>2711956</v>
      </c>
      <c r="O6" s="61">
        <v>552026</v>
      </c>
      <c r="P6" s="61">
        <v>790321</v>
      </c>
      <c r="Q6" s="61">
        <v>822394</v>
      </c>
      <c r="R6" s="61">
        <v>1089213</v>
      </c>
      <c r="S6" s="61">
        <v>3253954</v>
      </c>
      <c r="T6" s="61">
        <v>658295</v>
      </c>
      <c r="U6" s="61">
        <v>822910</v>
      </c>
      <c r="V6" s="61">
        <v>798556</v>
      </c>
      <c r="W6" s="60">
        <v>1184228</v>
      </c>
      <c r="X6" s="60">
        <v>3463988</v>
      </c>
      <c r="Y6" s="61">
        <v>703992.00542000006</v>
      </c>
      <c r="Z6" s="61">
        <v>878690.37708999997</v>
      </c>
      <c r="AA6" s="61">
        <v>828366.65084000002</v>
      </c>
      <c r="AB6" s="61">
        <v>1204064.4395599999</v>
      </c>
      <c r="AC6" s="61">
        <v>3615113.47291</v>
      </c>
      <c r="AD6" s="61">
        <v>684201.17</v>
      </c>
      <c r="AE6" s="61">
        <v>848291.67801999999</v>
      </c>
      <c r="AF6" s="61">
        <v>809359.81377999997</v>
      </c>
      <c r="AG6" s="61">
        <v>1088552.3382000001</v>
      </c>
      <c r="AH6" s="61">
        <v>3430405</v>
      </c>
      <c r="AI6" s="61">
        <v>621354.36465999996</v>
      </c>
      <c r="AJ6" s="61">
        <v>856649</v>
      </c>
      <c r="AK6" s="61">
        <v>647940</v>
      </c>
      <c r="AL6" s="61">
        <v>925235</v>
      </c>
      <c r="AM6" s="61">
        <v>3051178</v>
      </c>
      <c r="AN6" s="61">
        <v>605453</v>
      </c>
      <c r="AO6" s="61">
        <v>734809</v>
      </c>
      <c r="AP6" s="61">
        <v>746637</v>
      </c>
      <c r="AQ6" s="61">
        <v>907860</v>
      </c>
      <c r="AR6" s="61">
        <v>2994759</v>
      </c>
      <c r="AS6" s="61">
        <v>577614</v>
      </c>
      <c r="AT6" s="61">
        <v>714369</v>
      </c>
      <c r="AU6" s="61">
        <v>726451.47745631705</v>
      </c>
      <c r="AV6" s="61">
        <v>889938.86957039987</v>
      </c>
      <c r="AW6" s="61">
        <v>2908373.3470267169</v>
      </c>
      <c r="AX6" s="61">
        <v>610695.45091595</v>
      </c>
      <c r="AY6" s="61">
        <v>726661.21354364965</v>
      </c>
      <c r="AZ6" s="61">
        <v>743139.4122889</v>
      </c>
      <c r="BA6" s="61">
        <v>946359.935788</v>
      </c>
      <c r="BB6" s="61">
        <v>3026855.935788</v>
      </c>
      <c r="BC6" s="61">
        <v>559000.79608802509</v>
      </c>
      <c r="BD6" s="61">
        <v>200340.8234560251</v>
      </c>
      <c r="BE6" s="61">
        <v>600934.06131997472</v>
      </c>
      <c r="BF6" s="61">
        <v>884143.71230597468</v>
      </c>
      <c r="BG6" s="61">
        <v>2244419.3931699996</v>
      </c>
      <c r="BH6" s="61">
        <v>390478.24053277512</v>
      </c>
      <c r="BI6" s="61">
        <v>662689.30113722477</v>
      </c>
      <c r="BJ6" s="61">
        <v>712497.89095999976</v>
      </c>
      <c r="BK6" s="61">
        <v>943081.36814999999</v>
      </c>
      <c r="BL6" s="61">
        <v>2708746.8007799997</v>
      </c>
      <c r="BM6" s="61">
        <v>585682.32918</v>
      </c>
      <c r="BN6" s="244">
        <v>806261.31138999993</v>
      </c>
      <c r="BO6" s="61">
        <v>689307.39048000006</v>
      </c>
      <c r="BP6" s="61">
        <v>943742.4656699996</v>
      </c>
      <c r="BQ6" s="61">
        <v>3013124.6926299995</v>
      </c>
      <c r="BR6" s="61">
        <v>591166.19491000008</v>
      </c>
      <c r="BS6" s="61">
        <v>632833.62793000019</v>
      </c>
      <c r="BT6" s="61">
        <v>350466.38593999995</v>
      </c>
      <c r="BZ6" s="252"/>
      <c r="CA6" s="253"/>
    </row>
    <row r="7" spans="1:80" x14ac:dyDescent="0.35">
      <c r="C7" s="59" t="str">
        <f>IF('Índice - Index'!$D$14="Português","Mserviços - Receita Bruta","Mserviços - Gross Revenue")</f>
        <v>Mserviços - Receita Bruta</v>
      </c>
      <c r="D7" s="60"/>
      <c r="E7" s="60"/>
      <c r="F7" s="60"/>
      <c r="G7" s="60"/>
      <c r="H7" s="60"/>
      <c r="I7" s="60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0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244"/>
      <c r="BO7" s="61">
        <v>36389.218330000003</v>
      </c>
      <c r="BP7" s="61"/>
      <c r="BQ7" s="61"/>
      <c r="BR7" s="61"/>
      <c r="BS7" s="61"/>
      <c r="BT7" s="61">
        <v>5841.8883499999993</v>
      </c>
      <c r="BZ7" s="252"/>
      <c r="CA7" s="253"/>
    </row>
    <row r="8" spans="1:80" x14ac:dyDescent="0.35">
      <c r="C8" s="59" t="str">
        <f>IF('Índice - Index'!$D$14="Português","Mbank - Receita Bruta","Mbank - Gross Revenue")</f>
        <v>Mbank - Receita Bruta</v>
      </c>
      <c r="D8" s="60">
        <v>330879</v>
      </c>
      <c r="E8" s="60">
        <v>84073</v>
      </c>
      <c r="F8" s="60">
        <v>91849</v>
      </c>
      <c r="G8" s="60">
        <v>103867</v>
      </c>
      <c r="H8" s="60">
        <v>290311</v>
      </c>
      <c r="I8" s="60">
        <v>570100</v>
      </c>
      <c r="J8" s="60">
        <v>121866</v>
      </c>
      <c r="K8" s="61">
        <v>123909</v>
      </c>
      <c r="L8" s="61">
        <v>106945</v>
      </c>
      <c r="M8" s="61">
        <v>115888</v>
      </c>
      <c r="N8" s="61">
        <v>468608</v>
      </c>
      <c r="O8" s="61">
        <v>116140</v>
      </c>
      <c r="P8" s="61">
        <v>114743</v>
      </c>
      <c r="Q8" s="61">
        <v>120067</v>
      </c>
      <c r="R8" s="61">
        <v>139270</v>
      </c>
      <c r="S8" s="61">
        <v>490220</v>
      </c>
      <c r="T8" s="61">
        <v>149311</v>
      </c>
      <c r="U8" s="61">
        <v>154966</v>
      </c>
      <c r="V8" s="61">
        <v>149968</v>
      </c>
      <c r="W8" s="60">
        <v>151600</v>
      </c>
      <c r="X8" s="60">
        <v>605845</v>
      </c>
      <c r="Y8" s="61">
        <v>192746.7739</v>
      </c>
      <c r="Z8" s="61">
        <v>188944.63883000001</v>
      </c>
      <c r="AA8" s="61">
        <v>189365.71382999999</v>
      </c>
      <c r="AB8" s="61">
        <v>192913.27191999997</v>
      </c>
      <c r="AC8" s="61">
        <v>763970.39847999997</v>
      </c>
      <c r="AD8" s="61">
        <v>190759.88217</v>
      </c>
      <c r="AE8" s="61">
        <v>181770.22641</v>
      </c>
      <c r="AF8" s="61">
        <v>170984.05486000003</v>
      </c>
      <c r="AG8" s="61">
        <v>165403.88617999991</v>
      </c>
      <c r="AH8" s="61">
        <v>708918.04961999995</v>
      </c>
      <c r="AI8" s="61">
        <v>159910.02188000001</v>
      </c>
      <c r="AJ8" s="61">
        <v>160710</v>
      </c>
      <c r="AK8" s="61">
        <v>161704</v>
      </c>
      <c r="AL8" s="61">
        <v>166424</v>
      </c>
      <c r="AM8" s="61">
        <v>648748</v>
      </c>
      <c r="AN8" s="61">
        <v>172676</v>
      </c>
      <c r="AO8" s="61">
        <v>171174</v>
      </c>
      <c r="AP8" s="61">
        <v>164242</v>
      </c>
      <c r="AQ8" s="61">
        <v>166692</v>
      </c>
      <c r="AR8" s="61">
        <v>674784</v>
      </c>
      <c r="AS8" s="61">
        <v>166767</v>
      </c>
      <c r="AT8" s="61">
        <v>164862</v>
      </c>
      <c r="AU8" s="61">
        <v>149026.52254368301</v>
      </c>
      <c r="AV8" s="61">
        <v>159619.13042959984</v>
      </c>
      <c r="AW8" s="61">
        <v>640274.65297328285</v>
      </c>
      <c r="AX8" s="61">
        <v>159498.94081404991</v>
      </c>
      <c r="AY8" s="61">
        <v>157858.39510635019</v>
      </c>
      <c r="AZ8" s="61">
        <v>152856.20667109999</v>
      </c>
      <c r="BA8" s="61">
        <v>172066.0339820002</v>
      </c>
      <c r="BB8" s="61">
        <v>642280.0339820002</v>
      </c>
      <c r="BC8" s="61">
        <v>164848.16830197512</v>
      </c>
      <c r="BD8" s="61">
        <v>130644.09490397479</v>
      </c>
      <c r="BE8" s="61">
        <v>97098.961790025234</v>
      </c>
      <c r="BF8" s="61">
        <v>116956.37696402479</v>
      </c>
      <c r="BG8" s="61">
        <v>509547.60195999994</v>
      </c>
      <c r="BH8" s="61">
        <v>130236.13671722499</v>
      </c>
      <c r="BI8" s="61">
        <v>130898.1849327753</v>
      </c>
      <c r="BJ8" s="61">
        <v>134503.08668999982</v>
      </c>
      <c r="BK8" s="61">
        <v>140720.85897999999</v>
      </c>
      <c r="BL8" s="61">
        <v>548758.16283000004</v>
      </c>
      <c r="BM8" s="61">
        <v>157562.03528000001</v>
      </c>
      <c r="BN8" s="244">
        <v>150398.66563999999</v>
      </c>
      <c r="BO8" s="61">
        <v>92301.147030000022</v>
      </c>
      <c r="BP8" s="61">
        <v>140720.85897999999</v>
      </c>
      <c r="BQ8" s="61">
        <v>585967.72935000004</v>
      </c>
      <c r="BR8" s="61">
        <v>137167.05226999999</v>
      </c>
      <c r="BS8" s="61">
        <v>90967.999909999984</v>
      </c>
      <c r="BT8" s="61">
        <v>56305.276284999993</v>
      </c>
      <c r="BZ8" s="252"/>
      <c r="CA8" s="253"/>
    </row>
    <row r="9" spans="1:80" x14ac:dyDescent="0.35">
      <c r="C9" s="62"/>
      <c r="D9" s="63"/>
      <c r="E9" s="63"/>
      <c r="F9" s="63"/>
      <c r="G9" s="63"/>
      <c r="H9" s="63"/>
      <c r="I9" s="63"/>
      <c r="J9" s="63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3"/>
      <c r="X9" s="63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245"/>
      <c r="BO9" s="64"/>
      <c r="BP9" s="64"/>
      <c r="BQ9" s="61"/>
      <c r="BR9" s="64"/>
      <c r="BS9" s="64"/>
      <c r="BT9" s="64"/>
      <c r="BZ9" s="252"/>
      <c r="CA9" s="253"/>
    </row>
    <row r="10" spans="1:80" s="65" customFormat="1" x14ac:dyDescent="0.35">
      <c r="C10" s="56" t="str">
        <f>IF('Índice - Index'!$D$14="Português","Tributos sobre Receita","Taxes on sales")</f>
        <v>Tributos sobre Receita</v>
      </c>
      <c r="D10" s="58">
        <v>-530986</v>
      </c>
      <c r="E10" s="58">
        <v>-107832</v>
      </c>
      <c r="F10" s="58">
        <v>-152637</v>
      </c>
      <c r="G10" s="58">
        <v>-244103</v>
      </c>
      <c r="H10" s="58">
        <v>-307041</v>
      </c>
      <c r="I10" s="58">
        <v>-811613</v>
      </c>
      <c r="J10" s="58">
        <v>-136327</v>
      </c>
      <c r="K10" s="57">
        <v>-185775</v>
      </c>
      <c r="L10" s="57">
        <v>-163685</v>
      </c>
      <c r="M10" s="57">
        <v>-244462</v>
      </c>
      <c r="N10" s="57">
        <v>-730249</v>
      </c>
      <c r="O10" s="57">
        <v>-148231</v>
      </c>
      <c r="P10" s="57">
        <v>-211602</v>
      </c>
      <c r="Q10" s="57">
        <v>-212529</v>
      </c>
      <c r="R10" s="57">
        <v>-294424</v>
      </c>
      <c r="S10" s="57">
        <v>-866786</v>
      </c>
      <c r="T10" s="57">
        <v>-178948</v>
      </c>
      <c r="U10" s="57">
        <v>-233266</v>
      </c>
      <c r="V10" s="57">
        <v>-225998</v>
      </c>
      <c r="W10" s="58">
        <v>-336232</v>
      </c>
      <c r="X10" s="58">
        <v>-977823</v>
      </c>
      <c r="Y10" s="57">
        <v>-198913.77932</v>
      </c>
      <c r="Z10" s="57">
        <v>-255086.01591999998</v>
      </c>
      <c r="AA10" s="57">
        <v>-240880.36467000001</v>
      </c>
      <c r="AB10" s="57">
        <v>-339610.71147999982</v>
      </c>
      <c r="AC10" s="57">
        <v>-1034490.8713899999</v>
      </c>
      <c r="AD10" s="57">
        <v>-195043.05695999999</v>
      </c>
      <c r="AE10" s="57">
        <v>-240695.90442999997</v>
      </c>
      <c r="AF10" s="57">
        <v>-233118.86385000008</v>
      </c>
      <c r="AG10" s="57">
        <v>-305559.22438000003</v>
      </c>
      <c r="AH10" s="57">
        <v>-974417.04961999995</v>
      </c>
      <c r="AI10" s="57">
        <v>-172777.38653999998</v>
      </c>
      <c r="AJ10" s="57">
        <v>-235955</v>
      </c>
      <c r="AK10" s="57">
        <v>-180429</v>
      </c>
      <c r="AL10" s="57">
        <v>-257980</v>
      </c>
      <c r="AM10" s="57">
        <v>-847141</v>
      </c>
      <c r="AN10" s="57">
        <v>-162699</v>
      </c>
      <c r="AO10" s="57">
        <v>-194294</v>
      </c>
      <c r="AP10" s="57">
        <v>-197988</v>
      </c>
      <c r="AQ10" s="57">
        <v>-238985</v>
      </c>
      <c r="AR10" s="57">
        <v>-793966</v>
      </c>
      <c r="AS10" s="57">
        <v>-155736</v>
      </c>
      <c r="AT10" s="57">
        <v>-189417</v>
      </c>
      <c r="AU10" s="57">
        <v>-188672</v>
      </c>
      <c r="AV10" s="57">
        <v>-248524</v>
      </c>
      <c r="AW10" s="57">
        <v>-782349</v>
      </c>
      <c r="AX10" s="57">
        <v>-165579.53495000003</v>
      </c>
      <c r="AY10" s="57">
        <v>-194291.40417000002</v>
      </c>
      <c r="AZ10" s="57">
        <v>-198515.81858999998</v>
      </c>
      <c r="BA10" s="57">
        <v>-218648.56096000003</v>
      </c>
      <c r="BB10" s="57">
        <v>-777035.31867000007</v>
      </c>
      <c r="BC10" s="57">
        <v>-152073.46838000001</v>
      </c>
      <c r="BD10" s="57">
        <v>-48874.028369999964</v>
      </c>
      <c r="BE10" s="57">
        <v>-157553.48957999999</v>
      </c>
      <c r="BF10" s="57">
        <v>-231834.00826999979</v>
      </c>
      <c r="BG10" s="57">
        <v>-590334.99459999986</v>
      </c>
      <c r="BH10" s="57">
        <v>-105280.51559000002</v>
      </c>
      <c r="BI10" s="57">
        <v>-182486.09191000002</v>
      </c>
      <c r="BJ10" s="57">
        <v>-191125.46028999996</v>
      </c>
      <c r="BK10" s="57">
        <v>-252391.79642</v>
      </c>
      <c r="BL10" s="57">
        <v>-731283.77229999984</v>
      </c>
      <c r="BM10" s="57">
        <v>-160636.67324</v>
      </c>
      <c r="BN10" s="239">
        <v>-216249.45269000003</v>
      </c>
      <c r="BO10" s="57">
        <v>-183213.10541999992</v>
      </c>
      <c r="BP10" s="57">
        <v>-254070.47886000003</v>
      </c>
      <c r="BQ10" s="57">
        <v>-814169.71021000005</v>
      </c>
      <c r="BR10" s="57">
        <v>-157998.86502</v>
      </c>
      <c r="BS10" s="57">
        <v>-168672.00376999998</v>
      </c>
      <c r="BT10" s="57">
        <v>-97951.012609999991</v>
      </c>
      <c r="BZ10" s="252"/>
      <c r="CA10" s="253"/>
    </row>
    <row r="11" spans="1:80" x14ac:dyDescent="0.35">
      <c r="C11" s="62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3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262"/>
      <c r="BO11" s="194"/>
      <c r="BP11" s="194"/>
      <c r="BQ11" s="194"/>
      <c r="BR11" s="194"/>
      <c r="BS11" s="194"/>
      <c r="BT11" s="194"/>
      <c r="BZ11" s="254"/>
      <c r="CA11" s="255"/>
    </row>
    <row r="12" spans="1:80" x14ac:dyDescent="0.35">
      <c r="C12" s="56" t="str">
        <f>IF('Índice - Index'!$D$14="Português","RECEITA LIQUIDA","NET REVENUE")</f>
        <v>RECEITA LIQUIDA</v>
      </c>
      <c r="D12" s="57">
        <v>1755743</v>
      </c>
      <c r="E12" s="57">
        <f t="shared" ref="E12:N12" si="2">SUM(E13:E16)</f>
        <v>377997</v>
      </c>
      <c r="F12" s="57">
        <f t="shared" si="2"/>
        <v>506756</v>
      </c>
      <c r="G12" s="57">
        <f t="shared" si="2"/>
        <v>483678</v>
      </c>
      <c r="H12" s="57">
        <f t="shared" si="2"/>
        <v>707252</v>
      </c>
      <c r="I12" s="57">
        <f t="shared" si="2"/>
        <v>2075683</v>
      </c>
      <c r="J12" s="57">
        <f t="shared" si="2"/>
        <v>494093</v>
      </c>
      <c r="K12" s="57">
        <f t="shared" si="2"/>
        <v>632752</v>
      </c>
      <c r="L12" s="57">
        <f t="shared" si="2"/>
        <v>558274</v>
      </c>
      <c r="M12" s="57">
        <f t="shared" si="2"/>
        <v>765196</v>
      </c>
      <c r="N12" s="57">
        <f t="shared" si="2"/>
        <v>2450315</v>
      </c>
      <c r="O12" s="57">
        <f t="shared" ref="O12:X12" si="3">SUM(O13:O16)</f>
        <v>519935</v>
      </c>
      <c r="P12" s="57">
        <f t="shared" si="3"/>
        <v>698687</v>
      </c>
      <c r="Q12" s="57">
        <f t="shared" si="3"/>
        <v>729932</v>
      </c>
      <c r="R12" s="57">
        <f t="shared" si="3"/>
        <v>934059</v>
      </c>
      <c r="S12" s="57">
        <f t="shared" si="3"/>
        <v>2877388</v>
      </c>
      <c r="T12" s="57">
        <f t="shared" si="3"/>
        <v>628658</v>
      </c>
      <c r="U12" s="57">
        <f t="shared" si="3"/>
        <v>744610</v>
      </c>
      <c r="V12" s="57">
        <f t="shared" si="3"/>
        <v>722526</v>
      </c>
      <c r="W12" s="58">
        <f t="shared" si="3"/>
        <v>999596</v>
      </c>
      <c r="X12" s="58">
        <f t="shared" si="3"/>
        <v>3092011</v>
      </c>
      <c r="Y12" s="57">
        <v>697825</v>
      </c>
      <c r="Z12" s="57">
        <v>812549</v>
      </c>
      <c r="AA12" s="57">
        <v>776852</v>
      </c>
      <c r="AB12" s="57">
        <v>1057367</v>
      </c>
      <c r="AC12" s="57">
        <v>3344593</v>
      </c>
      <c r="AD12" s="57">
        <v>679918</v>
      </c>
      <c r="AE12" s="57">
        <v>789366</v>
      </c>
      <c r="AF12" s="57">
        <v>747225</v>
      </c>
      <c r="AG12" s="57">
        <v>948397</v>
      </c>
      <c r="AH12" s="57">
        <v>3164906</v>
      </c>
      <c r="AI12" s="57">
        <v>608487</v>
      </c>
      <c r="AJ12" s="57">
        <v>781404</v>
      </c>
      <c r="AK12" s="57">
        <v>629215</v>
      </c>
      <c r="AL12" s="57">
        <v>833679</v>
      </c>
      <c r="AM12" s="57">
        <v>2852785</v>
      </c>
      <c r="AN12" s="57">
        <v>615430</v>
      </c>
      <c r="AO12" s="57">
        <v>711689</v>
      </c>
      <c r="AP12" s="57">
        <v>712891</v>
      </c>
      <c r="AQ12" s="57">
        <v>835567</v>
      </c>
      <c r="AR12" s="57">
        <v>2875577</v>
      </c>
      <c r="AS12" s="57">
        <v>588645</v>
      </c>
      <c r="AT12" s="57">
        <v>689814</v>
      </c>
      <c r="AU12" s="57">
        <v>686806</v>
      </c>
      <c r="AV12" s="57">
        <v>801033.99999999977</v>
      </c>
      <c r="AW12" s="57">
        <v>2766299</v>
      </c>
      <c r="AX12" s="57">
        <v>604614.8567799998</v>
      </c>
      <c r="AY12" s="57">
        <v>690228.20447999972</v>
      </c>
      <c r="AZ12" s="57">
        <v>697479.80037000007</v>
      </c>
      <c r="BA12" s="57">
        <v>899777.40881000028</v>
      </c>
      <c r="BB12" s="57">
        <v>2892100.6511000004</v>
      </c>
      <c r="BC12" s="57">
        <v>571775.49601000024</v>
      </c>
      <c r="BD12" s="57">
        <v>282110.88998999994</v>
      </c>
      <c r="BE12" s="57">
        <v>540479.5335299999</v>
      </c>
      <c r="BF12" s="57">
        <v>769266.08099999989</v>
      </c>
      <c r="BG12" s="57">
        <v>2163632.0005299998</v>
      </c>
      <c r="BH12" s="57">
        <v>415433.86166000011</v>
      </c>
      <c r="BI12" s="57">
        <f>SUM(BI13:BI15)</f>
        <v>611101.39415999991</v>
      </c>
      <c r="BJ12" s="57">
        <f>SUM(BJ13:BJ15)</f>
        <v>655875.6092699999</v>
      </c>
      <c r="BK12" s="57">
        <f>SUM(BK13:BK15)</f>
        <v>843810.32621999993</v>
      </c>
      <c r="BL12" s="57">
        <f>BL15+BL13</f>
        <v>2526221.1913099997</v>
      </c>
      <c r="BM12" s="57">
        <f>SUM(BM13:BM15)</f>
        <v>582607.69122000004</v>
      </c>
      <c r="BN12" s="239">
        <f>SUM(BN13:BN15)</f>
        <v>740410.52433999989</v>
      </c>
      <c r="BO12" s="57">
        <f>SUM(BO13:BO15)</f>
        <v>634784.65042000019</v>
      </c>
      <c r="BP12" s="57">
        <f>SUM(BP13:BP15)</f>
        <v>830392.84578999958</v>
      </c>
      <c r="BQ12" s="57">
        <v>2784922.7117699999</v>
      </c>
      <c r="BR12" s="57">
        <f>SUM(BR13:BR15)</f>
        <v>570334.38216000004</v>
      </c>
      <c r="BS12" s="57">
        <f>SUM(BS13:BS15)</f>
        <v>555129.62407000014</v>
      </c>
      <c r="BT12" s="57">
        <f>SUM(BT13:BT15)</f>
        <v>316449.40148499992</v>
      </c>
      <c r="CA12" s="252"/>
      <c r="CB12" s="253"/>
    </row>
    <row r="13" spans="1:80" x14ac:dyDescent="0.35">
      <c r="C13" s="59" t="str">
        <f>IF('Índice - Index'!$D$14="Português","Varejo - Receita Líquida","Retail - Net Revenue")</f>
        <v>Varejo - Receita Líquida</v>
      </c>
      <c r="D13" s="61">
        <v>1434559</v>
      </c>
      <c r="E13" s="61">
        <v>295843</v>
      </c>
      <c r="F13" s="61">
        <v>417122</v>
      </c>
      <c r="G13" s="61">
        <v>388848</v>
      </c>
      <c r="H13" s="61">
        <v>600950</v>
      </c>
      <c r="I13" s="61">
        <v>1702763</v>
      </c>
      <c r="J13" s="61">
        <v>374377</v>
      </c>
      <c r="K13" s="61">
        <v>511241</v>
      </c>
      <c r="L13" s="61">
        <v>453589</v>
      </c>
      <c r="M13" s="61">
        <v>651056</v>
      </c>
      <c r="N13" s="61">
        <v>1990263</v>
      </c>
      <c r="O13" s="61">
        <v>405933</v>
      </c>
      <c r="P13" s="61">
        <v>581432</v>
      </c>
      <c r="Q13" s="61">
        <v>612887</v>
      </c>
      <c r="R13" s="61">
        <v>798684</v>
      </c>
      <c r="S13" s="61">
        <v>2398936</v>
      </c>
      <c r="T13" s="61">
        <v>483734</v>
      </c>
      <c r="U13" s="61">
        <v>594526</v>
      </c>
      <c r="V13" s="61">
        <v>577665</v>
      </c>
      <c r="W13" s="61">
        <v>859085</v>
      </c>
      <c r="X13" s="61">
        <v>2515010</v>
      </c>
      <c r="Y13" s="61">
        <v>510252</v>
      </c>
      <c r="Z13" s="61">
        <v>629528</v>
      </c>
      <c r="AA13" s="61">
        <v>592862</v>
      </c>
      <c r="AB13" s="61">
        <v>870224</v>
      </c>
      <c r="AC13" s="61">
        <v>2602866</v>
      </c>
      <c r="AD13" s="61">
        <v>494203</v>
      </c>
      <c r="AE13" s="61">
        <v>612980</v>
      </c>
      <c r="AF13" s="61">
        <v>584282</v>
      </c>
      <c r="AG13" s="61">
        <v>791064</v>
      </c>
      <c r="AH13" s="61">
        <v>2482530</v>
      </c>
      <c r="AI13" s="61">
        <v>454238</v>
      </c>
      <c r="AJ13" s="61">
        <v>624095</v>
      </c>
      <c r="AK13" s="61">
        <v>471962</v>
      </c>
      <c r="AL13" s="61">
        <v>673799</v>
      </c>
      <c r="AM13" s="61">
        <v>2224094</v>
      </c>
      <c r="AN13" s="61">
        <v>449478</v>
      </c>
      <c r="AO13" s="61">
        <v>547325</v>
      </c>
      <c r="AP13" s="61">
        <v>555891</v>
      </c>
      <c r="AQ13" s="61">
        <v>676274</v>
      </c>
      <c r="AR13" s="61">
        <v>2228968</v>
      </c>
      <c r="AS13" s="61">
        <v>429333</v>
      </c>
      <c r="AT13" s="61">
        <v>531971</v>
      </c>
      <c r="AU13" s="61">
        <v>540308.47745631705</v>
      </c>
      <c r="AV13" s="61">
        <v>661389.86957039987</v>
      </c>
      <c r="AW13" s="61">
        <v>2163002.3470267169</v>
      </c>
      <c r="AX13" s="61">
        <v>455238.82546595001</v>
      </c>
      <c r="AY13" s="61">
        <v>542001.4721936495</v>
      </c>
      <c r="AZ13" s="61">
        <v>550700.52541890007</v>
      </c>
      <c r="BA13" s="61">
        <v>707911.16459799977</v>
      </c>
      <c r="BB13" s="61">
        <v>2255852.1645979998</v>
      </c>
      <c r="BC13" s="61">
        <v>417008.2548180251</v>
      </c>
      <c r="BD13" s="61">
        <v>149088.45264602517</v>
      </c>
      <c r="BE13" s="61">
        <v>446617.3929999746</v>
      </c>
      <c r="BF13" s="61">
        <v>656809.46657597506</v>
      </c>
      <c r="BG13" s="61">
        <v>1669523.5670399999</v>
      </c>
      <c r="BH13" s="61">
        <v>290003.52068277512</v>
      </c>
      <c r="BI13" s="61">
        <v>492154.81233194988</v>
      </c>
      <c r="BJ13" s="61">
        <v>530108.95394114987</v>
      </c>
      <c r="BK13" s="61">
        <v>702168.76204534993</v>
      </c>
      <c r="BL13" s="61">
        <v>2014436.0490012248</v>
      </c>
      <c r="BM13" s="61">
        <v>434773.065706725</v>
      </c>
      <c r="BN13" s="244">
        <v>599257.54855739989</v>
      </c>
      <c r="BO13" s="61">
        <v>513353.95144000009</v>
      </c>
      <c r="BP13" s="61">
        <v>698171.55708797462</v>
      </c>
      <c r="BQ13" s="61">
        <v>2235294.4249436744</v>
      </c>
      <c r="BR13" s="61">
        <v>440468.74458940007</v>
      </c>
      <c r="BS13" s="61">
        <v>469906.95236362517</v>
      </c>
      <c r="BT13" s="61">
        <v>258795.84782999996</v>
      </c>
      <c r="CB13" s="253"/>
    </row>
    <row r="14" spans="1:80" x14ac:dyDescent="0.35">
      <c r="C14" s="59" t="str">
        <f>IF('Índice - Index'!$D$14="Português","Mserviços - Receita Líquida","Mserviços - Net Revenue")</f>
        <v>Mserviços - Receita Líquida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244"/>
      <c r="BO14" s="61">
        <v>33724.335010000003</v>
      </c>
      <c r="BP14" s="61"/>
      <c r="BQ14" s="61"/>
      <c r="BR14" s="61"/>
      <c r="BS14" s="61"/>
      <c r="BT14" s="61">
        <v>4963.8685499999992</v>
      </c>
      <c r="CB14" s="253"/>
    </row>
    <row r="15" spans="1:80" x14ac:dyDescent="0.35">
      <c r="C15" s="59" t="str">
        <f>IF('Índice - Index'!$D$14="Português","Mbank - Receita Líquida","Mbank - Net Revenue")</f>
        <v>Mbank - Receita Líquida</v>
      </c>
      <c r="D15" s="61">
        <v>321184</v>
      </c>
      <c r="E15" s="61">
        <v>82154</v>
      </c>
      <c r="F15" s="61">
        <v>89634</v>
      </c>
      <c r="G15" s="61">
        <v>94830</v>
      </c>
      <c r="H15" s="61">
        <v>106302</v>
      </c>
      <c r="I15" s="61">
        <v>372920</v>
      </c>
      <c r="J15" s="61">
        <v>119716</v>
      </c>
      <c r="K15" s="61">
        <v>121511</v>
      </c>
      <c r="L15" s="61">
        <v>104685</v>
      </c>
      <c r="M15" s="61">
        <v>114140</v>
      </c>
      <c r="N15" s="61">
        <v>460052</v>
      </c>
      <c r="O15" s="61">
        <v>114002</v>
      </c>
      <c r="P15" s="61">
        <v>117255</v>
      </c>
      <c r="Q15" s="61">
        <v>117045</v>
      </c>
      <c r="R15" s="61">
        <v>135375</v>
      </c>
      <c r="S15" s="61">
        <v>478452</v>
      </c>
      <c r="T15" s="61">
        <v>144924</v>
      </c>
      <c r="U15" s="61">
        <v>150084</v>
      </c>
      <c r="V15" s="61">
        <v>144861</v>
      </c>
      <c r="W15" s="61">
        <v>140511</v>
      </c>
      <c r="X15" s="61">
        <v>577001</v>
      </c>
      <c r="Y15" s="61">
        <v>187573</v>
      </c>
      <c r="Z15" s="61">
        <v>183021</v>
      </c>
      <c r="AA15" s="61">
        <v>183990</v>
      </c>
      <c r="AB15" s="61">
        <v>187143</v>
      </c>
      <c r="AC15" s="61">
        <v>741727</v>
      </c>
      <c r="AD15" s="61">
        <v>185715</v>
      </c>
      <c r="AE15" s="61">
        <v>176385</v>
      </c>
      <c r="AF15" s="61">
        <v>162943</v>
      </c>
      <c r="AG15" s="61">
        <v>157333</v>
      </c>
      <c r="AH15" s="61">
        <v>682376</v>
      </c>
      <c r="AI15" s="61">
        <v>154249</v>
      </c>
      <c r="AJ15" s="61">
        <v>157309</v>
      </c>
      <c r="AK15" s="61">
        <v>157253</v>
      </c>
      <c r="AL15" s="61">
        <v>159880</v>
      </c>
      <c r="AM15" s="61">
        <v>628691</v>
      </c>
      <c r="AN15" s="61">
        <v>165952</v>
      </c>
      <c r="AO15" s="61">
        <v>164364</v>
      </c>
      <c r="AP15" s="61">
        <v>157000</v>
      </c>
      <c r="AQ15" s="61">
        <v>159293</v>
      </c>
      <c r="AR15" s="61">
        <v>646609</v>
      </c>
      <c r="AS15" s="61">
        <v>159312</v>
      </c>
      <c r="AT15" s="61">
        <v>157843</v>
      </c>
      <c r="AU15" s="61">
        <v>146497.52254368301</v>
      </c>
      <c r="AV15" s="61">
        <v>139644.13042959984</v>
      </c>
      <c r="AW15" s="61">
        <v>603296.65297328285</v>
      </c>
      <c r="AX15" s="61">
        <v>149376.03131404991</v>
      </c>
      <c r="AY15" s="61">
        <v>148226.73228635016</v>
      </c>
      <c r="AZ15" s="61">
        <v>146779.2749511</v>
      </c>
      <c r="BA15" s="61">
        <v>191866.48650200013</v>
      </c>
      <c r="BB15" s="61">
        <v>636248.48650200013</v>
      </c>
      <c r="BC15" s="61">
        <v>154767.24119197513</v>
      </c>
      <c r="BD15" s="61">
        <v>133022.43734397477</v>
      </c>
      <c r="BE15" s="61">
        <v>93862.140530025237</v>
      </c>
      <c r="BF15" s="61">
        <v>112456.61442402482</v>
      </c>
      <c r="BG15" s="61">
        <v>494108.43348999997</v>
      </c>
      <c r="BH15" s="61">
        <v>125430.34097722499</v>
      </c>
      <c r="BI15" s="61">
        <v>118946.58182805008</v>
      </c>
      <c r="BJ15" s="61">
        <v>125766.65532885003</v>
      </c>
      <c r="BK15" s="61">
        <v>141641.56417465003</v>
      </c>
      <c r="BL15" s="61">
        <v>511785.1423087751</v>
      </c>
      <c r="BM15" s="61">
        <v>147834.62551327501</v>
      </c>
      <c r="BN15" s="244">
        <v>141152.9757826</v>
      </c>
      <c r="BO15" s="61">
        <v>87706.36397000002</v>
      </c>
      <c r="BP15" s="61">
        <v>132221.28870202499</v>
      </c>
      <c r="BQ15" s="61">
        <v>549628.286826325</v>
      </c>
      <c r="BR15" s="61">
        <v>129865.63757059998</v>
      </c>
      <c r="BS15" s="61">
        <v>85222.671706374982</v>
      </c>
      <c r="BT15" s="61">
        <v>52689.68510499999</v>
      </c>
    </row>
    <row r="16" spans="1:80" x14ac:dyDescent="0.35">
      <c r="C16" s="62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245"/>
      <c r="BO16" s="64"/>
      <c r="BP16" s="64"/>
      <c r="BQ16" s="64"/>
      <c r="BR16" s="64"/>
      <c r="BS16" s="64"/>
      <c r="BT16" s="64"/>
    </row>
    <row r="17" spans="3:72" x14ac:dyDescent="0.35">
      <c r="C17" s="56" t="str">
        <f>IF('Índice - Index'!$D$14="Português","CPV","CoGS")</f>
        <v>CPV</v>
      </c>
      <c r="D17" s="57">
        <v>-936056</v>
      </c>
      <c r="E17" s="57">
        <f>SUM(E18:E21)</f>
        <v>-188274</v>
      </c>
      <c r="F17" s="57">
        <f>SUM(F18:F21)</f>
        <v>-239027</v>
      </c>
      <c r="G17" s="57">
        <f>SUM(G18:G21)</f>
        <v>-267272</v>
      </c>
      <c r="H17" s="57">
        <f>SUM(H18:H21)</f>
        <v>-344918</v>
      </c>
      <c r="I17" s="57">
        <f>SUM(I18:I21)</f>
        <v>-1039491</v>
      </c>
      <c r="J17" s="57">
        <f t="shared" ref="J17:X17" si="4">SUM(J18:J21)</f>
        <v>-245084</v>
      </c>
      <c r="K17" s="57">
        <f t="shared" si="4"/>
        <v>-309621</v>
      </c>
      <c r="L17" s="57">
        <f t="shared" si="4"/>
        <v>-289276</v>
      </c>
      <c r="M17" s="57">
        <f t="shared" si="4"/>
        <v>-399577</v>
      </c>
      <c r="N17" s="57">
        <f t="shared" si="4"/>
        <v>-1245181</v>
      </c>
      <c r="O17" s="57">
        <f t="shared" si="4"/>
        <v>-278651</v>
      </c>
      <c r="P17" s="57">
        <f t="shared" si="4"/>
        <v>-357068</v>
      </c>
      <c r="Q17" s="57">
        <f t="shared" si="4"/>
        <v>-381554</v>
      </c>
      <c r="R17" s="57">
        <f t="shared" si="4"/>
        <v>-455685</v>
      </c>
      <c r="S17" s="57">
        <f t="shared" si="4"/>
        <v>-1467733</v>
      </c>
      <c r="T17" s="57">
        <f t="shared" si="4"/>
        <v>-327461</v>
      </c>
      <c r="U17" s="57">
        <f t="shared" si="4"/>
        <v>-382374</v>
      </c>
      <c r="V17" s="57">
        <f t="shared" si="4"/>
        <v>-402398</v>
      </c>
      <c r="W17" s="58">
        <f t="shared" si="4"/>
        <v>-543275</v>
      </c>
      <c r="X17" s="58">
        <f t="shared" si="4"/>
        <v>-1644118</v>
      </c>
      <c r="Y17" s="57">
        <v>-364175.72669000004</v>
      </c>
      <c r="Z17" s="57">
        <v>-475239.10121999995</v>
      </c>
      <c r="AA17" s="57">
        <v>-473016.00792</v>
      </c>
      <c r="AB17" s="57">
        <v>-575996.17919000005</v>
      </c>
      <c r="AC17" s="57">
        <v>-1888427.01502</v>
      </c>
      <c r="AD17" s="57">
        <v>-365058</v>
      </c>
      <c r="AE17" s="57">
        <v>-455559</v>
      </c>
      <c r="AF17" s="57">
        <v>-436604</v>
      </c>
      <c r="AG17" s="57">
        <v>-530897</v>
      </c>
      <c r="AH17" s="57">
        <v>-1788118</v>
      </c>
      <c r="AI17" s="57">
        <v>-311838</v>
      </c>
      <c r="AJ17" s="57">
        <v>-448304</v>
      </c>
      <c r="AK17" s="57">
        <v>-339462</v>
      </c>
      <c r="AL17" s="57">
        <v>-440941</v>
      </c>
      <c r="AM17" s="57">
        <v>-1540545</v>
      </c>
      <c r="AN17" s="57">
        <v>-294954</v>
      </c>
      <c r="AO17" s="57">
        <v>-370253</v>
      </c>
      <c r="AP17" s="57">
        <v>-408660</v>
      </c>
      <c r="AQ17" s="57">
        <v>-426851</v>
      </c>
      <c r="AR17" s="57">
        <v>-1500718</v>
      </c>
      <c r="AS17" s="57">
        <v>-289493</v>
      </c>
      <c r="AT17" s="57">
        <v>-362286</v>
      </c>
      <c r="AU17" s="57">
        <v>-414034</v>
      </c>
      <c r="AV17" s="57">
        <v>-465629</v>
      </c>
      <c r="AW17" s="57">
        <v>-1531442</v>
      </c>
      <c r="AX17" s="57">
        <v>-299963.32002999994</v>
      </c>
      <c r="AY17" s="57">
        <v>-387252.24125000008</v>
      </c>
      <c r="AZ17" s="57">
        <v>-397552.61118000373</v>
      </c>
      <c r="BA17" s="57">
        <v>-466174.80893348483</v>
      </c>
      <c r="BB17" s="57">
        <v>-1550942.9813934886</v>
      </c>
      <c r="BC17" s="57">
        <v>-313466.81114000804</v>
      </c>
      <c r="BD17" s="57">
        <v>-224400.86113884451</v>
      </c>
      <c r="BE17" s="57">
        <v>-363075.1594021651</v>
      </c>
      <c r="BF17" s="57">
        <v>-441943.25283533003</v>
      </c>
      <c r="BG17" s="57">
        <v>-1342886.0845163476</v>
      </c>
      <c r="BH17" s="57">
        <v>-173386.16073366036</v>
      </c>
      <c r="BI17" s="57">
        <f>SUM(BI18:BI20)</f>
        <v>-355089.89205100015</v>
      </c>
      <c r="BJ17" s="57">
        <f>SUM(BJ18:BJ20)</f>
        <v>-358551.86853999982</v>
      </c>
      <c r="BK17" s="57">
        <f>SUM(BK18:BK20)</f>
        <v>-450246.77851899993</v>
      </c>
      <c r="BL17" s="57">
        <f>BL20+BL18</f>
        <v>-1337274.6998436602</v>
      </c>
      <c r="BM17" s="57">
        <f>SUM(BM18:BM20)</f>
        <v>-329429.48234366038</v>
      </c>
      <c r="BN17" s="239">
        <f>SUM(BN18:BN20)</f>
        <v>-421042.36811000004</v>
      </c>
      <c r="BO17" s="57">
        <f>SUM(BO18:BO20)</f>
        <v>-363096.55540000013</v>
      </c>
      <c r="BP17" s="57">
        <f>SUM(BP18:BP20)</f>
        <v>-563130.67242999992</v>
      </c>
      <c r="BQ17" s="57">
        <v>-1676699.0782836606</v>
      </c>
      <c r="BR17" s="57">
        <f>SUM(BR18:BR20)</f>
        <v>-342653.6652556</v>
      </c>
      <c r="BS17" s="57">
        <f>SUM(BS18:BS20)</f>
        <v>-332881.8730567196</v>
      </c>
      <c r="BT17" s="57">
        <f>SUM(BT18:BT20)</f>
        <v>-203663.85243768041</v>
      </c>
    </row>
    <row r="18" spans="3:72" x14ac:dyDescent="0.35">
      <c r="C18" s="59" t="str">
        <f>IF('Índice - Index'!$D$14="Português","Varejo - CPV","Retail - CoGS")</f>
        <v>Varejo - CPV</v>
      </c>
      <c r="D18" s="61">
        <v>-681869</v>
      </c>
      <c r="E18" s="61">
        <v>-144596</v>
      </c>
      <c r="F18" s="61">
        <v>-188947</v>
      </c>
      <c r="G18" s="61">
        <v>-194945</v>
      </c>
      <c r="H18" s="61">
        <v>-279058</v>
      </c>
      <c r="I18" s="61">
        <v>-807546</v>
      </c>
      <c r="J18" s="61">
        <v>-187235</v>
      </c>
      <c r="K18" s="61">
        <v>-219752</v>
      </c>
      <c r="L18" s="61">
        <v>-220986</v>
      </c>
      <c r="M18" s="61">
        <v>-320377</v>
      </c>
      <c r="N18" s="61">
        <v>-947544</v>
      </c>
      <c r="O18" s="61">
        <v>-217854</v>
      </c>
      <c r="P18" s="61">
        <v>-285953</v>
      </c>
      <c r="Q18" s="61">
        <v>-314105</v>
      </c>
      <c r="R18" s="61">
        <v>-385019</v>
      </c>
      <c r="S18" s="61">
        <v>-1202931</v>
      </c>
      <c r="T18" s="61">
        <v>-247651</v>
      </c>
      <c r="U18" s="61">
        <v>-304284</v>
      </c>
      <c r="V18" s="61">
        <v>-325914</v>
      </c>
      <c r="W18" s="61">
        <v>-461709</v>
      </c>
      <c r="X18" s="61">
        <v>-1331437</v>
      </c>
      <c r="Y18" s="61">
        <v>-259489.87069000001</v>
      </c>
      <c r="Z18" s="61">
        <v>-322808.24521999998</v>
      </c>
      <c r="AA18" s="61">
        <v>-342112.15191999997</v>
      </c>
      <c r="AB18" s="61">
        <v>-443797.32318999991</v>
      </c>
      <c r="AC18" s="61">
        <v>-1368207.5910199999</v>
      </c>
      <c r="AD18" s="61">
        <v>-250520</v>
      </c>
      <c r="AE18" s="61">
        <v>-312927</v>
      </c>
      <c r="AF18" s="61">
        <v>-322312</v>
      </c>
      <c r="AG18" s="61">
        <v>-437747</v>
      </c>
      <c r="AH18" s="61">
        <v>-1323506</v>
      </c>
      <c r="AI18" s="61">
        <v>-215212</v>
      </c>
      <c r="AJ18" s="61">
        <v>-338452</v>
      </c>
      <c r="AK18" s="61">
        <v>-243479</v>
      </c>
      <c r="AL18" s="61">
        <v>-338617</v>
      </c>
      <c r="AM18" s="61">
        <v>-1135760</v>
      </c>
      <c r="AN18" s="61">
        <v>-219066</v>
      </c>
      <c r="AO18" s="61">
        <v>-254659</v>
      </c>
      <c r="AP18" s="61">
        <v>-312322</v>
      </c>
      <c r="AQ18" s="61">
        <v>-325987</v>
      </c>
      <c r="AR18" s="61">
        <v>-1112034</v>
      </c>
      <c r="AS18" s="61">
        <v>-221072</v>
      </c>
      <c r="AT18" s="61">
        <v>-255623</v>
      </c>
      <c r="AU18" s="61">
        <v>-311829</v>
      </c>
      <c r="AV18" s="61">
        <v>-364510</v>
      </c>
      <c r="AW18" s="61">
        <v>-1153034</v>
      </c>
      <c r="AX18" s="61">
        <v>-226457.35626</v>
      </c>
      <c r="AY18" s="61">
        <v>-295133.41963999998</v>
      </c>
      <c r="AZ18" s="61">
        <v>-315624.94244999974</v>
      </c>
      <c r="BA18" s="61">
        <v>-362667.39917000057</v>
      </c>
      <c r="BB18" s="61">
        <v>-1199883.1175200003</v>
      </c>
      <c r="BC18" s="61">
        <v>-230803.91979000001</v>
      </c>
      <c r="BD18" s="61">
        <v>-102662.95311999996</v>
      </c>
      <c r="BE18" s="61">
        <v>-296144.33305000007</v>
      </c>
      <c r="BF18" s="61">
        <v>-380239.82781999995</v>
      </c>
      <c r="BG18" s="61">
        <v>-1009851.0337799999</v>
      </c>
      <c r="BH18" s="61">
        <v>-158343.54456999997</v>
      </c>
      <c r="BI18" s="61">
        <v>-267064.43085000006</v>
      </c>
      <c r="BJ18" s="61">
        <v>-305644.61212999985</v>
      </c>
      <c r="BK18" s="61">
        <v>-370253.34216</v>
      </c>
      <c r="BL18" s="61">
        <v>-1101305.9297099998</v>
      </c>
      <c r="BM18" s="61">
        <v>-228848.43210999999</v>
      </c>
      <c r="BN18" s="244">
        <v>-297816.49999000004</v>
      </c>
      <c r="BO18" s="61">
        <v>-253748.11007000014</v>
      </c>
      <c r="BP18" s="61">
        <v>-335908.61698999989</v>
      </c>
      <c r="BQ18" s="61">
        <v>-1116321.6591600003</v>
      </c>
      <c r="BR18" s="61">
        <v>-222273.76694</v>
      </c>
      <c r="BS18" s="61">
        <v>-246355.56820000001</v>
      </c>
      <c r="BT18" s="61">
        <v>-132519.18305000002</v>
      </c>
    </row>
    <row r="19" spans="3:72" x14ac:dyDescent="0.35">
      <c r="C19" s="59" t="str">
        <f>IF('Índice - Index'!$D$14="Português","Mserviços - CPV","Mserviços - CoGS")</f>
        <v>Mserviços - CPV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244"/>
      <c r="BO19" s="61">
        <v>-2664.8833199999995</v>
      </c>
      <c r="BP19" s="61"/>
      <c r="BQ19" s="61"/>
      <c r="BR19" s="61"/>
      <c r="BS19" s="61"/>
      <c r="BT19" s="61">
        <v>-211.65559000000439</v>
      </c>
    </row>
    <row r="20" spans="3:72" x14ac:dyDescent="0.35">
      <c r="C20" s="59" t="str">
        <f>IF('Índice - Index'!$D$14="Português","Mbank - CPV","Mbank - CoGS")</f>
        <v>Mbank - CPV</v>
      </c>
      <c r="D20" s="61">
        <v>-254187</v>
      </c>
      <c r="E20" s="61">
        <v>-43678</v>
      </c>
      <c r="F20" s="61">
        <v>-50080</v>
      </c>
      <c r="G20" s="61">
        <v>-72327</v>
      </c>
      <c r="H20" s="61">
        <v>-65860</v>
      </c>
      <c r="I20" s="61">
        <v>-231945</v>
      </c>
      <c r="J20" s="61">
        <v>-57849</v>
      </c>
      <c r="K20" s="61">
        <v>-89869</v>
      </c>
      <c r="L20" s="61">
        <v>-68290</v>
      </c>
      <c r="M20" s="61">
        <v>-79200</v>
      </c>
      <c r="N20" s="61">
        <v>-297637</v>
      </c>
      <c r="O20" s="61">
        <v>-60797</v>
      </c>
      <c r="P20" s="61">
        <v>-71115</v>
      </c>
      <c r="Q20" s="61">
        <v>-67449</v>
      </c>
      <c r="R20" s="61">
        <v>-70666</v>
      </c>
      <c r="S20" s="61">
        <v>-264802</v>
      </c>
      <c r="T20" s="61">
        <v>-79810</v>
      </c>
      <c r="U20" s="61">
        <v>-78090</v>
      </c>
      <c r="V20" s="61">
        <v>-76484</v>
      </c>
      <c r="W20" s="61">
        <v>-81566</v>
      </c>
      <c r="X20" s="61">
        <v>-312681</v>
      </c>
      <c r="Y20" s="61">
        <v>-104685.856</v>
      </c>
      <c r="Z20" s="61">
        <v>-152430.856</v>
      </c>
      <c r="AA20" s="61">
        <v>-130903.856</v>
      </c>
      <c r="AB20" s="61">
        <v>-132198.85600000009</v>
      </c>
      <c r="AC20" s="61">
        <v>-520219.42400000006</v>
      </c>
      <c r="AD20" s="61">
        <v>-114538</v>
      </c>
      <c r="AE20" s="61">
        <v>-142632</v>
      </c>
      <c r="AF20" s="61">
        <v>-114292</v>
      </c>
      <c r="AG20" s="61">
        <v>-93150</v>
      </c>
      <c r="AH20" s="61">
        <v>-464612</v>
      </c>
      <c r="AI20" s="61">
        <v>-96626</v>
      </c>
      <c r="AJ20" s="61">
        <v>-109852</v>
      </c>
      <c r="AK20" s="61">
        <v>-95983</v>
      </c>
      <c r="AL20" s="61">
        <v>-102324</v>
      </c>
      <c r="AM20" s="61">
        <v>-404785</v>
      </c>
      <c r="AN20" s="61">
        <v>-75888</v>
      </c>
      <c r="AO20" s="61">
        <v>-115594</v>
      </c>
      <c r="AP20" s="61">
        <v>-96338</v>
      </c>
      <c r="AQ20" s="61">
        <v>-100864</v>
      </c>
      <c r="AR20" s="61">
        <v>-388684</v>
      </c>
      <c r="AS20" s="61">
        <v>-68421</v>
      </c>
      <c r="AT20" s="61">
        <v>-106663</v>
      </c>
      <c r="AU20" s="61">
        <v>-102205</v>
      </c>
      <c r="AV20" s="61">
        <v>-101119</v>
      </c>
      <c r="AW20" s="61">
        <v>-378408</v>
      </c>
      <c r="AX20" s="61">
        <v>-73505.963769999944</v>
      </c>
      <c r="AY20" s="61">
        <v>-92118.821610000072</v>
      </c>
      <c r="AZ20" s="61">
        <v>-81927.668730003992</v>
      </c>
      <c r="BA20" s="61">
        <v>-103507.40976348426</v>
      </c>
      <c r="BB20" s="61">
        <v>-351059.86387348827</v>
      </c>
      <c r="BC20" s="61">
        <v>-82662.891350008023</v>
      </c>
      <c r="BD20" s="61">
        <v>-121737.90801884455</v>
      </c>
      <c r="BE20" s="61">
        <v>-66930.826352165022</v>
      </c>
      <c r="BF20" s="61">
        <v>-61703.425015330082</v>
      </c>
      <c r="BG20" s="61">
        <v>-333035.05073634768</v>
      </c>
      <c r="BH20" s="61">
        <v>-15042.616163660394</v>
      </c>
      <c r="BI20" s="61">
        <v>-88025.461201000056</v>
      </c>
      <c r="BJ20" s="61">
        <v>-52907.256409999973</v>
      </c>
      <c r="BK20" s="61">
        <v>-79993.436358999897</v>
      </c>
      <c r="BL20" s="61">
        <v>-235968.77013366032</v>
      </c>
      <c r="BM20" s="61">
        <v>-100581.05023366038</v>
      </c>
      <c r="BN20" s="244">
        <v>-123225.86812</v>
      </c>
      <c r="BO20" s="61">
        <v>-106683.56200999999</v>
      </c>
      <c r="BP20" s="61">
        <v>-227222.05544000003</v>
      </c>
      <c r="BQ20" s="61">
        <v>-560377.41912366042</v>
      </c>
      <c r="BR20" s="61">
        <v>-120379.8983156</v>
      </c>
      <c r="BS20" s="61">
        <v>-86526.304856719595</v>
      </c>
      <c r="BT20" s="61">
        <v>-70933.013797680382</v>
      </c>
    </row>
    <row r="21" spans="3:72" x14ac:dyDescent="0.35">
      <c r="C21" s="6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245"/>
      <c r="BO21" s="64"/>
      <c r="BP21" s="64"/>
      <c r="BQ21" s="64"/>
      <c r="BR21" s="64"/>
      <c r="BS21" s="64"/>
      <c r="BT21" s="64"/>
    </row>
    <row r="22" spans="3:72" x14ac:dyDescent="0.35">
      <c r="C22" s="56" t="str">
        <f>IF('Índice - Index'!$D$14="Português","LUCRO BRUTO","GROSS PROFIT")</f>
        <v>LUCRO BRUTO</v>
      </c>
      <c r="D22" s="57">
        <v>819687</v>
      </c>
      <c r="E22" s="57">
        <f>SUM(E23:E26)</f>
        <v>189723</v>
      </c>
      <c r="F22" s="57">
        <f>SUM(F23:F26)</f>
        <v>267729</v>
      </c>
      <c r="G22" s="57">
        <f>SUM(G23:G26)</f>
        <v>216406</v>
      </c>
      <c r="H22" s="57">
        <f>SUM(H23:H26)</f>
        <v>362334</v>
      </c>
      <c r="I22" s="57">
        <f>SUM(I23:I26)</f>
        <v>1036192</v>
      </c>
      <c r="J22" s="57">
        <f t="shared" ref="J22:X22" si="5">SUM(J23:J26)</f>
        <v>249009</v>
      </c>
      <c r="K22" s="57">
        <f t="shared" si="5"/>
        <v>323131</v>
      </c>
      <c r="L22" s="57">
        <f t="shared" si="5"/>
        <v>268998</v>
      </c>
      <c r="M22" s="57">
        <f t="shared" si="5"/>
        <v>365619</v>
      </c>
      <c r="N22" s="57">
        <f t="shared" si="5"/>
        <v>1205134</v>
      </c>
      <c r="O22" s="57">
        <f t="shared" si="5"/>
        <v>241284</v>
      </c>
      <c r="P22" s="57">
        <f t="shared" si="5"/>
        <v>341619</v>
      </c>
      <c r="Q22" s="57">
        <f t="shared" si="5"/>
        <v>348378</v>
      </c>
      <c r="R22" s="57">
        <f t="shared" si="5"/>
        <v>478374</v>
      </c>
      <c r="S22" s="57">
        <f t="shared" si="5"/>
        <v>1409655</v>
      </c>
      <c r="T22" s="57">
        <f t="shared" si="5"/>
        <v>301197</v>
      </c>
      <c r="U22" s="57">
        <f t="shared" si="5"/>
        <v>362236</v>
      </c>
      <c r="V22" s="57">
        <f t="shared" si="5"/>
        <v>320128</v>
      </c>
      <c r="W22" s="58">
        <f t="shared" si="5"/>
        <v>456321</v>
      </c>
      <c r="X22" s="58">
        <f t="shared" si="5"/>
        <v>1447893</v>
      </c>
      <c r="Y22" s="57">
        <v>333649.27330999996</v>
      </c>
      <c r="Z22" s="57">
        <v>337309.89878000005</v>
      </c>
      <c r="AA22" s="57">
        <v>303835.99208</v>
      </c>
      <c r="AB22" s="57">
        <v>481370.82081</v>
      </c>
      <c r="AC22" s="57">
        <v>1456165.98498</v>
      </c>
      <c r="AD22" s="57">
        <v>314860</v>
      </c>
      <c r="AE22" s="57">
        <v>333807</v>
      </c>
      <c r="AF22" s="57">
        <v>310621</v>
      </c>
      <c r="AG22" s="57">
        <v>417500</v>
      </c>
      <c r="AH22" s="57">
        <v>1376788</v>
      </c>
      <c r="AI22" s="57">
        <v>296649</v>
      </c>
      <c r="AJ22" s="57">
        <v>333100</v>
      </c>
      <c r="AK22" s="57">
        <v>289753</v>
      </c>
      <c r="AL22" s="57">
        <v>392738</v>
      </c>
      <c r="AM22" s="57">
        <v>1312240</v>
      </c>
      <c r="AN22" s="57">
        <v>320476</v>
      </c>
      <c r="AO22" s="57">
        <v>341436</v>
      </c>
      <c r="AP22" s="57">
        <v>304231</v>
      </c>
      <c r="AQ22" s="57">
        <v>408716</v>
      </c>
      <c r="AR22" s="57">
        <v>1374859</v>
      </c>
      <c r="AS22" s="57">
        <v>299152</v>
      </c>
      <c r="AT22" s="57">
        <v>327528</v>
      </c>
      <c r="AU22" s="57">
        <v>272772</v>
      </c>
      <c r="AV22" s="57">
        <v>335404.99999999977</v>
      </c>
      <c r="AW22" s="57">
        <v>1234857</v>
      </c>
      <c r="AX22" s="57">
        <v>304651.53674999985</v>
      </c>
      <c r="AY22" s="57">
        <v>302975.96322999964</v>
      </c>
      <c r="AZ22" s="57">
        <v>299927.18918999634</v>
      </c>
      <c r="BA22" s="57">
        <v>433602.59987651545</v>
      </c>
      <c r="BB22" s="57">
        <v>1341157.6697065118</v>
      </c>
      <c r="BC22" s="57">
        <v>258308.6848699922</v>
      </c>
      <c r="BD22" s="57">
        <v>57710.028851155424</v>
      </c>
      <c r="BE22" s="57">
        <v>177404.3741278348</v>
      </c>
      <c r="BF22" s="57">
        <f t="shared" ref="BF22:BG22" si="6">BF17+BF12</f>
        <v>327322.82816466986</v>
      </c>
      <c r="BG22" s="57">
        <f t="shared" si="6"/>
        <v>820745.91601365223</v>
      </c>
      <c r="BH22" s="57">
        <v>242047.70092633975</v>
      </c>
      <c r="BI22" s="57">
        <f t="shared" ref="BI22:BP22" si="7">BI12+BI17</f>
        <v>256011.50210899976</v>
      </c>
      <c r="BJ22" s="57">
        <f t="shared" si="7"/>
        <v>297323.74073000008</v>
      </c>
      <c r="BK22" s="57">
        <f t="shared" si="7"/>
        <v>393563.547701</v>
      </c>
      <c r="BL22" s="57">
        <f t="shared" si="7"/>
        <v>1188946.4914663394</v>
      </c>
      <c r="BM22" s="57">
        <f t="shared" si="7"/>
        <v>253178.20887633966</v>
      </c>
      <c r="BN22" s="239">
        <f>BN12+BN17</f>
        <v>319368.15622999985</v>
      </c>
      <c r="BO22" s="57">
        <f t="shared" si="7"/>
        <v>271688.09502000007</v>
      </c>
      <c r="BP22" s="57">
        <f t="shared" si="7"/>
        <v>267262.17335999967</v>
      </c>
      <c r="BQ22" s="57">
        <v>1108223.6334863389</v>
      </c>
      <c r="BR22" s="57">
        <f>BR12+BR17</f>
        <v>227680.71690440003</v>
      </c>
      <c r="BS22" s="57">
        <f>BS12+BS17</f>
        <v>222247.75101328053</v>
      </c>
      <c r="BT22" s="57">
        <f t="shared" ref="BT22" si="8">BT12+BT17</f>
        <v>112785.54904731951</v>
      </c>
    </row>
    <row r="23" spans="3:72" x14ac:dyDescent="0.35">
      <c r="C23" s="67" t="str">
        <f>IF('Índice - Index'!$D$14="Português"," Lucro Bruto - Varejo"," Retail - Gross Profit")</f>
        <v xml:space="preserve"> Lucro Bruto - Varejo</v>
      </c>
      <c r="D23" s="68">
        <v>752690</v>
      </c>
      <c r="E23" s="68">
        <f t="shared" ref="E23:X23" si="9">E13+E18</f>
        <v>151247</v>
      </c>
      <c r="F23" s="68">
        <f t="shared" si="9"/>
        <v>228175</v>
      </c>
      <c r="G23" s="68">
        <f t="shared" si="9"/>
        <v>193903</v>
      </c>
      <c r="H23" s="68">
        <f t="shared" si="9"/>
        <v>321892</v>
      </c>
      <c r="I23" s="68">
        <f t="shared" si="9"/>
        <v>895217</v>
      </c>
      <c r="J23" s="68">
        <f t="shared" si="9"/>
        <v>187142</v>
      </c>
      <c r="K23" s="68">
        <f t="shared" si="9"/>
        <v>291489</v>
      </c>
      <c r="L23" s="68">
        <f t="shared" si="9"/>
        <v>232603</v>
      </c>
      <c r="M23" s="68">
        <f t="shared" si="9"/>
        <v>330679</v>
      </c>
      <c r="N23" s="68">
        <f t="shared" si="9"/>
        <v>1042719</v>
      </c>
      <c r="O23" s="68">
        <f t="shared" si="9"/>
        <v>188079</v>
      </c>
      <c r="P23" s="68">
        <f t="shared" si="9"/>
        <v>295479</v>
      </c>
      <c r="Q23" s="68">
        <f t="shared" si="9"/>
        <v>298782</v>
      </c>
      <c r="R23" s="68">
        <f t="shared" si="9"/>
        <v>413665</v>
      </c>
      <c r="S23" s="68">
        <f t="shared" si="9"/>
        <v>1196005</v>
      </c>
      <c r="T23" s="68">
        <f t="shared" si="9"/>
        <v>236083</v>
      </c>
      <c r="U23" s="68">
        <f t="shared" si="9"/>
        <v>290242</v>
      </c>
      <c r="V23" s="68">
        <f t="shared" si="9"/>
        <v>251751</v>
      </c>
      <c r="W23" s="68">
        <f t="shared" si="9"/>
        <v>397376</v>
      </c>
      <c r="X23" s="68">
        <f t="shared" si="9"/>
        <v>1183573</v>
      </c>
      <c r="Y23" s="68">
        <v>250762.12930999999</v>
      </c>
      <c r="Z23" s="68">
        <v>306719.75478000002</v>
      </c>
      <c r="AA23" s="68">
        <v>250749.84808000003</v>
      </c>
      <c r="AB23" s="68">
        <v>426426.67681000009</v>
      </c>
      <c r="AC23" s="68">
        <v>1234658.4089800001</v>
      </c>
      <c r="AD23" s="68">
        <v>243683</v>
      </c>
      <c r="AE23" s="68">
        <v>300054</v>
      </c>
      <c r="AF23" s="68">
        <v>261970</v>
      </c>
      <c r="AG23" s="68">
        <v>353317</v>
      </c>
      <c r="AH23" s="68">
        <v>1159024</v>
      </c>
      <c r="AI23" s="68">
        <v>239026</v>
      </c>
      <c r="AJ23" s="68">
        <v>285643</v>
      </c>
      <c r="AK23" s="68">
        <v>228483</v>
      </c>
      <c r="AL23" s="68">
        <v>335182</v>
      </c>
      <c r="AM23" s="68">
        <v>1088334</v>
      </c>
      <c r="AN23" s="68">
        <v>230412</v>
      </c>
      <c r="AO23" s="68">
        <v>292666</v>
      </c>
      <c r="AP23" s="68">
        <v>243569</v>
      </c>
      <c r="AQ23" s="68">
        <v>350287</v>
      </c>
      <c r="AR23" s="68">
        <v>1116934</v>
      </c>
      <c r="AS23" s="68">
        <v>208261</v>
      </c>
      <c r="AT23" s="68">
        <v>276348</v>
      </c>
      <c r="AU23" s="68">
        <v>228479.47745631705</v>
      </c>
      <c r="AV23" s="68">
        <v>296879.86957039987</v>
      </c>
      <c r="AW23" s="68">
        <v>1009968.3470267169</v>
      </c>
      <c r="AX23" s="68">
        <v>228781.46920595001</v>
      </c>
      <c r="AY23" s="68">
        <v>246868.05255364953</v>
      </c>
      <c r="AZ23" s="68">
        <v>235075.58296890033</v>
      </c>
      <c r="BA23" s="68">
        <v>345243.7654279992</v>
      </c>
      <c r="BB23" s="68">
        <v>1055969.0470779995</v>
      </c>
      <c r="BC23" s="68">
        <v>186204.33502802509</v>
      </c>
      <c r="BD23" s="68">
        <v>46425.499526025204</v>
      </c>
      <c r="BE23" s="68">
        <v>150473.05994997453</v>
      </c>
      <c r="BF23" s="68">
        <v>276569.63875597512</v>
      </c>
      <c r="BG23" s="68">
        <v>659672.53325999994</v>
      </c>
      <c r="BH23" s="68">
        <v>131659.97611277516</v>
      </c>
      <c r="BI23" s="68">
        <v>225090.38148194982</v>
      </c>
      <c r="BJ23" s="68">
        <v>224464.34181115002</v>
      </c>
      <c r="BK23" s="68">
        <f>BK13+BK18</f>
        <v>331915.41988534993</v>
      </c>
      <c r="BL23" s="68">
        <f>BL13+BL18</f>
        <v>913130.11929122498</v>
      </c>
      <c r="BM23" s="68">
        <v>205924.63359672501</v>
      </c>
      <c r="BN23" s="240">
        <v>301441.04856739985</v>
      </c>
      <c r="BO23" s="68">
        <f>BO13+BO18</f>
        <v>259605.84136999995</v>
      </c>
      <c r="BP23" s="68">
        <f>BP13+BP18</f>
        <v>362262.94009797473</v>
      </c>
      <c r="BQ23" s="68">
        <f>BQ13+BQ18</f>
        <v>1118972.7657836741</v>
      </c>
      <c r="BR23" s="68">
        <v>218194.97764940007</v>
      </c>
      <c r="BS23" s="68">
        <v>223551.38416362516</v>
      </c>
      <c r="BT23" s="68">
        <f>BT13+BT18</f>
        <v>126276.66477999993</v>
      </c>
    </row>
    <row r="24" spans="3:72" x14ac:dyDescent="0.35">
      <c r="C24" s="67" t="str">
        <f>IF('Índice - Index'!$D$14="Português"," Lucro Bruto - Mserviços"," Mserviços - Gross Profit")</f>
        <v xml:space="preserve"> Lucro Bruto - Mserviços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240"/>
      <c r="BO24" s="68">
        <f>BO14+BO19</f>
        <v>31059.451690000002</v>
      </c>
      <c r="BP24" s="68"/>
      <c r="BQ24" s="68"/>
      <c r="BR24" s="68"/>
      <c r="BS24" s="68"/>
      <c r="BT24" s="68">
        <f>BT14+BT19</f>
        <v>4752.2129599999953</v>
      </c>
    </row>
    <row r="25" spans="3:72" x14ac:dyDescent="0.35">
      <c r="C25" s="67" t="str">
        <f>IF('Índice - Index'!$D$14="Português"," Lucro Bruto - Mbank"," Mbank - Gross Profit")</f>
        <v xml:space="preserve"> Lucro Bruto - Mbank</v>
      </c>
      <c r="D25" s="68">
        <v>66997</v>
      </c>
      <c r="E25" s="68">
        <f t="shared" ref="E25:I25" si="10">E15+E20</f>
        <v>38476</v>
      </c>
      <c r="F25" s="68">
        <f t="shared" si="10"/>
        <v>39554</v>
      </c>
      <c r="G25" s="68">
        <f t="shared" si="10"/>
        <v>22503</v>
      </c>
      <c r="H25" s="68">
        <f t="shared" si="10"/>
        <v>40442</v>
      </c>
      <c r="I25" s="68">
        <f t="shared" si="10"/>
        <v>140975</v>
      </c>
      <c r="J25" s="68">
        <f t="shared" ref="J25:X25" si="11">J15+J20</f>
        <v>61867</v>
      </c>
      <c r="K25" s="68">
        <f t="shared" si="11"/>
        <v>31642</v>
      </c>
      <c r="L25" s="68">
        <f t="shared" si="11"/>
        <v>36395</v>
      </c>
      <c r="M25" s="68">
        <f t="shared" si="11"/>
        <v>34940</v>
      </c>
      <c r="N25" s="68">
        <f t="shared" si="11"/>
        <v>162415</v>
      </c>
      <c r="O25" s="68">
        <f t="shared" si="11"/>
        <v>53205</v>
      </c>
      <c r="P25" s="68">
        <f t="shared" si="11"/>
        <v>46140</v>
      </c>
      <c r="Q25" s="68">
        <f t="shared" si="11"/>
        <v>49596</v>
      </c>
      <c r="R25" s="68">
        <f t="shared" si="11"/>
        <v>64709</v>
      </c>
      <c r="S25" s="68">
        <f t="shared" si="11"/>
        <v>213650</v>
      </c>
      <c r="T25" s="68">
        <f t="shared" si="11"/>
        <v>65114</v>
      </c>
      <c r="U25" s="68">
        <f t="shared" si="11"/>
        <v>71994</v>
      </c>
      <c r="V25" s="68">
        <f t="shared" si="11"/>
        <v>68377</v>
      </c>
      <c r="W25" s="68">
        <f t="shared" si="11"/>
        <v>58945</v>
      </c>
      <c r="X25" s="68">
        <f t="shared" si="11"/>
        <v>264320</v>
      </c>
      <c r="Y25" s="68">
        <v>82887.144</v>
      </c>
      <c r="Z25" s="68">
        <v>30590.144</v>
      </c>
      <c r="AA25" s="68">
        <v>53086.144</v>
      </c>
      <c r="AB25" s="68">
        <v>54944.143999999913</v>
      </c>
      <c r="AC25" s="68">
        <v>221507.57599999994</v>
      </c>
      <c r="AD25" s="68">
        <v>71177</v>
      </c>
      <c r="AE25" s="68">
        <v>33753</v>
      </c>
      <c r="AF25" s="68">
        <v>48651</v>
      </c>
      <c r="AG25" s="68">
        <v>64183</v>
      </c>
      <c r="AH25" s="68">
        <v>217764</v>
      </c>
      <c r="AI25" s="68">
        <v>57623</v>
      </c>
      <c r="AJ25" s="68">
        <v>47457</v>
      </c>
      <c r="AK25" s="68">
        <v>61270</v>
      </c>
      <c r="AL25" s="68">
        <v>57556</v>
      </c>
      <c r="AM25" s="68">
        <v>223906</v>
      </c>
      <c r="AN25" s="68">
        <v>90064</v>
      </c>
      <c r="AO25" s="68">
        <v>48770</v>
      </c>
      <c r="AP25" s="68">
        <v>60662</v>
      </c>
      <c r="AQ25" s="68">
        <v>58429</v>
      </c>
      <c r="AR25" s="68">
        <v>257925</v>
      </c>
      <c r="AS25" s="68">
        <v>90891</v>
      </c>
      <c r="AT25" s="68">
        <v>51180</v>
      </c>
      <c r="AU25" s="68">
        <v>44292.522543683008</v>
      </c>
      <c r="AV25" s="68">
        <v>38525.130429599842</v>
      </c>
      <c r="AW25" s="68">
        <v>224888.65297328285</v>
      </c>
      <c r="AX25" s="68">
        <v>75870.067544049962</v>
      </c>
      <c r="AY25" s="68">
        <v>56107.910676350089</v>
      </c>
      <c r="AZ25" s="68">
        <v>64851.606221096008</v>
      </c>
      <c r="BA25" s="68">
        <v>88359.076738515869</v>
      </c>
      <c r="BB25" s="68">
        <v>285188.62262851186</v>
      </c>
      <c r="BC25" s="68">
        <v>72104.349841967109</v>
      </c>
      <c r="BD25" s="68">
        <v>11284.529325130221</v>
      </c>
      <c r="BE25" s="68">
        <v>26931.314177860215</v>
      </c>
      <c r="BF25" s="68">
        <v>50753.189408694743</v>
      </c>
      <c r="BG25" s="68">
        <v>161073.38275365229</v>
      </c>
      <c r="BH25" s="68">
        <v>110387.72481356459</v>
      </c>
      <c r="BI25" s="68">
        <v>30921.120627050026</v>
      </c>
      <c r="BJ25" s="68">
        <v>72859.398918850056</v>
      </c>
      <c r="BK25" s="68">
        <f>BK15+BK20</f>
        <v>61648.127815650136</v>
      </c>
      <c r="BL25" s="68">
        <f>BL15+BL20</f>
        <v>275816.37217511481</v>
      </c>
      <c r="BM25" s="68">
        <v>47253.575279614626</v>
      </c>
      <c r="BN25" s="240">
        <v>17927.107662599999</v>
      </c>
      <c r="BO25" s="68">
        <f>BO15+BO20</f>
        <v>-18977.198039999974</v>
      </c>
      <c r="BP25" s="68">
        <f>BP15+BP20</f>
        <v>-95000.766737975035</v>
      </c>
      <c r="BQ25" s="68">
        <f>BQ15+BQ20</f>
        <v>-10749.132297335425</v>
      </c>
      <c r="BR25" s="68">
        <v>9485.7392549999786</v>
      </c>
      <c r="BS25" s="68">
        <v>-1303.6331503446127</v>
      </c>
      <c r="BT25" s="68">
        <f>BT15+BT20</f>
        <v>-18243.328692680392</v>
      </c>
    </row>
    <row r="26" spans="3:72" x14ac:dyDescent="0.35">
      <c r="C26" s="6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9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19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3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245"/>
      <c r="BO26" s="64"/>
      <c r="BP26" s="64"/>
      <c r="BQ26" s="64"/>
      <c r="BR26" s="64"/>
      <c r="BS26" s="64"/>
      <c r="BT26" s="64"/>
    </row>
    <row r="27" spans="3:72" x14ac:dyDescent="0.35">
      <c r="C27" s="56" t="str">
        <f>IF('Índice - Index'!$D$14="Português"," Despesas Operacionais","OpEx")</f>
        <v xml:space="preserve"> Despesas Operacionais</v>
      </c>
      <c r="D27" s="57">
        <v>-563661</v>
      </c>
      <c r="E27" s="57">
        <f>SUM(E28:E32)</f>
        <v>-133232</v>
      </c>
      <c r="F27" s="57">
        <f>SUM(F28:F32)</f>
        <v>-142660</v>
      </c>
      <c r="G27" s="57">
        <f>SUM(G28:G32)</f>
        <v>-158445</v>
      </c>
      <c r="H27" s="57">
        <f>SUM(H28:H32)</f>
        <v>-221944</v>
      </c>
      <c r="I27" s="57">
        <f>SUM(I28:I32)</f>
        <v>-656281</v>
      </c>
      <c r="J27" s="57">
        <f t="shared" ref="J27:X27" si="12">SUM(J28:J32)</f>
        <v>-175398</v>
      </c>
      <c r="K27" s="57">
        <f t="shared" si="12"/>
        <v>-196562</v>
      </c>
      <c r="L27" s="57">
        <f t="shared" si="12"/>
        <v>-197953</v>
      </c>
      <c r="M27" s="57">
        <f t="shared" si="12"/>
        <v>-260694</v>
      </c>
      <c r="N27" s="57">
        <f t="shared" si="12"/>
        <v>-830242</v>
      </c>
      <c r="O27" s="57">
        <f t="shared" si="12"/>
        <v>-191174</v>
      </c>
      <c r="P27" s="57">
        <f t="shared" si="12"/>
        <v>-216575</v>
      </c>
      <c r="Q27" s="57">
        <f t="shared" si="12"/>
        <v>-219625</v>
      </c>
      <c r="R27" s="57">
        <f t="shared" si="12"/>
        <v>-291098</v>
      </c>
      <c r="S27" s="57">
        <f t="shared" si="12"/>
        <v>-918472</v>
      </c>
      <c r="T27" s="57">
        <f t="shared" si="12"/>
        <v>-230373</v>
      </c>
      <c r="U27" s="57">
        <f t="shared" si="12"/>
        <v>-242568</v>
      </c>
      <c r="V27" s="57">
        <f t="shared" si="12"/>
        <v>-238346</v>
      </c>
      <c r="W27" s="58">
        <f t="shared" si="12"/>
        <v>-362606</v>
      </c>
      <c r="X27" s="58">
        <f t="shared" si="12"/>
        <v>-1070860</v>
      </c>
      <c r="Y27" s="57">
        <v>-235760.51569999999</v>
      </c>
      <c r="Z27" s="57">
        <v>-244311.21771</v>
      </c>
      <c r="AA27" s="57">
        <v>-262401.05485999997</v>
      </c>
      <c r="AB27" s="57">
        <v>-325148.19670999993</v>
      </c>
      <c r="AC27" s="57">
        <v>-1171965</v>
      </c>
      <c r="AD27" s="57">
        <v>-253938</v>
      </c>
      <c r="AE27" s="57">
        <v>-265308</v>
      </c>
      <c r="AF27" s="57">
        <v>-259584</v>
      </c>
      <c r="AG27" s="57">
        <v>-304322</v>
      </c>
      <c r="AH27" s="57">
        <v>-1083152</v>
      </c>
      <c r="AI27" s="57">
        <v>-262418</v>
      </c>
      <c r="AJ27" s="57">
        <v>-275255</v>
      </c>
      <c r="AK27" s="57">
        <v>-281127</v>
      </c>
      <c r="AL27" s="57">
        <v>-327812</v>
      </c>
      <c r="AM27" s="57">
        <v>-1146612</v>
      </c>
      <c r="AN27" s="57">
        <v>-275899</v>
      </c>
      <c r="AO27" s="57">
        <v>-289880</v>
      </c>
      <c r="AP27" s="57">
        <v>-266704</v>
      </c>
      <c r="AQ27" s="57">
        <v>-308130</v>
      </c>
      <c r="AR27" s="57">
        <v>-1140130</v>
      </c>
      <c r="AS27" s="57">
        <v>-278082</v>
      </c>
      <c r="AT27" s="57">
        <v>-283683</v>
      </c>
      <c r="AU27" s="57">
        <v>-276338</v>
      </c>
      <c r="AV27" s="57">
        <v>-345559</v>
      </c>
      <c r="AW27" s="57">
        <v>-1183662</v>
      </c>
      <c r="AX27" s="57">
        <v>-205424.84041000015</v>
      </c>
      <c r="AY27" s="57">
        <v>-213463.88655999969</v>
      </c>
      <c r="AZ27" s="57">
        <v>-248669.41253999982</v>
      </c>
      <c r="BA27" s="57">
        <v>-270081.27776000055</v>
      </c>
      <c r="BB27" s="57">
        <v>-937639.41727000021</v>
      </c>
      <c r="BC27" s="57">
        <v>-239001.80056000003</v>
      </c>
      <c r="BD27" s="57">
        <v>-106263.50973999992</v>
      </c>
      <c r="BE27" s="57">
        <v>-200554.75550999999</v>
      </c>
      <c r="BF27" s="57">
        <f t="shared" ref="BF27:BR27" si="13">SUM(BF28:BF32)</f>
        <v>-231153.26477000205</v>
      </c>
      <c r="BG27" s="57">
        <f t="shared" si="13"/>
        <v>-776973.33058000193</v>
      </c>
      <c r="BH27" s="57">
        <f t="shared" si="13"/>
        <v>-184472.80655999994</v>
      </c>
      <c r="BI27" s="57">
        <f t="shared" si="13"/>
        <v>-200620.85683900019</v>
      </c>
      <c r="BJ27" s="57">
        <f t="shared" si="13"/>
        <v>-226643.66026999988</v>
      </c>
      <c r="BK27" s="57">
        <f t="shared" ref="BK27" si="14">SUM(BK28:BK32)</f>
        <v>-275001.19400099997</v>
      </c>
      <c r="BL27" s="239">
        <f>SUM(BL28:BL31)</f>
        <v>-886738.51767000009</v>
      </c>
      <c r="BM27" s="57">
        <f t="shared" ref="BM27:BN27" si="15">SUM(BM28:BM32)</f>
        <v>-221798.22118000002</v>
      </c>
      <c r="BN27" s="239">
        <f t="shared" si="15"/>
        <v>-225231.24569999988</v>
      </c>
      <c r="BO27" s="57">
        <f t="shared" si="13"/>
        <v>-219927.9133000001</v>
      </c>
      <c r="BP27" s="57">
        <f t="shared" ref="BP27" si="16">SUM(BP28:BP32)</f>
        <v>-262483.74163999991</v>
      </c>
      <c r="BQ27" s="57">
        <f>SUM(BQ28:BQ31)</f>
        <v>-929305.80676000006</v>
      </c>
      <c r="BR27" s="57">
        <f t="shared" si="13"/>
        <v>-211755.35034999999</v>
      </c>
      <c r="BS27" s="57">
        <f t="shared" ref="BS27:BT27" si="17">SUM(BS28:BS32)</f>
        <v>-226645.68995</v>
      </c>
      <c r="BT27" s="57">
        <f t="shared" si="17"/>
        <v>-181792.67489999993</v>
      </c>
    </row>
    <row r="28" spans="3:72" x14ac:dyDescent="0.35">
      <c r="C28" s="70" t="str">
        <f>IF('Índice - Index'!$D$14="Português","Varejo - Despesas com Vendas","Retail - Sales Expenses")</f>
        <v>Varejo - Despesas com Vendas</v>
      </c>
      <c r="D28" s="63">
        <v>-468206</v>
      </c>
      <c r="E28" s="63">
        <v>-112076</v>
      </c>
      <c r="F28" s="63">
        <v>-113818</v>
      </c>
      <c r="G28" s="63">
        <v>-131492</v>
      </c>
      <c r="H28" s="63">
        <v>-177935</v>
      </c>
      <c r="I28" s="63">
        <v>-535321</v>
      </c>
      <c r="J28" s="63">
        <v>-146198</v>
      </c>
      <c r="K28" s="63">
        <v>-162254</v>
      </c>
      <c r="L28" s="63">
        <v>-160896</v>
      </c>
      <c r="M28" s="63">
        <v>-219944</v>
      </c>
      <c r="N28" s="63">
        <v>-689171</v>
      </c>
      <c r="O28" s="63">
        <v>-159604</v>
      </c>
      <c r="P28" s="63">
        <v>-187041</v>
      </c>
      <c r="Q28" s="63">
        <v>-188499</v>
      </c>
      <c r="R28" s="63">
        <v>-242153</v>
      </c>
      <c r="S28" s="63">
        <v>-777297</v>
      </c>
      <c r="T28" s="63">
        <v>-194041</v>
      </c>
      <c r="U28" s="63">
        <v>-208128</v>
      </c>
      <c r="V28" s="63">
        <v>-202464</v>
      </c>
      <c r="W28" s="63">
        <v>-310975</v>
      </c>
      <c r="X28" s="63">
        <v>-912564</v>
      </c>
      <c r="Y28" s="63">
        <v>-199546.51569999999</v>
      </c>
      <c r="Z28" s="63">
        <v>-204029.21771</v>
      </c>
      <c r="AA28" s="63">
        <v>-219794.05485999997</v>
      </c>
      <c r="AB28" s="63">
        <v>-275363.19670999993</v>
      </c>
      <c r="AC28" s="63">
        <v>-1003077</v>
      </c>
      <c r="AD28" s="63">
        <v>-209748</v>
      </c>
      <c r="AE28" s="63">
        <v>-221316</v>
      </c>
      <c r="AF28" s="63">
        <v>-210521</v>
      </c>
      <c r="AG28" s="63">
        <v>-257591</v>
      </c>
      <c r="AH28" s="63">
        <v>-899176</v>
      </c>
      <c r="AI28" s="63">
        <v>-214544</v>
      </c>
      <c r="AJ28" s="63">
        <v>-220348</v>
      </c>
      <c r="AK28" s="63">
        <v>-227488</v>
      </c>
      <c r="AL28" s="63">
        <v>-267120</v>
      </c>
      <c r="AM28" s="63">
        <v>-929500</v>
      </c>
      <c r="AN28" s="63">
        <v>-219121</v>
      </c>
      <c r="AO28" s="63">
        <v>-221752</v>
      </c>
      <c r="AP28" s="63">
        <v>-206747</v>
      </c>
      <c r="AQ28" s="63">
        <v>-232771</v>
      </c>
      <c r="AR28" s="63">
        <v>-880391</v>
      </c>
      <c r="AS28" s="63">
        <v>-217232</v>
      </c>
      <c r="AT28" s="63">
        <v>-227419</v>
      </c>
      <c r="AU28" s="63">
        <v>-220215</v>
      </c>
      <c r="AV28" s="63">
        <v>-261954</v>
      </c>
      <c r="AW28" s="63">
        <v>-926820</v>
      </c>
      <c r="AX28" s="63">
        <v>-156070.43120000014</v>
      </c>
      <c r="AY28" s="63">
        <v>-157526.66805999973</v>
      </c>
      <c r="AZ28" s="63">
        <v>-161756.14893000055</v>
      </c>
      <c r="BA28" s="63">
        <v>-181206.15098999988</v>
      </c>
      <c r="BB28" s="63">
        <v>-656559.3991800003</v>
      </c>
      <c r="BC28" s="63">
        <v>-160872.59613000005</v>
      </c>
      <c r="BD28" s="63">
        <v>-65608.636709999962</v>
      </c>
      <c r="BE28" s="63">
        <v>-144836.29462000006</v>
      </c>
      <c r="BF28" s="63">
        <v>-148895.73420000006</v>
      </c>
      <c r="BG28" s="63">
        <v>-520213.26166000013</v>
      </c>
      <c r="BH28" s="63">
        <v>-129447.18369999995</v>
      </c>
      <c r="BI28" s="63">
        <v>-140745.81300900003</v>
      </c>
      <c r="BJ28" s="63">
        <v>-158371.64645999996</v>
      </c>
      <c r="BK28" s="63">
        <v>-187288.53546000001</v>
      </c>
      <c r="BL28" s="245">
        <v>-615853.17862899997</v>
      </c>
      <c r="BM28" s="63">
        <v>-160142.52175000004</v>
      </c>
      <c r="BN28" s="245">
        <v>-157824.65079999992</v>
      </c>
      <c r="BO28" s="63">
        <v>-151679.80086000008</v>
      </c>
      <c r="BP28" s="63">
        <v>-173098.50425999993</v>
      </c>
      <c r="BQ28" s="245">
        <v>-642610.16261</v>
      </c>
      <c r="BR28" s="63">
        <v>-146273.01694</v>
      </c>
      <c r="BS28" s="63">
        <v>-141851.10384999998</v>
      </c>
      <c r="BT28" s="63">
        <v>-113187.62028999993</v>
      </c>
    </row>
    <row r="29" spans="3:72" x14ac:dyDescent="0.35">
      <c r="C29" s="70" t="str">
        <f>IF('Índice - Index'!$D$14="Português","Varejo - Despesas Administrativas","Retail - G&amp;A")</f>
        <v>Varejo - Despesas Administrativas</v>
      </c>
      <c r="D29" s="63">
        <v>-84634</v>
      </c>
      <c r="E29" s="64">
        <v>-18442</v>
      </c>
      <c r="F29" s="64">
        <v>-26014</v>
      </c>
      <c r="G29" s="64">
        <v>-23415</v>
      </c>
      <c r="H29" s="64">
        <v>-37565</v>
      </c>
      <c r="I29" s="63">
        <v>-105436</v>
      </c>
      <c r="J29" s="64">
        <v>-23034</v>
      </c>
      <c r="K29" s="63">
        <v>-27743</v>
      </c>
      <c r="L29" s="63">
        <v>-30903</v>
      </c>
      <c r="M29" s="63">
        <v>-34519</v>
      </c>
      <c r="N29" s="63">
        <v>-115954</v>
      </c>
      <c r="O29" s="63">
        <v>-25775</v>
      </c>
      <c r="P29" s="63">
        <v>-24015</v>
      </c>
      <c r="Q29" s="63">
        <v>-25025</v>
      </c>
      <c r="R29" s="63">
        <v>-40662</v>
      </c>
      <c r="S29" s="63">
        <v>-115477</v>
      </c>
      <c r="T29" s="63">
        <v>-29315</v>
      </c>
      <c r="U29" s="63">
        <v>-26986</v>
      </c>
      <c r="V29" s="63">
        <v>-29213</v>
      </c>
      <c r="W29" s="63">
        <v>-36032</v>
      </c>
      <c r="X29" s="63">
        <v>-108041</v>
      </c>
      <c r="Y29" s="63">
        <v>-23123.070530000001</v>
      </c>
      <c r="Z29" s="63">
        <v>-30049.307700000001</v>
      </c>
      <c r="AA29" s="63">
        <v>-32681.049440000003</v>
      </c>
      <c r="AB29" s="63">
        <v>-40518.362699999998</v>
      </c>
      <c r="AC29" s="63">
        <v>-126370.98835</v>
      </c>
      <c r="AD29" s="63">
        <v>-30812.85527</v>
      </c>
      <c r="AE29" s="63">
        <v>-32487.862050000003</v>
      </c>
      <c r="AF29" s="63">
        <v>-38857.693099999997</v>
      </c>
      <c r="AG29" s="63">
        <v>-32524.878800000006</v>
      </c>
      <c r="AH29" s="63">
        <v>-134683.28922000001</v>
      </c>
      <c r="AI29" s="63">
        <v>-36387</v>
      </c>
      <c r="AJ29" s="63">
        <v>-40738</v>
      </c>
      <c r="AK29" s="63">
        <v>-40725</v>
      </c>
      <c r="AL29" s="63">
        <v>-45044</v>
      </c>
      <c r="AM29" s="63">
        <v>-162894</v>
      </c>
      <c r="AN29" s="63">
        <v>-44957</v>
      </c>
      <c r="AO29" s="63">
        <v>-53800</v>
      </c>
      <c r="AP29" s="63">
        <v>-47933</v>
      </c>
      <c r="AQ29" s="63">
        <v>-59026</v>
      </c>
      <c r="AR29" s="63">
        <v>-205233</v>
      </c>
      <c r="AS29" s="63">
        <v>-46113</v>
      </c>
      <c r="AT29" s="63">
        <v>-43356</v>
      </c>
      <c r="AU29" s="63">
        <v>-43546</v>
      </c>
      <c r="AV29" s="63">
        <v>-67781</v>
      </c>
      <c r="AW29" s="63">
        <v>-200796</v>
      </c>
      <c r="AX29" s="63">
        <v>-34458.558659999988</v>
      </c>
      <c r="AY29" s="63">
        <v>-40030.099739999983</v>
      </c>
      <c r="AZ29" s="63">
        <v>-47756.302420000051</v>
      </c>
      <c r="BA29" s="63">
        <v>-58033.615440000009</v>
      </c>
      <c r="BB29" s="63">
        <v>-180278.57626000003</v>
      </c>
      <c r="BC29" s="63">
        <v>-48373.931309999985</v>
      </c>
      <c r="BD29" s="63">
        <v>-22419.41654000002</v>
      </c>
      <c r="BE29" s="63">
        <v>-30365.293510000003</v>
      </c>
      <c r="BF29" s="63">
        <v>-48949.81091000163</v>
      </c>
      <c r="BG29" s="63">
        <v>-150108.45227000164</v>
      </c>
      <c r="BH29" s="63">
        <v>-32075.799050000001</v>
      </c>
      <c r="BI29" s="63">
        <v>-33517.161300000022</v>
      </c>
      <c r="BJ29" s="63">
        <v>-41575.860739999975</v>
      </c>
      <c r="BK29" s="63">
        <v>-54959.643079999994</v>
      </c>
      <c r="BL29" s="245">
        <v>-162128.46416999999</v>
      </c>
      <c r="BM29" s="63">
        <v>-35940.841439999989</v>
      </c>
      <c r="BN29" s="245">
        <v>-40594.154369999989</v>
      </c>
      <c r="BO29" s="63">
        <v>-41287.956650000022</v>
      </c>
      <c r="BP29" s="63">
        <v>-58969.342619999996</v>
      </c>
      <c r="BQ29" s="245">
        <v>-176792.29508000001</v>
      </c>
      <c r="BR29" s="63">
        <v>-45220.611029999993</v>
      </c>
      <c r="BS29" s="63">
        <v>-60620.585010000003</v>
      </c>
      <c r="BT29" s="63">
        <v>-47310.809169999993</v>
      </c>
    </row>
    <row r="30" spans="3:72" x14ac:dyDescent="0.35">
      <c r="C30" s="70" t="str">
        <f>IF('Índice - Index'!$D$14="Português","Mserviços - Despesas Administrativas","Mserviços - G&amp;A")</f>
        <v>Mserviços - Despesas Administrativas</v>
      </c>
      <c r="D30" s="63"/>
      <c r="E30" s="64"/>
      <c r="F30" s="64"/>
      <c r="G30" s="64"/>
      <c r="H30" s="64"/>
      <c r="I30" s="63"/>
      <c r="J30" s="64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245"/>
      <c r="BM30" s="63"/>
      <c r="BN30" s="245"/>
      <c r="BO30" s="63">
        <v>-10453.368400000007</v>
      </c>
      <c r="BP30" s="63"/>
      <c r="BQ30" s="245"/>
      <c r="BR30" s="63"/>
      <c r="BS30" s="63"/>
      <c r="BT30" s="63">
        <v>-1217.1275199999955</v>
      </c>
    </row>
    <row r="31" spans="3:72" x14ac:dyDescent="0.35">
      <c r="C31" s="70" t="str">
        <f>IF('Índice - Index'!$D$14="Português","Mbank - Despesas Administrativas","Mbank - G&amp;A")</f>
        <v>Mbank - Despesas Administrativas</v>
      </c>
      <c r="D31" s="63">
        <v>-10821</v>
      </c>
      <c r="E31" s="64">
        <v>-2714</v>
      </c>
      <c r="F31" s="64">
        <v>-2828</v>
      </c>
      <c r="G31" s="64">
        <v>-3538</v>
      </c>
      <c r="H31" s="64">
        <v>-6444</v>
      </c>
      <c r="I31" s="63">
        <v>-15524</v>
      </c>
      <c r="J31" s="64">
        <v>-6166</v>
      </c>
      <c r="K31" s="63">
        <v>-6565</v>
      </c>
      <c r="L31" s="63">
        <v>-6154</v>
      </c>
      <c r="M31" s="63">
        <v>-6231</v>
      </c>
      <c r="N31" s="63">
        <v>-25117</v>
      </c>
      <c r="O31" s="63">
        <v>-5795</v>
      </c>
      <c r="P31" s="63">
        <v>-5519</v>
      </c>
      <c r="Q31" s="63">
        <v>-6101</v>
      </c>
      <c r="R31" s="63">
        <v>-8283</v>
      </c>
      <c r="S31" s="63">
        <v>-25698</v>
      </c>
      <c r="T31" s="63">
        <v>-7017</v>
      </c>
      <c r="U31" s="63">
        <v>-7454</v>
      </c>
      <c r="V31" s="63">
        <v>-6669</v>
      </c>
      <c r="W31" s="63">
        <v>-15599</v>
      </c>
      <c r="X31" s="63">
        <v>-50255</v>
      </c>
      <c r="Y31" s="63">
        <v>-13090.929469999999</v>
      </c>
      <c r="Z31" s="63">
        <v>-10232.692300000002</v>
      </c>
      <c r="AA31" s="63">
        <v>-9925.9505600000011</v>
      </c>
      <c r="AB31" s="63">
        <v>-9266.6373000000021</v>
      </c>
      <c r="AC31" s="63">
        <v>-42517.01165</v>
      </c>
      <c r="AD31" s="63">
        <v>-13377.14473</v>
      </c>
      <c r="AE31" s="63">
        <v>-11504.13795</v>
      </c>
      <c r="AF31" s="63">
        <v>-10205.3069</v>
      </c>
      <c r="AG31" s="63">
        <v>-14206.121200000001</v>
      </c>
      <c r="AH31" s="63">
        <v>-49292.710780000001</v>
      </c>
      <c r="AI31" s="63">
        <v>-11487</v>
      </c>
      <c r="AJ31" s="63">
        <v>-14169</v>
      </c>
      <c r="AK31" s="63">
        <v>-12914</v>
      </c>
      <c r="AL31" s="63">
        <v>-15648</v>
      </c>
      <c r="AM31" s="63">
        <v>-54218</v>
      </c>
      <c r="AN31" s="63">
        <v>-11821</v>
      </c>
      <c r="AO31" s="63">
        <v>-14328</v>
      </c>
      <c r="AP31" s="63">
        <v>-12024</v>
      </c>
      <c r="AQ31" s="63">
        <v>-16333</v>
      </c>
      <c r="AR31" s="63">
        <v>-54506</v>
      </c>
      <c r="AS31" s="63">
        <v>-14737</v>
      </c>
      <c r="AT31" s="63">
        <v>-12908</v>
      </c>
      <c r="AU31" s="63">
        <v>-12577</v>
      </c>
      <c r="AV31" s="63">
        <v>-15824</v>
      </c>
      <c r="AW31" s="63">
        <v>-56046</v>
      </c>
      <c r="AX31" s="63">
        <v>-14895.850550000025</v>
      </c>
      <c r="AY31" s="63">
        <v>-15907.118759999976</v>
      </c>
      <c r="AZ31" s="63">
        <v>-39156.961189999216</v>
      </c>
      <c r="BA31" s="63">
        <v>-30841.511330000663</v>
      </c>
      <c r="BB31" s="63">
        <v>-100801.44182999988</v>
      </c>
      <c r="BC31" s="63">
        <v>-29755.273119999998</v>
      </c>
      <c r="BD31" s="63">
        <v>-18235.456489999939</v>
      </c>
      <c r="BE31" s="63">
        <v>-25353.167379999926</v>
      </c>
      <c r="BF31" s="63">
        <v>-33307.719660000352</v>
      </c>
      <c r="BG31" s="63">
        <v>-106651.61665000021</v>
      </c>
      <c r="BH31" s="63">
        <v>-22949.823809999958</v>
      </c>
      <c r="BI31" s="63">
        <v>-26357.882530000119</v>
      </c>
      <c r="BJ31" s="63">
        <v>-26696.153069999942</v>
      </c>
      <c r="BK31" s="63">
        <v>-32753.015460999999</v>
      </c>
      <c r="BL31" s="245">
        <v>-108756.87487100002</v>
      </c>
      <c r="BM31" s="63">
        <v>-25714.85799</v>
      </c>
      <c r="BN31" s="245">
        <v>-26812.440529999993</v>
      </c>
      <c r="BO31" s="63">
        <v>-16506.787390000001</v>
      </c>
      <c r="BP31" s="63">
        <v>-30415.894759999988</v>
      </c>
      <c r="BQ31" s="245">
        <v>-109903.34907</v>
      </c>
      <c r="BR31" s="63">
        <v>-20261.722379999999</v>
      </c>
      <c r="BS31" s="63">
        <v>-24174.001089999994</v>
      </c>
      <c r="BT31" s="63">
        <v>-20077.117920000001</v>
      </c>
    </row>
    <row r="32" spans="3:72" x14ac:dyDescent="0.35">
      <c r="C32" s="69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245"/>
      <c r="BO32" s="64"/>
      <c r="BP32" s="64"/>
      <c r="BQ32" s="64"/>
      <c r="BR32" s="64"/>
      <c r="BS32" s="64"/>
      <c r="BT32" s="64"/>
    </row>
    <row r="33" spans="3:79" x14ac:dyDescent="0.35">
      <c r="C33" s="56" t="str">
        <f>IF('Índice - Index'!$D$14="Português","Outras Despesas e Receitas Oper.","Other Operating Expenses/Revenues")</f>
        <v>Outras Despesas e Receitas Oper.</v>
      </c>
      <c r="D33" s="57">
        <v>25563</v>
      </c>
      <c r="E33" s="57">
        <f t="shared" ref="E33:X33" si="18">SUM(E34:E36)</f>
        <v>2354</v>
      </c>
      <c r="F33" s="57">
        <f t="shared" si="18"/>
        <v>-22624</v>
      </c>
      <c r="G33" s="57">
        <f t="shared" si="18"/>
        <v>15635</v>
      </c>
      <c r="H33" s="57">
        <f t="shared" si="18"/>
        <v>8225</v>
      </c>
      <c r="I33" s="57">
        <f t="shared" si="18"/>
        <v>3590</v>
      </c>
      <c r="J33" s="57">
        <f t="shared" si="18"/>
        <v>1490</v>
      </c>
      <c r="K33" s="57">
        <f t="shared" si="18"/>
        <v>5912</v>
      </c>
      <c r="L33" s="57">
        <f t="shared" si="18"/>
        <v>12639</v>
      </c>
      <c r="M33" s="57">
        <f t="shared" si="18"/>
        <v>6333</v>
      </c>
      <c r="N33" s="57">
        <f t="shared" si="18"/>
        <v>28437</v>
      </c>
      <c r="O33" s="57">
        <f t="shared" si="18"/>
        <v>3058</v>
      </c>
      <c r="P33" s="57">
        <f t="shared" si="18"/>
        <v>-4352</v>
      </c>
      <c r="Q33" s="57">
        <f t="shared" si="18"/>
        <v>-4144</v>
      </c>
      <c r="R33" s="57">
        <f t="shared" si="18"/>
        <v>13096</v>
      </c>
      <c r="S33" s="57">
        <f t="shared" si="18"/>
        <v>7658</v>
      </c>
      <c r="T33" s="57">
        <f t="shared" si="18"/>
        <v>393</v>
      </c>
      <c r="U33" s="57">
        <f t="shared" si="18"/>
        <v>2937</v>
      </c>
      <c r="V33" s="57">
        <f t="shared" si="18"/>
        <v>1385</v>
      </c>
      <c r="W33" s="58">
        <f t="shared" si="18"/>
        <v>118</v>
      </c>
      <c r="X33" s="58">
        <f t="shared" si="18"/>
        <v>-6211</v>
      </c>
      <c r="Y33" s="57">
        <v>5097.2423900000003</v>
      </c>
      <c r="Z33" s="57">
        <v>7607.3189299999995</v>
      </c>
      <c r="AA33" s="57">
        <v>-4199.9372199999998</v>
      </c>
      <c r="AB33" s="57">
        <v>-9811.6241000000009</v>
      </c>
      <c r="AC33" s="57">
        <v>-1307</v>
      </c>
      <c r="AD33" s="57">
        <v>4050</v>
      </c>
      <c r="AE33" s="57">
        <v>-11563</v>
      </c>
      <c r="AF33" s="57">
        <v>-5968</v>
      </c>
      <c r="AG33" s="57">
        <v>-4278</v>
      </c>
      <c r="AH33" s="57">
        <v>-17759</v>
      </c>
      <c r="AI33" s="57">
        <v>17099</v>
      </c>
      <c r="AJ33" s="57">
        <v>2831</v>
      </c>
      <c r="AK33" s="57">
        <v>-1495</v>
      </c>
      <c r="AL33" s="57">
        <v>-3328</v>
      </c>
      <c r="AM33" s="57">
        <v>15107</v>
      </c>
      <c r="AN33" s="57">
        <v>57039</v>
      </c>
      <c r="AO33" s="57">
        <v>-9395</v>
      </c>
      <c r="AP33" s="57">
        <v>-3420</v>
      </c>
      <c r="AQ33" s="57">
        <v>-12882</v>
      </c>
      <c r="AR33" s="57">
        <v>30860</v>
      </c>
      <c r="AS33" s="57">
        <v>19632</v>
      </c>
      <c r="AT33" s="57">
        <v>3948</v>
      </c>
      <c r="AU33" s="57">
        <v>27856</v>
      </c>
      <c r="AV33" s="57">
        <v>315274</v>
      </c>
      <c r="AW33" s="57">
        <v>366710</v>
      </c>
      <c r="AX33" s="57">
        <v>-6396.3659499999994</v>
      </c>
      <c r="AY33" s="57">
        <v>6196.6539000000039</v>
      </c>
      <c r="AZ33" s="57">
        <v>-3908.3371200000029</v>
      </c>
      <c r="BA33" s="57">
        <v>5190.4172399999916</v>
      </c>
      <c r="BB33" s="57">
        <v>1082.3680699999932</v>
      </c>
      <c r="BC33" s="57">
        <v>-3943.7829900000002</v>
      </c>
      <c r="BD33" s="57">
        <v>-22950.060520000003</v>
      </c>
      <c r="BE33" s="57">
        <v>-5142.8438600000009</v>
      </c>
      <c r="BF33" s="57">
        <v>16189.411869999996</v>
      </c>
      <c r="BG33" s="57">
        <v>-15847.275500000007</v>
      </c>
      <c r="BH33" s="57">
        <v>4007.9892800000016</v>
      </c>
      <c r="BI33" s="57">
        <v>-15335.084840000003</v>
      </c>
      <c r="BJ33" s="57">
        <f t="shared" ref="BJ33:BR33" si="19">SUM(BJ34:BJ36)</f>
        <v>1317.3555800000067</v>
      </c>
      <c r="BK33" s="57">
        <f t="shared" si="19"/>
        <v>-17303.087390000008</v>
      </c>
      <c r="BL33" s="57">
        <f t="shared" si="19"/>
        <v>-27312.827369999999</v>
      </c>
      <c r="BM33" s="57">
        <f t="shared" si="19"/>
        <v>-12694.05867633962</v>
      </c>
      <c r="BN33" s="239">
        <f t="shared" si="19"/>
        <v>-16750.240250000003</v>
      </c>
      <c r="BO33" s="57">
        <f t="shared" si="19"/>
        <v>-23015.446659999998</v>
      </c>
      <c r="BP33" s="57">
        <f t="shared" si="19"/>
        <v>-74518.429120000001</v>
      </c>
      <c r="BQ33" s="57">
        <f t="shared" si="19"/>
        <v>-102682.08438000001</v>
      </c>
      <c r="BR33" s="57">
        <f t="shared" si="19"/>
        <v>-27596.656980000003</v>
      </c>
      <c r="BS33" s="57">
        <f t="shared" ref="BS33:BT33" si="20">SUM(BS34:BS36)</f>
        <v>31059.996900000006</v>
      </c>
      <c r="BT33" s="57">
        <f t="shared" si="20"/>
        <v>-4246.7433499999897</v>
      </c>
    </row>
    <row r="34" spans="3:79" x14ac:dyDescent="0.35">
      <c r="C34" s="59" t="str">
        <f>IF('Índice - Index'!$D$14="Português","Varejo - Outras Receitas e Despesas Oper.","Retail - Other Operating Expenses/Revenues")</f>
        <v>Varejo - Outras Receitas e Despesas Oper.</v>
      </c>
      <c r="D34" s="61">
        <v>13869</v>
      </c>
      <c r="E34" s="61">
        <v>449</v>
      </c>
      <c r="F34" s="61">
        <v>-58</v>
      </c>
      <c r="G34" s="61">
        <v>2058</v>
      </c>
      <c r="H34" s="61">
        <v>5262</v>
      </c>
      <c r="I34" s="61">
        <v>7711</v>
      </c>
      <c r="J34" s="61">
        <v>7388</v>
      </c>
      <c r="K34" s="61">
        <v>9526</v>
      </c>
      <c r="L34" s="61">
        <v>8692</v>
      </c>
      <c r="M34" s="61">
        <v>8676</v>
      </c>
      <c r="N34" s="61">
        <v>33916</v>
      </c>
      <c r="O34" s="61">
        <v>7574</v>
      </c>
      <c r="P34" s="61">
        <v>-2480</v>
      </c>
      <c r="Q34" s="61">
        <v>-485</v>
      </c>
      <c r="R34" s="61">
        <v>12306</v>
      </c>
      <c r="S34" s="61">
        <v>16915</v>
      </c>
      <c r="T34" s="61">
        <v>-1105</v>
      </c>
      <c r="U34" s="61">
        <v>5504</v>
      </c>
      <c r="V34" s="61">
        <v>3991</v>
      </c>
      <c r="W34" s="61">
        <v>61</v>
      </c>
      <c r="X34" s="61">
        <v>-2623</v>
      </c>
      <c r="Y34" s="61">
        <v>5281.2423900000003</v>
      </c>
      <c r="Z34" s="61">
        <v>3931.3189299999999</v>
      </c>
      <c r="AA34" s="61">
        <v>-1404.9372200000003</v>
      </c>
      <c r="AB34" s="61">
        <v>-12989.624100000001</v>
      </c>
      <c r="AC34" s="61">
        <v>-5182</v>
      </c>
      <c r="AD34" s="61">
        <v>3148</v>
      </c>
      <c r="AE34" s="61">
        <v>-5763</v>
      </c>
      <c r="AF34" s="61">
        <v>-2634</v>
      </c>
      <c r="AG34" s="61">
        <v>-7684</v>
      </c>
      <c r="AH34" s="61">
        <v>-12933</v>
      </c>
      <c r="AI34" s="61">
        <v>4138</v>
      </c>
      <c r="AJ34" s="61">
        <v>5528</v>
      </c>
      <c r="AK34" s="61">
        <v>301</v>
      </c>
      <c r="AL34" s="61">
        <v>-4135</v>
      </c>
      <c r="AM34" s="61">
        <v>5832</v>
      </c>
      <c r="AN34" s="61">
        <v>57811</v>
      </c>
      <c r="AO34" s="61">
        <v>-6430</v>
      </c>
      <c r="AP34" s="61">
        <v>-1294</v>
      </c>
      <c r="AQ34" s="61">
        <v>-11046</v>
      </c>
      <c r="AR34" s="61">
        <v>38559</v>
      </c>
      <c r="AS34" s="61">
        <v>22456</v>
      </c>
      <c r="AT34" s="61">
        <v>8032</v>
      </c>
      <c r="AU34" s="61">
        <v>30945</v>
      </c>
      <c r="AV34" s="61">
        <v>318123</v>
      </c>
      <c r="AW34" s="61">
        <v>379556</v>
      </c>
      <c r="AX34" s="61">
        <v>-423.39433000000196</v>
      </c>
      <c r="AY34" s="61">
        <v>6666.3943300000019</v>
      </c>
      <c r="AZ34" s="61">
        <v>-2655.8230900000035</v>
      </c>
      <c r="BA34" s="61">
        <v>8186.0580599999957</v>
      </c>
      <c r="BB34" s="61">
        <v>11773.234969999992</v>
      </c>
      <c r="BC34" s="61">
        <v>-2039.4363599999995</v>
      </c>
      <c r="BD34" s="61">
        <v>-22064.276810000003</v>
      </c>
      <c r="BE34" s="61">
        <v>-3367.0879999999997</v>
      </c>
      <c r="BF34" s="61">
        <v>15965.608600000001</v>
      </c>
      <c r="BG34" s="61">
        <f>SUM(BC34:BF34)</f>
        <v>-11505.192570000001</v>
      </c>
      <c r="BH34" s="61">
        <v>-8112.7379200000014</v>
      </c>
      <c r="BI34" s="61">
        <v>-9506.3862499999977</v>
      </c>
      <c r="BJ34" s="61">
        <v>5166.9893500000017</v>
      </c>
      <c r="BK34" s="61">
        <v>-3751.1830000000064</v>
      </c>
      <c r="BL34" s="244">
        <v>-16203.317820000004</v>
      </c>
      <c r="BM34" s="60">
        <v>-9083.8587763396208</v>
      </c>
      <c r="BN34" s="244">
        <v>-10962.646770000003</v>
      </c>
      <c r="BO34" s="61">
        <v>-18666.248119999997</v>
      </c>
      <c r="BP34" s="61">
        <v>-47039.013960000004</v>
      </c>
      <c r="BQ34" s="244">
        <v>-65695.062300000005</v>
      </c>
      <c r="BR34" s="60">
        <v>-23948.977770000005</v>
      </c>
      <c r="BS34" s="60">
        <v>35162.659150000007</v>
      </c>
      <c r="BT34" s="61">
        <v>-8205.1924699999963</v>
      </c>
    </row>
    <row r="35" spans="3:79" x14ac:dyDescent="0.35">
      <c r="C35" s="59" t="str">
        <f>IF('Índice - Index'!$D$14="Português","Mserviços - Outras Receitas e Despesas Oper.","Mserviços - Other Operating Expenses/Revenues")</f>
        <v>Mserviços - Outras Receitas e Despesas Oper.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244"/>
      <c r="BM35" s="60"/>
      <c r="BN35" s="244"/>
      <c r="BO35" s="61">
        <v>-5272.1820100000014</v>
      </c>
      <c r="BP35" s="61"/>
      <c r="BQ35" s="244"/>
      <c r="BR35" s="60"/>
      <c r="BS35" s="60"/>
      <c r="BT35" s="61">
        <v>-10365.138780000001</v>
      </c>
    </row>
    <row r="36" spans="3:79" x14ac:dyDescent="0.35">
      <c r="C36" s="59" t="str">
        <f>IF('Índice - Index'!$D$14="Português","Mbank - Outras Receitas e Despesas Oper.","Mbank - Other Operating Expenses/Revenues")</f>
        <v>Mbank - Outras Receitas e Despesas Oper.</v>
      </c>
      <c r="D36" s="61">
        <v>11694</v>
      </c>
      <c r="E36" s="61">
        <v>1905</v>
      </c>
      <c r="F36" s="61">
        <v>-22566</v>
      </c>
      <c r="G36" s="61">
        <v>13577</v>
      </c>
      <c r="H36" s="61">
        <v>2963</v>
      </c>
      <c r="I36" s="61">
        <v>-4121</v>
      </c>
      <c r="J36" s="61">
        <v>-5898</v>
      </c>
      <c r="K36" s="61">
        <v>-3614</v>
      </c>
      <c r="L36" s="61">
        <v>3947</v>
      </c>
      <c r="M36" s="61">
        <v>-2343</v>
      </c>
      <c r="N36" s="61">
        <v>-5479</v>
      </c>
      <c r="O36" s="61">
        <v>-4516</v>
      </c>
      <c r="P36" s="61">
        <v>-1872</v>
      </c>
      <c r="Q36" s="61">
        <v>-3659</v>
      </c>
      <c r="R36" s="61">
        <v>790</v>
      </c>
      <c r="S36" s="61">
        <v>-9257</v>
      </c>
      <c r="T36" s="61">
        <v>1498</v>
      </c>
      <c r="U36" s="61">
        <v>-2567</v>
      </c>
      <c r="V36" s="61">
        <v>-2606</v>
      </c>
      <c r="W36" s="61">
        <v>57</v>
      </c>
      <c r="X36" s="61">
        <v>-3588</v>
      </c>
      <c r="Y36" s="61">
        <v>-184</v>
      </c>
      <c r="Z36" s="61">
        <v>3676</v>
      </c>
      <c r="AA36" s="61">
        <v>-2795</v>
      </c>
      <c r="AB36" s="61">
        <v>3178</v>
      </c>
      <c r="AC36" s="61">
        <v>3875</v>
      </c>
      <c r="AD36" s="61">
        <v>902</v>
      </c>
      <c r="AE36" s="61">
        <v>-5800</v>
      </c>
      <c r="AF36" s="61">
        <v>-3334</v>
      </c>
      <c r="AG36" s="61">
        <v>3406</v>
      </c>
      <c r="AH36" s="61">
        <v>-4826</v>
      </c>
      <c r="AI36" s="61">
        <v>12961</v>
      </c>
      <c r="AJ36" s="61">
        <v>-2697</v>
      </c>
      <c r="AK36" s="61">
        <v>-1796</v>
      </c>
      <c r="AL36" s="61">
        <v>807</v>
      </c>
      <c r="AM36" s="61">
        <v>9275</v>
      </c>
      <c r="AN36" s="61">
        <v>-772</v>
      </c>
      <c r="AO36" s="61">
        <v>-2965</v>
      </c>
      <c r="AP36" s="61">
        <v>-2126</v>
      </c>
      <c r="AQ36" s="61">
        <v>-1836</v>
      </c>
      <c r="AR36" s="61">
        <v>-7699</v>
      </c>
      <c r="AS36" s="61">
        <v>-2824</v>
      </c>
      <c r="AT36" s="61">
        <v>-4084</v>
      </c>
      <c r="AU36" s="61">
        <v>-3089</v>
      </c>
      <c r="AV36" s="61">
        <v>-2849</v>
      </c>
      <c r="AW36" s="61">
        <v>-12846</v>
      </c>
      <c r="AX36" s="61">
        <v>-5972.9716199999975</v>
      </c>
      <c r="AY36" s="61">
        <v>-469.74042999999801</v>
      </c>
      <c r="AZ36" s="61">
        <v>-1252.5140299999994</v>
      </c>
      <c r="BA36" s="61">
        <v>-2995.6408200000042</v>
      </c>
      <c r="BB36" s="61">
        <v>-10690.866899999999</v>
      </c>
      <c r="BC36" s="61">
        <v>-1904.3466300000007</v>
      </c>
      <c r="BD36" s="61">
        <v>-885.78370999999902</v>
      </c>
      <c r="BE36" s="61">
        <v>-1775.7558600000009</v>
      </c>
      <c r="BF36" s="61">
        <f>BF33-BF34</f>
        <v>223.80326999999488</v>
      </c>
      <c r="BG36" s="61">
        <f>SUM(BC36:BF36)</f>
        <v>-4342.0829300000059</v>
      </c>
      <c r="BH36" s="61">
        <v>12120.727200000003</v>
      </c>
      <c r="BI36" s="61">
        <v>-5828.6985900000054</v>
      </c>
      <c r="BJ36" s="61">
        <v>-3849.6337699999949</v>
      </c>
      <c r="BK36" s="61">
        <v>-13551.90439</v>
      </c>
      <c r="BL36" s="244">
        <v>-11109.509549999997</v>
      </c>
      <c r="BM36" s="61">
        <v>-3610.1998999999996</v>
      </c>
      <c r="BN36" s="244">
        <v>-5787.5934800000005</v>
      </c>
      <c r="BO36" s="61">
        <v>922.98347000000012</v>
      </c>
      <c r="BP36" s="61">
        <v>-27479.41516</v>
      </c>
      <c r="BQ36" s="244">
        <v>-36987.022080000002</v>
      </c>
      <c r="BR36" s="61">
        <v>-3647.6792099999998</v>
      </c>
      <c r="BS36" s="61">
        <v>-4102.6622499999994</v>
      </c>
      <c r="BT36" s="61">
        <v>14323.587900000006</v>
      </c>
    </row>
    <row r="37" spans="3:79" x14ac:dyDescent="0.35">
      <c r="C37" s="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97"/>
      <c r="O37" s="181"/>
      <c r="P37" s="181"/>
      <c r="Q37" s="181"/>
      <c r="R37" s="181"/>
      <c r="S37" s="198"/>
      <c r="T37" s="181"/>
      <c r="U37" s="181"/>
      <c r="V37" s="181"/>
      <c r="W37" s="82"/>
      <c r="X37" s="82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259"/>
      <c r="BM37" s="181"/>
      <c r="BN37" s="259"/>
      <c r="BO37" s="181"/>
      <c r="BP37" s="181"/>
      <c r="BQ37" s="181"/>
      <c r="BR37" s="181"/>
      <c r="BS37" s="181"/>
      <c r="BT37" s="181"/>
    </row>
    <row r="38" spans="3:79" x14ac:dyDescent="0.35">
      <c r="C38" s="56" t="s">
        <v>0</v>
      </c>
      <c r="D38" s="57">
        <v>281589</v>
      </c>
      <c r="E38" s="57">
        <v>58845</v>
      </c>
      <c r="F38" s="57">
        <v>102445</v>
      </c>
      <c r="G38" s="57">
        <v>73596</v>
      </c>
      <c r="H38" s="57">
        <v>148615</v>
      </c>
      <c r="I38" s="57">
        <v>383501</v>
      </c>
      <c r="J38" s="57">
        <v>75101</v>
      </c>
      <c r="K38" s="57">
        <v>132481</v>
      </c>
      <c r="L38" s="57">
        <v>83684</v>
      </c>
      <c r="M38" s="57">
        <v>111258</v>
      </c>
      <c r="N38" s="57">
        <v>403329</v>
      </c>
      <c r="O38" s="57">
        <v>53168</v>
      </c>
      <c r="P38" s="57">
        <v>120692</v>
      </c>
      <c r="Q38" s="57">
        <v>124609</v>
      </c>
      <c r="R38" s="57">
        <v>200372</v>
      </c>
      <c r="S38" s="57">
        <v>498841</v>
      </c>
      <c r="T38" s="57">
        <v>71217</v>
      </c>
      <c r="U38" s="57">
        <v>122605</v>
      </c>
      <c r="V38" s="57">
        <v>83167</v>
      </c>
      <c r="W38" s="58">
        <v>93833</v>
      </c>
      <c r="X38" s="58">
        <v>370822</v>
      </c>
      <c r="Y38" s="57">
        <v>102985.99999999997</v>
      </c>
      <c r="Z38" s="57">
        <v>100606.00000000004</v>
      </c>
      <c r="AA38" s="57">
        <v>37235.000000000022</v>
      </c>
      <c r="AB38" s="57">
        <v>146411.00000000006</v>
      </c>
      <c r="AC38" s="57">
        <v>387238</v>
      </c>
      <c r="AD38" s="57">
        <v>64972</v>
      </c>
      <c r="AE38" s="57">
        <v>56936</v>
      </c>
      <c r="AF38" s="57">
        <v>45069</v>
      </c>
      <c r="AG38" s="57">
        <v>108900</v>
      </c>
      <c r="AH38" s="57">
        <v>275877</v>
      </c>
      <c r="AI38" s="57">
        <v>51330</v>
      </c>
      <c r="AJ38" s="57">
        <v>60676</v>
      </c>
      <c r="AK38" s="57">
        <v>7131</v>
      </c>
      <c r="AL38" s="57">
        <v>61598</v>
      </c>
      <c r="AM38" s="57">
        <v>180735</v>
      </c>
      <c r="AN38" s="57">
        <v>101616</v>
      </c>
      <c r="AO38" s="57">
        <v>42161</v>
      </c>
      <c r="AP38" s="57">
        <v>34107</v>
      </c>
      <c r="AQ38" s="57">
        <v>87704</v>
      </c>
      <c r="AR38" s="57">
        <v>265589</v>
      </c>
      <c r="AS38" s="57">
        <v>40702</v>
      </c>
      <c r="AT38" s="57">
        <v>47793</v>
      </c>
      <c r="AU38" s="57">
        <v>24290</v>
      </c>
      <c r="AV38" s="57">
        <v>305119.99999999977</v>
      </c>
      <c r="AW38" s="57">
        <v>417905</v>
      </c>
      <c r="AX38" s="57">
        <v>92829.330389999814</v>
      </c>
      <c r="AY38" s="57">
        <v>95708.730570000102</v>
      </c>
      <c r="AZ38" s="57">
        <v>47349.439529996518</v>
      </c>
      <c r="BA38" s="57">
        <v>168711.9816465145</v>
      </c>
      <c r="BB38" s="57">
        <v>404600.620506512</v>
      </c>
      <c r="BC38" s="57">
        <v>15363.101319992165</v>
      </c>
      <c r="BD38" s="57">
        <v>-130421.49883884451</v>
      </c>
      <c r="BE38" s="57">
        <v>-28293.225242165245</v>
      </c>
      <c r="BF38" s="57">
        <f>BF33+BF27+BF22</f>
        <v>112358.97526466782</v>
      </c>
      <c r="BG38" s="57">
        <f>BG33+BG27+BG22</f>
        <v>27925.309933650307</v>
      </c>
      <c r="BH38" s="57">
        <v>61582.883646339818</v>
      </c>
      <c r="BI38" s="57">
        <f t="shared" ref="BI38:BR38" si="21">BI33+BI27+BI22</f>
        <v>40055.560429999576</v>
      </c>
      <c r="BJ38" s="57">
        <f t="shared" si="21"/>
        <v>71997.436040000204</v>
      </c>
      <c r="BK38" s="239">
        <f t="shared" si="21"/>
        <v>101259.26631000004</v>
      </c>
      <c r="BL38" s="239">
        <f t="shared" si="21"/>
        <v>274895.1464263394</v>
      </c>
      <c r="BM38" s="239">
        <f t="shared" si="21"/>
        <v>18685.92902000001</v>
      </c>
      <c r="BN38" s="239">
        <f t="shared" si="21"/>
        <v>77386.670279999962</v>
      </c>
      <c r="BO38" s="57">
        <f t="shared" si="21"/>
        <v>28744.735059999977</v>
      </c>
      <c r="BP38" s="239">
        <f t="shared" si="21"/>
        <v>-69739.997400000226</v>
      </c>
      <c r="BQ38" s="239">
        <f t="shared" si="21"/>
        <v>76235.742346338811</v>
      </c>
      <c r="BR38" s="239">
        <f t="shared" si="21"/>
        <v>-11671.29042559996</v>
      </c>
      <c r="BS38" s="239">
        <f t="shared" ref="BS38:BT38" si="22">BS33+BS27+BS22</f>
        <v>26662.057963280531</v>
      </c>
      <c r="BT38" s="57">
        <f t="shared" si="22"/>
        <v>-73253.86920268042</v>
      </c>
      <c r="BU38" s="211"/>
    </row>
    <row r="39" spans="3:79" x14ac:dyDescent="0.35">
      <c r="C39" s="6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245"/>
      <c r="BO39" s="64"/>
      <c r="BP39" s="64"/>
      <c r="BQ39" s="64"/>
      <c r="BR39" s="64"/>
      <c r="BS39" s="64"/>
      <c r="BT39" s="64"/>
      <c r="BZ39" s="249"/>
      <c r="CA39" s="251"/>
    </row>
    <row r="40" spans="3:79" x14ac:dyDescent="0.35">
      <c r="C40" s="69" t="str">
        <f>IF('Índice - Index'!$D$14="Português","- Depreciação e Amortização","- D&amp;A")</f>
        <v>- Depreciação e Amortização</v>
      </c>
      <c r="D40" s="63">
        <v>-82350</v>
      </c>
      <c r="E40" s="63">
        <v>-24100</v>
      </c>
      <c r="F40" s="63">
        <v>-24610</v>
      </c>
      <c r="G40" s="63">
        <v>-23535</v>
      </c>
      <c r="H40" s="63">
        <v>-25302</v>
      </c>
      <c r="I40" s="63">
        <v>-97547</v>
      </c>
      <c r="J40" s="63">
        <v>-28453</v>
      </c>
      <c r="K40" s="63">
        <v>-27921</v>
      </c>
      <c r="L40" s="63">
        <v>-19268</v>
      </c>
      <c r="M40" s="63">
        <v>-39755</v>
      </c>
      <c r="N40" s="63">
        <v>-115397</v>
      </c>
      <c r="O40" s="63">
        <v>-31500</v>
      </c>
      <c r="P40" s="63">
        <v>-32422</v>
      </c>
      <c r="Q40" s="63">
        <v>-32533</v>
      </c>
      <c r="R40" s="63">
        <v>-46970</v>
      </c>
      <c r="S40" s="63">
        <v>-143425</v>
      </c>
      <c r="T40" s="63">
        <v>-39042</v>
      </c>
      <c r="U40" s="63">
        <v>-40122</v>
      </c>
      <c r="V40" s="63">
        <v>-41660</v>
      </c>
      <c r="W40" s="63">
        <v>-43540</v>
      </c>
      <c r="X40" s="63">
        <v>-164364</v>
      </c>
      <c r="Y40" s="63">
        <v>-46443.000699999997</v>
      </c>
      <c r="Z40" s="63">
        <v>-46976</v>
      </c>
      <c r="AA40" s="63">
        <v>-48119</v>
      </c>
      <c r="AB40" s="63">
        <v>-49034</v>
      </c>
      <c r="AC40" s="63">
        <v>-190572</v>
      </c>
      <c r="AD40" s="63">
        <v>-49096</v>
      </c>
      <c r="AE40" s="63">
        <v>-49025</v>
      </c>
      <c r="AF40" s="63">
        <v>-47123</v>
      </c>
      <c r="AG40" s="63">
        <v>-53561</v>
      </c>
      <c r="AH40" s="63">
        <v>-198805</v>
      </c>
      <c r="AI40" s="63">
        <v>-42737</v>
      </c>
      <c r="AJ40" s="63">
        <v>-43990</v>
      </c>
      <c r="AK40" s="63">
        <v>-42870</v>
      </c>
      <c r="AL40" s="63">
        <v>-41783</v>
      </c>
      <c r="AM40" s="63">
        <v>-171380</v>
      </c>
      <c r="AN40" s="63">
        <v>-39348</v>
      </c>
      <c r="AO40" s="63">
        <v>-38629</v>
      </c>
      <c r="AP40" s="63">
        <v>-38097</v>
      </c>
      <c r="AQ40" s="63">
        <v>-37605</v>
      </c>
      <c r="AR40" s="63">
        <v>-153679</v>
      </c>
      <c r="AS40" s="63">
        <v>-36402</v>
      </c>
      <c r="AT40" s="63">
        <v>-34972</v>
      </c>
      <c r="AU40" s="63">
        <v>-33967</v>
      </c>
      <c r="AV40" s="63">
        <v>-32565</v>
      </c>
      <c r="AW40" s="63">
        <v>-137906</v>
      </c>
      <c r="AX40" s="63">
        <v>-80698.605710000003</v>
      </c>
      <c r="AY40" s="63">
        <v>-85432.649579999998</v>
      </c>
      <c r="AZ40" s="63">
        <v>-80873.548920000001</v>
      </c>
      <c r="BA40" s="63">
        <v>-80985.281349999976</v>
      </c>
      <c r="BB40" s="63">
        <v>-327990.08555999998</v>
      </c>
      <c r="BC40" s="63">
        <v>-77802.21209999999</v>
      </c>
      <c r="BD40" s="63">
        <v>-72610.963229999979</v>
      </c>
      <c r="BE40" s="63">
        <v>-69881.456029999958</v>
      </c>
      <c r="BF40" s="63">
        <v>-78109.22830000009</v>
      </c>
      <c r="BG40" s="63">
        <v>-298403.85966000002</v>
      </c>
      <c r="BH40" s="63">
        <v>-69773.930429999993</v>
      </c>
      <c r="BI40" s="63">
        <v>-68512.060260000013</v>
      </c>
      <c r="BJ40" s="63">
        <v>-68772.492829999988</v>
      </c>
      <c r="BK40" s="63">
        <v>-69145.9731300001</v>
      </c>
      <c r="BL40" s="260">
        <v>-276204.45665000012</v>
      </c>
      <c r="BM40" s="63">
        <v>-68978.053209999998</v>
      </c>
      <c r="BN40" s="245">
        <v>-69031.051330000002</v>
      </c>
      <c r="BO40" s="63">
        <v>-63400.814539999999</v>
      </c>
      <c r="BP40" s="63">
        <v>-66313.429130000004</v>
      </c>
      <c r="BQ40" s="63">
        <v>-267723.34820999997</v>
      </c>
      <c r="BR40" s="63">
        <v>-61735.025110000002</v>
      </c>
      <c r="BS40" s="63">
        <v>-51915.455120000006</v>
      </c>
      <c r="BT40" s="63">
        <v>-46081.857199999984</v>
      </c>
      <c r="BZ40" s="256"/>
      <c r="CA40" s="257"/>
    </row>
    <row r="41" spans="3:79" x14ac:dyDescent="0.35">
      <c r="C41" s="69" t="str">
        <f>IF('Índice - Index'!$D$14="Português","- Equivalência Patrimonial","- Equity Results")</f>
        <v>- Equivalência Patrimonial</v>
      </c>
      <c r="D41" s="71">
        <v>0</v>
      </c>
      <c r="E41" s="71" t="s">
        <v>16</v>
      </c>
      <c r="F41" s="71" t="s">
        <v>16</v>
      </c>
      <c r="G41" s="71" t="s">
        <v>16</v>
      </c>
      <c r="H41" s="71" t="s">
        <v>16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-1206</v>
      </c>
      <c r="AB41" s="71">
        <v>-773</v>
      </c>
      <c r="AC41" s="71">
        <v>-1979</v>
      </c>
      <c r="AD41" s="71">
        <v>-1983</v>
      </c>
      <c r="AE41" s="71">
        <v>-1841</v>
      </c>
      <c r="AF41" s="71">
        <v>-489</v>
      </c>
      <c r="AG41" s="71">
        <v>-2026</v>
      </c>
      <c r="AH41" s="71">
        <v>-6339</v>
      </c>
      <c r="AI41" s="71">
        <v>0</v>
      </c>
      <c r="AJ41" s="71">
        <v>0</v>
      </c>
      <c r="AK41" s="71">
        <v>0</v>
      </c>
      <c r="AL41" s="71">
        <v>0</v>
      </c>
      <c r="AM41" s="71">
        <v>0</v>
      </c>
      <c r="AN41" s="71">
        <v>0</v>
      </c>
      <c r="AO41" s="71">
        <v>0</v>
      </c>
      <c r="AP41" s="71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0</v>
      </c>
      <c r="BJ41" s="71">
        <v>0</v>
      </c>
      <c r="BK41" s="71">
        <v>0</v>
      </c>
      <c r="BL41" s="260">
        <v>0</v>
      </c>
      <c r="BM41" s="71">
        <v>0</v>
      </c>
      <c r="BN41" s="260">
        <v>0</v>
      </c>
      <c r="BO41" s="71">
        <v>0</v>
      </c>
      <c r="BP41" s="71">
        <v>0</v>
      </c>
      <c r="BQ41" s="71">
        <v>0</v>
      </c>
      <c r="BR41" s="71">
        <v>0</v>
      </c>
      <c r="BS41" s="71">
        <v>0</v>
      </c>
      <c r="BT41" s="71">
        <v>0</v>
      </c>
      <c r="BZ41" s="249"/>
      <c r="CA41" s="251"/>
    </row>
    <row r="42" spans="3:79" x14ac:dyDescent="0.35">
      <c r="C42" s="69" t="str">
        <f>IF('Índice - Index'!$D$14="Português","- Financeiras, Líquidas","- Financial Expenses, net")</f>
        <v>- Financeiras, Líquidas</v>
      </c>
      <c r="D42" s="63">
        <v>-16207</v>
      </c>
      <c r="E42" s="63">
        <v>-3141</v>
      </c>
      <c r="F42" s="63">
        <v>-2530</v>
      </c>
      <c r="G42" s="63">
        <v>-6542</v>
      </c>
      <c r="H42" s="63">
        <v>-8049</v>
      </c>
      <c r="I42" s="63">
        <v>-20262</v>
      </c>
      <c r="J42" s="63">
        <v>-8489</v>
      </c>
      <c r="K42" s="63">
        <v>-14140</v>
      </c>
      <c r="L42" s="63">
        <v>-18216</v>
      </c>
      <c r="M42" s="63">
        <v>-21354</v>
      </c>
      <c r="N42" s="63">
        <v>-63005</v>
      </c>
      <c r="O42" s="63">
        <v>-25906</v>
      </c>
      <c r="P42" s="63">
        <v>-19576</v>
      </c>
      <c r="Q42" s="63">
        <v>-13224</v>
      </c>
      <c r="R42" s="63">
        <v>-6415</v>
      </c>
      <c r="S42" s="63">
        <v>-65121</v>
      </c>
      <c r="T42" s="63">
        <v>-21631</v>
      </c>
      <c r="U42" s="63">
        <v>-28022</v>
      </c>
      <c r="V42" s="63">
        <v>-25194</v>
      </c>
      <c r="W42" s="63">
        <v>-12260</v>
      </c>
      <c r="X42" s="63">
        <v>-87107</v>
      </c>
      <c r="Y42" s="63">
        <v>-40693.209409999996</v>
      </c>
      <c r="Z42" s="63">
        <v>-43216</v>
      </c>
      <c r="AA42" s="63">
        <v>-26005</v>
      </c>
      <c r="AB42" s="63">
        <v>-28342</v>
      </c>
      <c r="AC42" s="63">
        <v>-138256</v>
      </c>
      <c r="AD42" s="63">
        <v>-29880</v>
      </c>
      <c r="AE42" s="63">
        <v>-39497</v>
      </c>
      <c r="AF42" s="63">
        <v>-36759</v>
      </c>
      <c r="AG42" s="63">
        <v>-40605</v>
      </c>
      <c r="AH42" s="63">
        <v>-146741</v>
      </c>
      <c r="AI42" s="63">
        <v>-35064</v>
      </c>
      <c r="AJ42" s="63">
        <v>-35771</v>
      </c>
      <c r="AK42" s="63">
        <v>-39924</v>
      </c>
      <c r="AL42" s="63">
        <v>-43511</v>
      </c>
      <c r="AM42" s="63">
        <v>-154270</v>
      </c>
      <c r="AN42" s="63">
        <v>-33781</v>
      </c>
      <c r="AO42" s="63">
        <v>-30682</v>
      </c>
      <c r="AP42" s="63">
        <v>-30929</v>
      </c>
      <c r="AQ42" s="63">
        <v>-25077</v>
      </c>
      <c r="AR42" s="63">
        <v>-120469</v>
      </c>
      <c r="AS42" s="63">
        <v>-17075</v>
      </c>
      <c r="AT42" s="63">
        <v>-27238</v>
      </c>
      <c r="AU42" s="63">
        <v>-14176</v>
      </c>
      <c r="AV42" s="63">
        <v>331738</v>
      </c>
      <c r="AW42" s="63">
        <v>273249</v>
      </c>
      <c r="AX42" s="63">
        <v>-34275.934290000005</v>
      </c>
      <c r="AY42" s="63">
        <v>-38886.102639999983</v>
      </c>
      <c r="AZ42" s="63">
        <v>-37915.956220000007</v>
      </c>
      <c r="BA42" s="63">
        <v>-45476.175620000024</v>
      </c>
      <c r="BB42" s="63">
        <v>-156554.16877000002</v>
      </c>
      <c r="BC42" s="63">
        <v>-33719.430070000002</v>
      </c>
      <c r="BD42" s="63">
        <v>-41226.11069999999</v>
      </c>
      <c r="BE42" s="63">
        <v>-35264.635050000012</v>
      </c>
      <c r="BF42" s="63">
        <v>-54403.427629999991</v>
      </c>
      <c r="BG42" s="63">
        <v>-164613.60345</v>
      </c>
      <c r="BH42" s="63">
        <v>-41106.190310000005</v>
      </c>
      <c r="BI42" s="63">
        <v>-39120.50933999999</v>
      </c>
      <c r="BJ42" s="63">
        <v>-37778.485769999999</v>
      </c>
      <c r="BK42" s="63">
        <v>-51777.239609999968</v>
      </c>
      <c r="BL42" s="245">
        <v>-169782.42502999995</v>
      </c>
      <c r="BM42" s="63">
        <v>-45489.779020000002</v>
      </c>
      <c r="BN42" s="245">
        <v>-70501.120490000001</v>
      </c>
      <c r="BO42" s="63">
        <v>-87603.869900000005</v>
      </c>
      <c r="BP42" s="63">
        <v>-102755.79956999994</v>
      </c>
      <c r="BQ42" s="63">
        <v>-302323.40768999996</v>
      </c>
      <c r="BR42" s="63">
        <v>-84131.55478999998</v>
      </c>
      <c r="BS42" s="63">
        <v>-55311.160089999998</v>
      </c>
      <c r="BT42" s="63">
        <v>-77039.968355000034</v>
      </c>
      <c r="BZ42" s="249"/>
      <c r="CA42" s="251"/>
    </row>
    <row r="43" spans="3:79" x14ac:dyDescent="0.35">
      <c r="C43" s="69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245"/>
      <c r="BO43" s="63"/>
      <c r="BP43" s="63"/>
      <c r="BQ43" s="63"/>
      <c r="BR43" s="63"/>
      <c r="BS43" s="63"/>
      <c r="BT43" s="63"/>
    </row>
    <row r="44" spans="3:79" x14ac:dyDescent="0.35">
      <c r="C44" s="56" t="str">
        <f>IF('Índice - Index'!$D$14="Português","Lucro Antes do IR/CS","Net Profit before Taxes")</f>
        <v>Lucro Antes do IR/CS</v>
      </c>
      <c r="D44" s="57">
        <f t="shared" ref="D44:I44" si="23">SUM(D38,D40:D42)</f>
        <v>183032</v>
      </c>
      <c r="E44" s="57">
        <f t="shared" si="23"/>
        <v>31604</v>
      </c>
      <c r="F44" s="57">
        <f t="shared" si="23"/>
        <v>75305</v>
      </c>
      <c r="G44" s="57">
        <f t="shared" si="23"/>
        <v>43519</v>
      </c>
      <c r="H44" s="57">
        <f t="shared" si="23"/>
        <v>115264</v>
      </c>
      <c r="I44" s="57">
        <f t="shared" si="23"/>
        <v>265692</v>
      </c>
      <c r="J44" s="57">
        <f t="shared" ref="J44:X44" si="24">SUM(J38,J40:J42)</f>
        <v>38159</v>
      </c>
      <c r="K44" s="57">
        <f t="shared" si="24"/>
        <v>90420</v>
      </c>
      <c r="L44" s="57">
        <f t="shared" si="24"/>
        <v>46200</v>
      </c>
      <c r="M44" s="57">
        <f t="shared" si="24"/>
        <v>50149</v>
      </c>
      <c r="N44" s="57">
        <f t="shared" si="24"/>
        <v>224927</v>
      </c>
      <c r="O44" s="57">
        <f t="shared" si="24"/>
        <v>-4238</v>
      </c>
      <c r="P44" s="57">
        <f t="shared" si="24"/>
        <v>68694</v>
      </c>
      <c r="Q44" s="57">
        <f t="shared" si="24"/>
        <v>78852</v>
      </c>
      <c r="R44" s="57">
        <f t="shared" si="24"/>
        <v>146987</v>
      </c>
      <c r="S44" s="57">
        <f t="shared" si="24"/>
        <v>290295</v>
      </c>
      <c r="T44" s="57">
        <f t="shared" si="24"/>
        <v>10544</v>
      </c>
      <c r="U44" s="57">
        <f t="shared" si="24"/>
        <v>54461</v>
      </c>
      <c r="V44" s="57">
        <f t="shared" si="24"/>
        <v>16313</v>
      </c>
      <c r="W44" s="57">
        <f t="shared" si="24"/>
        <v>38033</v>
      </c>
      <c r="X44" s="57">
        <f t="shared" si="24"/>
        <v>119351</v>
      </c>
      <c r="Y44" s="57">
        <f>Y38+SUM(Y40:Y42)</f>
        <v>15849.789889999985</v>
      </c>
      <c r="Z44" s="57">
        <f>Z38+SUM(Z40:Z42)</f>
        <v>10414.000000000044</v>
      </c>
      <c r="AA44" s="57">
        <f>AA38+SUM(AA40:AA42)</f>
        <v>-38094.999999999978</v>
      </c>
      <c r="AB44" s="57">
        <f>AB38+SUM(AB40:AB42)</f>
        <v>68262.000000000058</v>
      </c>
      <c r="AC44" s="57">
        <v>56431</v>
      </c>
      <c r="AD44" s="57">
        <v>-15987</v>
      </c>
      <c r="AE44" s="57">
        <v>-33427</v>
      </c>
      <c r="AF44" s="57">
        <v>-39302</v>
      </c>
      <c r="AG44" s="57">
        <v>12708</v>
      </c>
      <c r="AH44" s="57">
        <v>-76008</v>
      </c>
      <c r="AI44" s="57">
        <v>-26471</v>
      </c>
      <c r="AJ44" s="57">
        <v>-19085</v>
      </c>
      <c r="AK44" s="57">
        <v>-75663</v>
      </c>
      <c r="AL44" s="57">
        <v>-23696</v>
      </c>
      <c r="AM44" s="57">
        <v>-144915</v>
      </c>
      <c r="AN44" s="57">
        <v>28487</v>
      </c>
      <c r="AO44" s="57">
        <v>-27150</v>
      </c>
      <c r="AP44" s="57">
        <v>-34919</v>
      </c>
      <c r="AQ44" s="57">
        <v>25022</v>
      </c>
      <c r="AR44" s="57">
        <v>-8559</v>
      </c>
      <c r="AS44" s="57">
        <v>-12775</v>
      </c>
      <c r="AT44" s="57">
        <v>-14417</v>
      </c>
      <c r="AU44" s="57">
        <v>-23853</v>
      </c>
      <c r="AV44" s="57">
        <v>604292.99999999977</v>
      </c>
      <c r="AW44" s="57">
        <v>553248</v>
      </c>
      <c r="AX44" s="57">
        <v>-22145.209610000195</v>
      </c>
      <c r="AY44" s="57">
        <v>-28610.021649999879</v>
      </c>
      <c r="AZ44" s="57">
        <v>-71440.065610003483</v>
      </c>
      <c r="BA44" s="57">
        <v>42250.524676514498</v>
      </c>
      <c r="BB44" s="57">
        <v>-79943.633823488461</v>
      </c>
      <c r="BC44" s="57">
        <v>-96158.540850007819</v>
      </c>
      <c r="BD44" s="57">
        <v>-185340.61533884445</v>
      </c>
      <c r="BE44" s="57">
        <v>-133439.31632216522</v>
      </c>
      <c r="BF44" s="57">
        <f>BF48-BF46</f>
        <v>-20153.680665332242</v>
      </c>
      <c r="BG44" s="57">
        <f>BG48-BG46</f>
        <v>-435092.15317634982</v>
      </c>
      <c r="BH44" s="57">
        <v>-49297.237093660187</v>
      </c>
      <c r="BI44" s="57">
        <v>-67579.009170000354</v>
      </c>
      <c r="BJ44" s="57">
        <v>-34553.542559999842</v>
      </c>
      <c r="BK44" s="57">
        <f t="shared" ref="BK44:BT44" si="25">SUM(BK40:BK42,BK38)</f>
        <v>-19663.94643000004</v>
      </c>
      <c r="BL44" s="57">
        <f t="shared" si="25"/>
        <v>-171091.73525366071</v>
      </c>
      <c r="BM44" s="57">
        <f t="shared" si="25"/>
        <v>-95781.903209999989</v>
      </c>
      <c r="BN44" s="239">
        <f t="shared" si="25"/>
        <v>-62145.501540000027</v>
      </c>
      <c r="BO44" s="57">
        <f t="shared" si="25"/>
        <v>-122259.94938000003</v>
      </c>
      <c r="BP44" s="57">
        <f t="shared" si="25"/>
        <v>-238809.22610000017</v>
      </c>
      <c r="BQ44" s="57">
        <f t="shared" si="25"/>
        <v>-493811.01355366118</v>
      </c>
      <c r="BR44" s="57">
        <f t="shared" si="25"/>
        <v>-157537.87032559994</v>
      </c>
      <c r="BS44" s="57">
        <f t="shared" si="25"/>
        <v>-80564.557246719472</v>
      </c>
      <c r="BT44" s="57">
        <f t="shared" si="25"/>
        <v>-196375.69475768044</v>
      </c>
    </row>
    <row r="45" spans="3:79" x14ac:dyDescent="0.35">
      <c r="C45" s="69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245"/>
      <c r="BO45" s="63"/>
      <c r="BP45" s="63"/>
      <c r="BQ45" s="63"/>
      <c r="BR45" s="63"/>
      <c r="BS45" s="63"/>
      <c r="BT45" s="63"/>
    </row>
    <row r="46" spans="3:79" x14ac:dyDescent="0.35">
      <c r="C46" s="69" t="str">
        <f>IF('Índice - Index'!$D$14="Português","- IR e CSLL","- Income Tax")</f>
        <v>- IR e CSLL</v>
      </c>
      <c r="D46" s="63">
        <v>-41780</v>
      </c>
      <c r="E46" s="63">
        <v>-6133</v>
      </c>
      <c r="F46" s="63">
        <v>-21309</v>
      </c>
      <c r="G46" s="63">
        <v>-1901</v>
      </c>
      <c r="H46" s="63">
        <v>-27674</v>
      </c>
      <c r="I46" s="63">
        <v>-57017</v>
      </c>
      <c r="J46" s="63">
        <v>-2133</v>
      </c>
      <c r="K46" s="63">
        <v>-19250</v>
      </c>
      <c r="L46" s="63">
        <v>-12175</v>
      </c>
      <c r="M46" s="63">
        <v>-13876</v>
      </c>
      <c r="N46" s="63">
        <v>-47434</v>
      </c>
      <c r="O46" s="63">
        <v>4624</v>
      </c>
      <c r="P46" s="63">
        <v>-21100</v>
      </c>
      <c r="Q46" s="63">
        <v>-12520</v>
      </c>
      <c r="R46" s="63">
        <v>-31385</v>
      </c>
      <c r="S46" s="63">
        <v>-60381</v>
      </c>
      <c r="T46" s="63">
        <v>-1798</v>
      </c>
      <c r="U46" s="63">
        <v>-15664</v>
      </c>
      <c r="V46" s="63">
        <v>-4062</v>
      </c>
      <c r="W46" s="63">
        <v>-12328</v>
      </c>
      <c r="X46" s="63">
        <v>-33852</v>
      </c>
      <c r="Y46" s="63">
        <v>-2090.4767799999936</v>
      </c>
      <c r="Z46" s="63">
        <v>1451</v>
      </c>
      <c r="AA46" s="63">
        <v>19713</v>
      </c>
      <c r="AB46" s="63">
        <v>-24422</v>
      </c>
      <c r="AC46" s="63">
        <v>-5349</v>
      </c>
      <c r="AD46" s="63">
        <v>10699</v>
      </c>
      <c r="AE46" s="63">
        <v>13158</v>
      </c>
      <c r="AF46" s="63">
        <v>12351</v>
      </c>
      <c r="AG46" s="63">
        <v>4036</v>
      </c>
      <c r="AH46" s="63">
        <v>40244</v>
      </c>
      <c r="AI46" s="63">
        <v>9290</v>
      </c>
      <c r="AJ46" s="63">
        <v>680</v>
      </c>
      <c r="AK46" s="63">
        <v>29244</v>
      </c>
      <c r="AL46" s="63">
        <v>17695</v>
      </c>
      <c r="AM46" s="63">
        <v>56909</v>
      </c>
      <c r="AN46" s="63">
        <v>-13741</v>
      </c>
      <c r="AO46" s="63">
        <v>2771</v>
      </c>
      <c r="AP46" s="63">
        <v>-15561</v>
      </c>
      <c r="AQ46" s="63">
        <v>-25348</v>
      </c>
      <c r="AR46" s="63">
        <v>-51879</v>
      </c>
      <c r="AS46" s="63">
        <v>-28305</v>
      </c>
      <c r="AT46" s="63">
        <v>-22591</v>
      </c>
      <c r="AU46" s="63">
        <v>-29231</v>
      </c>
      <c r="AV46" s="63">
        <v>-444758</v>
      </c>
      <c r="AW46" s="63">
        <v>-524885</v>
      </c>
      <c r="AX46" s="63">
        <v>-18721.135149999998</v>
      </c>
      <c r="AY46" s="63">
        <v>327.54445999999734</v>
      </c>
      <c r="AZ46" s="63">
        <v>-4546.7523099999999</v>
      </c>
      <c r="BA46" s="63">
        <v>-9478.5199399999983</v>
      </c>
      <c r="BB46" s="63">
        <v>-32418.862939999999</v>
      </c>
      <c r="BC46" s="63">
        <v>-10954.14114</v>
      </c>
      <c r="BD46" s="63">
        <v>13638.36334</v>
      </c>
      <c r="BE46" s="63">
        <v>8961.5604200000016</v>
      </c>
      <c r="BF46" s="63">
        <v>-8749.8675600000024</v>
      </c>
      <c r="BG46" s="63">
        <v>2895.9150600000003</v>
      </c>
      <c r="BH46" s="63">
        <v>-4081.0354199999988</v>
      </c>
      <c r="BI46" s="63">
        <v>8073.617119999999</v>
      </c>
      <c r="BJ46" s="63">
        <v>78931.783469999995</v>
      </c>
      <c r="BK46" s="63">
        <v>-4867.7160099999901</v>
      </c>
      <c r="BL46" s="63">
        <v>78054.41492000001</v>
      </c>
      <c r="BM46" s="63">
        <v>5063.9032099999995</v>
      </c>
      <c r="BN46" s="245">
        <v>27326.136290000002</v>
      </c>
      <c r="BO46" s="63">
        <v>20210.703450000001</v>
      </c>
      <c r="BP46" s="63">
        <v>-78171.217870000008</v>
      </c>
      <c r="BQ46" s="63">
        <v>-25570</v>
      </c>
      <c r="BR46" s="63">
        <v>8571.22919</v>
      </c>
      <c r="BS46" s="63">
        <v>17156.177599999995</v>
      </c>
      <c r="BT46" s="63">
        <v>-9.6502899999995861</v>
      </c>
    </row>
    <row r="47" spans="3:79" x14ac:dyDescent="0.35">
      <c r="C47" s="69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245"/>
      <c r="BO47" s="64"/>
      <c r="BP47" s="64"/>
      <c r="BQ47" s="64"/>
      <c r="BR47" s="64"/>
      <c r="BS47" s="64"/>
      <c r="BT47" s="64"/>
    </row>
    <row r="48" spans="3:79" x14ac:dyDescent="0.35">
      <c r="C48" s="56" t="str">
        <f>IF('Índice - Index'!$D$14="Português","Lucro Líquido","Net Profit")</f>
        <v>Lucro Líquido</v>
      </c>
      <c r="D48" s="57">
        <f>SUM(D44:D47)</f>
        <v>141252</v>
      </c>
      <c r="E48" s="57">
        <f>SUM(E44:E47)</f>
        <v>25471</v>
      </c>
      <c r="F48" s="57">
        <f>SUM(F44:F47)</f>
        <v>53996</v>
      </c>
      <c r="G48" s="57">
        <f>SUM(G44:G47)</f>
        <v>41618</v>
      </c>
      <c r="H48" s="57">
        <f>SUM(H44:H47)</f>
        <v>87590</v>
      </c>
      <c r="I48" s="57">
        <f t="shared" ref="I48:X48" si="26">SUM(I44:I47)</f>
        <v>208675</v>
      </c>
      <c r="J48" s="57">
        <f t="shared" si="26"/>
        <v>36026</v>
      </c>
      <c r="K48" s="57">
        <f t="shared" si="26"/>
        <v>71170</v>
      </c>
      <c r="L48" s="57">
        <f t="shared" si="26"/>
        <v>34025</v>
      </c>
      <c r="M48" s="57">
        <f t="shared" si="26"/>
        <v>36273</v>
      </c>
      <c r="N48" s="57">
        <f t="shared" si="26"/>
        <v>177493</v>
      </c>
      <c r="O48" s="57">
        <f t="shared" si="26"/>
        <v>386</v>
      </c>
      <c r="P48" s="57">
        <f t="shared" si="26"/>
        <v>47594</v>
      </c>
      <c r="Q48" s="57">
        <f t="shared" si="26"/>
        <v>66332</v>
      </c>
      <c r="R48" s="57">
        <f t="shared" si="26"/>
        <v>115602</v>
      </c>
      <c r="S48" s="57">
        <f t="shared" si="26"/>
        <v>229914</v>
      </c>
      <c r="T48" s="57">
        <f t="shared" si="26"/>
        <v>8746</v>
      </c>
      <c r="U48" s="57">
        <f t="shared" si="26"/>
        <v>38797</v>
      </c>
      <c r="V48" s="57">
        <f t="shared" si="26"/>
        <v>12251</v>
      </c>
      <c r="W48" s="57">
        <f t="shared" si="26"/>
        <v>25705</v>
      </c>
      <c r="X48" s="57">
        <f t="shared" si="26"/>
        <v>85499</v>
      </c>
      <c r="Y48" s="57">
        <v>13759.125290000007</v>
      </c>
      <c r="Z48" s="57">
        <v>11865.000000000044</v>
      </c>
      <c r="AA48" s="57">
        <v>-18381.999999999978</v>
      </c>
      <c r="AB48" s="57">
        <v>43840.000000000058</v>
      </c>
      <c r="AC48" s="57">
        <v>51082</v>
      </c>
      <c r="AD48" s="57">
        <v>-5288</v>
      </c>
      <c r="AE48" s="57">
        <v>-20269</v>
      </c>
      <c r="AF48" s="57">
        <v>-26951</v>
      </c>
      <c r="AG48" s="57">
        <v>16744</v>
      </c>
      <c r="AH48" s="57">
        <v>-35764</v>
      </c>
      <c r="AI48" s="57">
        <v>-17181</v>
      </c>
      <c r="AJ48" s="57">
        <v>-18405</v>
      </c>
      <c r="AK48" s="57">
        <v>-46419</v>
      </c>
      <c r="AL48" s="57">
        <v>-6001</v>
      </c>
      <c r="AM48" s="57">
        <v>-88006</v>
      </c>
      <c r="AN48" s="57">
        <v>14746</v>
      </c>
      <c r="AO48" s="57">
        <v>-24379</v>
      </c>
      <c r="AP48" s="57">
        <v>-50480</v>
      </c>
      <c r="AQ48" s="57">
        <v>-326</v>
      </c>
      <c r="AR48" s="57">
        <v>-60438</v>
      </c>
      <c r="AS48" s="57">
        <v>-41080</v>
      </c>
      <c r="AT48" s="57">
        <v>-37008</v>
      </c>
      <c r="AU48" s="57">
        <v>-53084</v>
      </c>
      <c r="AV48" s="57">
        <v>159534.99999999977</v>
      </c>
      <c r="AW48" s="57">
        <v>28363</v>
      </c>
      <c r="AX48" s="57">
        <v>-40865.344760000196</v>
      </c>
      <c r="AY48" s="57">
        <v>-28282.477189999881</v>
      </c>
      <c r="AZ48" s="57">
        <v>-75986.817920003479</v>
      </c>
      <c r="BA48" s="57">
        <v>32772.0047365145</v>
      </c>
      <c r="BB48" s="57">
        <v>-112362.49676348845</v>
      </c>
      <c r="BC48" s="57">
        <v>-107112.68199000781</v>
      </c>
      <c r="BD48" s="57">
        <v>-171702.25199884444</v>
      </c>
      <c r="BE48" s="57">
        <v>-124477.75590216523</v>
      </c>
      <c r="BF48" s="57">
        <v>-28903.548225332244</v>
      </c>
      <c r="BG48" s="57">
        <v>-432196.23811634979</v>
      </c>
      <c r="BH48" s="57">
        <v>-53378.272513660188</v>
      </c>
      <c r="BI48" s="57">
        <f>BI44+BI46</f>
        <v>-59505.392050000359</v>
      </c>
      <c r="BJ48" s="57">
        <f>BJ44+BJ46</f>
        <v>44378.240910000153</v>
      </c>
      <c r="BK48" s="57">
        <f t="shared" ref="BK48:BR48" si="27">SUM(BK44:BK46)</f>
        <v>-24531.662440000029</v>
      </c>
      <c r="BL48" s="57">
        <f t="shared" si="27"/>
        <v>-93037.320333660697</v>
      </c>
      <c r="BM48" s="57">
        <f t="shared" si="27"/>
        <v>-90717.999999999985</v>
      </c>
      <c r="BN48" s="239">
        <f t="shared" si="27"/>
        <v>-34819.365250000024</v>
      </c>
      <c r="BO48" s="57">
        <f t="shared" si="27"/>
        <v>-102049.24593000003</v>
      </c>
      <c r="BP48" s="57">
        <f t="shared" si="27"/>
        <v>-316980.4439700002</v>
      </c>
      <c r="BQ48" s="57">
        <f t="shared" si="27"/>
        <v>-519381.01355366118</v>
      </c>
      <c r="BR48" s="57">
        <f t="shared" si="27"/>
        <v>-148966.64113559993</v>
      </c>
      <c r="BS48" s="57">
        <f t="shared" ref="BS48:BT48" si="28">SUM(BS44:BS46)</f>
        <v>-63408.379646719477</v>
      </c>
      <c r="BT48" s="57">
        <f t="shared" si="28"/>
        <v>-196385.34504768043</v>
      </c>
    </row>
    <row r="49" spans="3:73" x14ac:dyDescent="0.35">
      <c r="C49" s="72"/>
      <c r="AE49" s="73"/>
    </row>
    <row r="50" spans="3:73" x14ac:dyDescent="0.35">
      <c r="C50" s="56" t="str">
        <f>IF('Índice - Index'!$D$14="Português","EBITDA Ajustado* - Varejo IFRS 16"," Retail - Adjusted EBITDA IFRS16")</f>
        <v>EBITDA Ajustado* - Varejo IFRS 16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8"/>
      <c r="X50" s="58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>
        <v>53438.000000000007</v>
      </c>
      <c r="AR50" s="57">
        <v>87209.999999999724</v>
      </c>
      <c r="AS50" s="57">
        <v>-32741.278000000002</v>
      </c>
      <c r="AT50" s="57">
        <v>14592.816569999979</v>
      </c>
      <c r="AU50" s="57">
        <v>9180.329456317033</v>
      </c>
      <c r="AV50" s="57">
        <v>300692.85357039992</v>
      </c>
      <c r="AW50" s="57">
        <v>291724.72092671681</v>
      </c>
      <c r="AX50" s="57">
        <v>42764.167985949884</v>
      </c>
      <c r="AY50" s="57">
        <v>55550.596113649946</v>
      </c>
      <c r="AZ50" s="57">
        <v>32162.298128899252</v>
      </c>
      <c r="BA50" s="57">
        <v>116530.86261799988</v>
      </c>
      <c r="BB50" s="57">
        <v>247007.84809799911</v>
      </c>
      <c r="BC50" s="57">
        <v>-26567.408771974944</v>
      </c>
      <c r="BD50" s="57">
        <v>-57432.590533974784</v>
      </c>
      <c r="BE50" s="57">
        <v>-24483.566180025533</v>
      </c>
      <c r="BF50" s="57">
        <v>99276.472245973433</v>
      </c>
      <c r="BG50" s="57">
        <v>-9207.093240001821</v>
      </c>
      <c r="BH50" s="57">
        <v>-33118.204557224795</v>
      </c>
      <c r="BI50" s="57">
        <v>41745.480922949624</v>
      </c>
      <c r="BJ50" s="57">
        <v>30728.335155874978</v>
      </c>
      <c r="BK50" s="57">
        <f>SUM(BK34,BK29,BK28,BK23)</f>
        <v>85916.058345349913</v>
      </c>
      <c r="BL50" s="57">
        <f>SUM(BL34,BL29,BL28,BL23)</f>
        <v>118945.15867222496</v>
      </c>
      <c r="BM50" s="57">
        <f>SUM(BM34,BM29,BM28,BM23)</f>
        <v>757.4116303853516</v>
      </c>
      <c r="BN50" s="57">
        <f>SUM(BN34,BN29,BN28,BN23)</f>
        <v>92059.596627399937</v>
      </c>
      <c r="BO50" s="57">
        <f>SUM(BO34,BO29,BO28,BO23)</f>
        <v>47971.835739999864</v>
      </c>
      <c r="BP50" s="57">
        <f t="shared" ref="BP50:BQ50" si="29">SUM(BP34,BP29,BP28,BP23)</f>
        <v>83156.079257974809</v>
      </c>
      <c r="BQ50" s="57">
        <f t="shared" si="29"/>
        <v>233875.24579367414</v>
      </c>
      <c r="BR50" s="57">
        <f>SUM(BR34,BR29,BR28,BR23)</f>
        <v>2752.3719094000699</v>
      </c>
      <c r="BS50" s="57">
        <f>SUM(BS34,BS29,BS28,BS23)</f>
        <v>56242.354453625187</v>
      </c>
      <c r="BT50" s="57">
        <f>SUM(BT34,BT29,BT28,BT23)</f>
        <v>-42426.957149999973</v>
      </c>
    </row>
    <row r="51" spans="3:73" x14ac:dyDescent="0.35">
      <c r="C51" s="56" t="str">
        <f>IF('Índice - Index'!$D$14="Português","EBITDA Ajustado* - Varejo Ex-IFRS 16"," Retail - Adjusted EBITDA Ex-IFRS16")</f>
        <v>EBITDA Ajustado* - Varejo Ex-IFRS 16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>
        <v>-10987.289544050118</v>
      </c>
      <c r="AY51" s="57">
        <v>-544.61702635005429</v>
      </c>
      <c r="AZ51" s="57">
        <v>-25183.192771100734</v>
      </c>
      <c r="BA51" s="57">
        <v>54406.705257999885</v>
      </c>
      <c r="BB51" s="57">
        <f>SUM(AX51:BA51)</f>
        <v>17691.605916498978</v>
      </c>
      <c r="BC51" s="57">
        <v>-70997.424931974994</v>
      </c>
      <c r="BD51" s="57">
        <v>-117836.32796397484</v>
      </c>
      <c r="BE51" s="57">
        <v>-80778.95840002544</v>
      </c>
      <c r="BF51" s="57">
        <v>11546.917785973053</v>
      </c>
      <c r="BG51" s="57">
        <f>SUM(BC51:BF51)</f>
        <v>-258065.7935100022</v>
      </c>
      <c r="BH51" s="57">
        <v>-90799.792647224764</v>
      </c>
      <c r="BI51" s="57">
        <v>-18412.617262775275</v>
      </c>
      <c r="BJ51" s="57">
        <v>-29524.7802331251</v>
      </c>
      <c r="BK51" s="239">
        <v>14191.829134349902</v>
      </c>
      <c r="BL51" s="239">
        <v>-124545.36100877513</v>
      </c>
      <c r="BM51" s="239">
        <v>-64308.739159614684</v>
      </c>
      <c r="BN51" s="239">
        <v>25571.244667399915</v>
      </c>
      <c r="BO51" s="57">
        <v>-29906.031788424982</v>
      </c>
      <c r="BP51" s="239">
        <v>4897.9097379747263</v>
      </c>
      <c r="BQ51" s="239">
        <v>-43825.596156325482</v>
      </c>
      <c r="BR51" s="239">
        <v>-66235.622540600016</v>
      </c>
      <c r="BS51" s="239">
        <v>-7136.8500863747613</v>
      </c>
      <c r="BT51" s="239">
        <f>'DRE Varejo - Retail P&amp;L'!BT25</f>
        <v>-109117.82617999997</v>
      </c>
    </row>
    <row r="52" spans="3:73" x14ac:dyDescent="0.35">
      <c r="C52" s="258" t="str">
        <f>IF('Índice - Index'!$D$14="Português","*ajustes não operacionais","* Adjusted for non-operating items")</f>
        <v>*ajustes não operacionais</v>
      </c>
      <c r="AE52" s="64"/>
      <c r="AS52" s="193"/>
      <c r="BD52" s="211"/>
    </row>
    <row r="53" spans="3:73" x14ac:dyDescent="0.35">
      <c r="C53" s="258" t="str">
        <f>IF('Índice - Index'!$D$14="Português","**A partir de junho de 2023 houve uma cisão separando Mserviços e Mpagamentos","**In June 2023 there was a split, separating Mserviços and Mpagamentos")</f>
        <v>**A partir de junho de 2023 houve uma cisão separando Mserviços e Mpagamentos</v>
      </c>
      <c r="AE53" s="73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</row>
    <row r="54" spans="3:73" x14ac:dyDescent="0.35">
      <c r="BH54" s="211"/>
      <c r="BI54" s="211"/>
      <c r="BJ54" s="211"/>
      <c r="BK54" s="21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J5 L9 H25 G25 Q9 G23 H23" formula="1"/>
    <ignoredError sqref="D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BT26"/>
  <sheetViews>
    <sheetView showGridLines="0" topLeftCell="C1" zoomScale="90" zoomScaleNormal="90" workbookViewId="0">
      <pane xSplit="1" ySplit="4" topLeftCell="BL8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BA10" sqref="BA10"/>
    </sheetView>
  </sheetViews>
  <sheetFormatPr defaultColWidth="9.1796875" defaultRowHeight="13.5" outlineLevelCol="1" x14ac:dyDescent="0.35"/>
  <cols>
    <col min="1" max="1" width="5" style="25" customWidth="1"/>
    <col min="2" max="2" width="4.81640625" style="25" customWidth="1"/>
    <col min="3" max="3" width="34.1796875" style="25" bestFit="1" customWidth="1"/>
    <col min="4" max="4" width="11.453125" style="76" bestFit="1" customWidth="1"/>
    <col min="5" max="7" width="10.1796875" style="76" hidden="1" customWidth="1" outlineLevel="1"/>
    <col min="8" max="8" width="10.453125" style="76" hidden="1" customWidth="1" outlineLevel="1"/>
    <col min="9" max="9" width="10.81640625" style="76" bestFit="1" customWidth="1" collapsed="1"/>
    <col min="10" max="10" width="10.1796875" style="76" hidden="1" customWidth="1" outlineLevel="1"/>
    <col min="11" max="11" width="9.81640625" style="76" hidden="1" customWidth="1" outlineLevel="1"/>
    <col min="12" max="12" width="10.54296875" style="76" hidden="1" customWidth="1" outlineLevel="1"/>
    <col min="13" max="13" width="10.453125" style="76" hidden="1" customWidth="1" outlineLevel="1"/>
    <col min="14" max="14" width="11.453125" style="76" bestFit="1" customWidth="1" collapsed="1"/>
    <col min="15" max="15" width="10" style="76" hidden="1" customWidth="1" outlineLevel="1"/>
    <col min="16" max="16" width="10.453125" style="76" hidden="1" customWidth="1" outlineLevel="1"/>
    <col min="17" max="17" width="10.1796875" style="76" hidden="1" customWidth="1" outlineLevel="1"/>
    <col min="18" max="18" width="11.1796875" style="76" hidden="1" customWidth="1" outlineLevel="1"/>
    <col min="19" max="19" width="11.54296875" style="76" bestFit="1" customWidth="1" collapsed="1"/>
    <col min="20" max="20" width="10.453125" style="76" hidden="1" customWidth="1" outlineLevel="1"/>
    <col min="21" max="21" width="10.54296875" style="76" hidden="1" customWidth="1" outlineLevel="1"/>
    <col min="22" max="22" width="10.1796875" style="76" hidden="1" customWidth="1" outlineLevel="1"/>
    <col min="23" max="23" width="11" style="76" hidden="1" customWidth="1" outlineLevel="1"/>
    <col min="24" max="24" width="12.453125" style="76" bestFit="1" customWidth="1" collapsed="1"/>
    <col min="25" max="26" width="10.54296875" style="76" hidden="1" customWidth="1" outlineLevel="1"/>
    <col min="27" max="27" width="10.1796875" style="76" hidden="1" customWidth="1" outlineLevel="1"/>
    <col min="28" max="28" width="11.54296875" style="76" hidden="1" customWidth="1" outlineLevel="1"/>
    <col min="29" max="29" width="12" style="76" bestFit="1" customWidth="1" collapsed="1"/>
    <col min="30" max="31" width="10.54296875" style="76" hidden="1" customWidth="1" outlineLevel="1"/>
    <col min="32" max="32" width="10.1796875" style="76" hidden="1" customWidth="1" outlineLevel="1"/>
    <col min="33" max="33" width="11.453125" style="76" hidden="1" customWidth="1" outlineLevel="1"/>
    <col min="34" max="34" width="12" style="76" bestFit="1" customWidth="1" collapsed="1"/>
    <col min="35" max="36" width="10.453125" style="76" hidden="1" customWidth="1" outlineLevel="1"/>
    <col min="37" max="37" width="10.1796875" style="76" hidden="1" customWidth="1" outlineLevel="1"/>
    <col min="38" max="38" width="9.81640625" style="76" hidden="1" customWidth="1" outlineLevel="1"/>
    <col min="39" max="39" width="12" style="76" bestFit="1" customWidth="1" collapsed="1"/>
    <col min="40" max="41" width="10.453125" style="76" hidden="1" customWidth="1" outlineLevel="1"/>
    <col min="42" max="42" width="10.54296875" style="76" hidden="1" customWidth="1" outlineLevel="1"/>
    <col min="43" max="43" width="10.453125" style="76" hidden="1" customWidth="1" outlineLevel="1"/>
    <col min="44" max="44" width="12" style="76" bestFit="1" customWidth="1" collapsed="1"/>
    <col min="45" max="48" width="11.453125" style="76" hidden="1" customWidth="1" outlineLevel="1"/>
    <col min="49" max="49" width="11.453125" style="76" customWidth="1" collapsed="1"/>
    <col min="50" max="53" width="11.453125" style="76" hidden="1" customWidth="1" outlineLevel="1" collapsed="1"/>
    <col min="54" max="54" width="11.453125" style="76" customWidth="1" collapsed="1"/>
    <col min="55" max="58" width="11.453125" style="76" hidden="1" customWidth="1" outlineLevel="1"/>
    <col min="59" max="59" width="11.81640625" style="76" bestFit="1" customWidth="1" collapsed="1"/>
    <col min="60" max="60" width="12" style="76" hidden="1" customWidth="1" outlineLevel="1"/>
    <col min="61" max="61" width="9.81640625" style="76" hidden="1" customWidth="1" outlineLevel="1"/>
    <col min="62" max="62" width="10.1796875" style="76" hidden="1" customWidth="1" outlineLevel="1"/>
    <col min="63" max="63" width="15.54296875" style="76" hidden="1" customWidth="1" outlineLevel="1"/>
    <col min="64" max="64" width="15.26953125" style="76" customWidth="1" collapsed="1"/>
    <col min="65" max="65" width="17.36328125" style="76" hidden="1" customWidth="1" outlineLevel="1" collapsed="1"/>
    <col min="66" max="66" width="15.26953125" style="76" hidden="1" customWidth="1" outlineLevel="1"/>
    <col min="67" max="67" width="15.36328125" style="76" hidden="1" customWidth="1" outlineLevel="1"/>
    <col min="68" max="68" width="11.81640625" style="76" hidden="1" customWidth="1" outlineLevel="1"/>
    <col min="69" max="69" width="11.81640625" style="76" customWidth="1" collapsed="1"/>
    <col min="70" max="72" width="11.81640625" style="76" customWidth="1"/>
    <col min="73" max="73" width="10.453125" style="76" customWidth="1"/>
    <col min="74" max="16384" width="9.1796875" style="76"/>
  </cols>
  <sheetData>
    <row r="1" spans="1:72" s="25" customFormat="1" x14ac:dyDescent="0.35">
      <c r="A1" s="215" t="s">
        <v>35</v>
      </c>
    </row>
    <row r="2" spans="1:72" s="25" customFormat="1" x14ac:dyDescent="0.35"/>
    <row r="3" spans="1:72" s="25" customFormat="1" x14ac:dyDescent="0.35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74"/>
      <c r="BL3" s="211"/>
      <c r="BM3" s="211"/>
      <c r="BQ3" s="211"/>
      <c r="BR3" s="211"/>
      <c r="BS3" s="211"/>
      <c r="BT3" s="211"/>
    </row>
    <row r="4" spans="1:72" s="25" customFormat="1" ht="27" x14ac:dyDescent="0.35">
      <c r="C4" s="26" t="str">
        <f>IF('Índice - Index'!$D$14="Português","VAREJO CONSOLIDADO","RETAIL CONSOLIDATED")</f>
        <v>VAREJO CONSOLIDADO</v>
      </c>
      <c r="D4" s="26" t="str">
        <f>IF('Índice - Index'!$D$14="Português","2009","2009")</f>
        <v>2009</v>
      </c>
      <c r="E4" s="26" t="str">
        <f>IF('Índice - Index'!$D$14="Português","1T10","1Q10")</f>
        <v>1T10</v>
      </c>
      <c r="F4" s="26" t="str">
        <f>IF('Índice - Index'!$D$14="Português","2T10","2Q10")</f>
        <v>2T10</v>
      </c>
      <c r="G4" s="26" t="str">
        <f>IF('Índice - Index'!$D$14="Português","3T10","3Q10")</f>
        <v>3T10</v>
      </c>
      <c r="H4" s="26" t="str">
        <f>IF('Índice - Index'!$D$14="Português","4T10","4Q10")</f>
        <v>4T10</v>
      </c>
      <c r="I4" s="26" t="str">
        <f>IF('Índice - Index'!$D$14="Português","2010","2010")</f>
        <v>2010</v>
      </c>
      <c r="J4" s="26" t="str">
        <f>IF('Índice - Index'!$D$14="Português","1T11","1Q11")</f>
        <v>1T11</v>
      </c>
      <c r="K4" s="26" t="str">
        <f>IF('Índice - Index'!$D$14="Português","2T11","2Q11")</f>
        <v>2T11</v>
      </c>
      <c r="L4" s="26" t="str">
        <f>IF('Índice - Index'!$D$14="Português","3T11","3Q11")</f>
        <v>3T11</v>
      </c>
      <c r="M4" s="26" t="str">
        <f>IF('Índice - Index'!$D$14="Português","4T11","4Q11")</f>
        <v>4T11</v>
      </c>
      <c r="N4" s="26" t="str">
        <f>IF('Índice - Index'!$D$14="Português","2011","2011")</f>
        <v>2011</v>
      </c>
      <c r="O4" s="26" t="str">
        <f>IF('Índice - Index'!$D$14="Português","1T12","1Q12")</f>
        <v>1T12</v>
      </c>
      <c r="P4" s="26" t="str">
        <f>IF('Índice - Index'!$D$14="Português","2T12","2Q12")</f>
        <v>2T12</v>
      </c>
      <c r="Q4" s="26" t="str">
        <f>IF('Índice - Index'!$D$14="Português","3T12","3Q12")</f>
        <v>3T12</v>
      </c>
      <c r="R4" s="26" t="str">
        <f>IF('Índice - Index'!$D$14="Português","4T12","4Q12")</f>
        <v>4T12</v>
      </c>
      <c r="S4" s="26" t="str">
        <f>IF('Índice - Index'!$D$14="Português","2012","2012")</f>
        <v>2012</v>
      </c>
      <c r="T4" s="26" t="str">
        <f>IF('Índice - Index'!$D$14="Português","1T13","1Q13")</f>
        <v>1T13</v>
      </c>
      <c r="U4" s="26" t="str">
        <f>IF('Índice - Index'!$D$14="Português","2T13","2Q13")</f>
        <v>2T13</v>
      </c>
      <c r="V4" s="26" t="str">
        <f>IF('Índice - Index'!$D$14="Português","3T13","3Q13")</f>
        <v>3T13</v>
      </c>
      <c r="W4" s="26" t="str">
        <f>IF('Índice - Index'!$D$14="Português","4T13","4Q13")</f>
        <v>4T13</v>
      </c>
      <c r="X4" s="26" t="str">
        <f>IF('Índice - Index'!$D$14="Português","2013","2013")</f>
        <v>2013</v>
      </c>
      <c r="Y4" s="26" t="str">
        <f>IF('Índice - Index'!$D$14="Português","1T14","1Q14")</f>
        <v>1T14</v>
      </c>
      <c r="Z4" s="26" t="str">
        <f>IF('Índice - Index'!$D$14="Português","2T14","2Q14")</f>
        <v>2T14</v>
      </c>
      <c r="AA4" s="26" t="str">
        <f>IF('Índice - Index'!$D$14="Português","3T14","3Q14")</f>
        <v>3T14</v>
      </c>
      <c r="AB4" s="26" t="str">
        <f>IF('Índice - Index'!$D$14="Português","4T14","4Q14")</f>
        <v>4T14</v>
      </c>
      <c r="AC4" s="26" t="str">
        <f>IF('Índice - Index'!$D$14="Português","2014","2014")</f>
        <v>2014</v>
      </c>
      <c r="AD4" s="26" t="str">
        <f>IF('Índice - Index'!$D$14="Português","1T15","1Q15")</f>
        <v>1T15</v>
      </c>
      <c r="AE4" s="26" t="str">
        <f>IF('Índice - Index'!$D$14="Português","2T15","2Q15")</f>
        <v>2T15</v>
      </c>
      <c r="AF4" s="26" t="str">
        <f>IF('Índice - Index'!$D$14="Português","3T15","3Q15")</f>
        <v>3T15</v>
      </c>
      <c r="AG4" s="26" t="str">
        <f>IF('Índice - Index'!$D$14="Português","4T15","4Q15")</f>
        <v>4T15</v>
      </c>
      <c r="AH4" s="26" t="str">
        <f>IF('Índice - Index'!$D$14="Português","2015","2015")</f>
        <v>2015</v>
      </c>
      <c r="AI4" s="26" t="str">
        <f>IF('Índice - Index'!$D$14="Português","1T16","1Q16")</f>
        <v>1T16</v>
      </c>
      <c r="AJ4" s="26" t="str">
        <f>IF('Índice - Index'!$D$14="Português","2T16","2Q16")</f>
        <v>2T16</v>
      </c>
      <c r="AK4" s="26" t="str">
        <f>IF('Índice - Index'!$D$14="Português","3T16","3Q16")</f>
        <v>3T16</v>
      </c>
      <c r="AL4" s="26" t="str">
        <f>IF('Índice - Index'!$D$14="Português","4T16","4Q16")</f>
        <v>4T16</v>
      </c>
      <c r="AM4" s="26" t="str">
        <f>IF('Índice - Index'!$D$14="Português","2016","2016")</f>
        <v>2016</v>
      </c>
      <c r="AN4" s="26" t="str">
        <f>IF('Índice - Index'!$D$14="Português","1T17","1Q17")</f>
        <v>1T17</v>
      </c>
      <c r="AO4" s="26" t="str">
        <f>IF('Índice - Index'!$D$14="Português","2T17","2Q17")</f>
        <v>2T17</v>
      </c>
      <c r="AP4" s="26" t="str">
        <f>IF('Índice - Index'!$D$14="Português","3T17","3Q17")</f>
        <v>3T17</v>
      </c>
      <c r="AQ4" s="26" t="str">
        <f>IF('Índice - Index'!$D$14="Português","4T17","4Q17")</f>
        <v>4T17</v>
      </c>
      <c r="AR4" s="26" t="str">
        <f>IF('Índice - Index'!$D$14="Português","2017","2017")</f>
        <v>2017</v>
      </c>
      <c r="AS4" s="26" t="str">
        <f>IF('Índice - Index'!$D$14="Português","1T18","1Q18")</f>
        <v>1T18</v>
      </c>
      <c r="AT4" s="26" t="str">
        <f>IF('Índice - Index'!$D$14="Português","2T18","2Q18")</f>
        <v>2T18</v>
      </c>
      <c r="AU4" s="26" t="str">
        <f>IF('Índice - Index'!$D$14="Português","3T18","3Q18")</f>
        <v>3T18</v>
      </c>
      <c r="AV4" s="26" t="str">
        <f>IF('Índice - Index'!$D$14="Português","4T18","4Q18")</f>
        <v>4T18</v>
      </c>
      <c r="AW4" s="26" t="str">
        <f>IF('Índice - Index'!$D$14="Português","2018","2018")</f>
        <v>2018</v>
      </c>
      <c r="AX4" s="26" t="str">
        <f>IF('Índice - Index'!$D$14="Português","1T19","1Q19")</f>
        <v>1T19</v>
      </c>
      <c r="AY4" s="26" t="str">
        <f>IF('Índice - Index'!$D$14="Português","2T19","2Q19")</f>
        <v>2T19</v>
      </c>
      <c r="AZ4" s="26" t="str">
        <f>IF('Índice - Index'!$D$14="Português","3T19","3Q19")</f>
        <v>3T19</v>
      </c>
      <c r="BA4" s="26" t="str">
        <f>IF('Índice - Index'!$D$14="Português","4T19","4Q19")</f>
        <v>4T19</v>
      </c>
      <c r="BB4" s="26" t="str">
        <f>IF('Índice - Index'!$D$14="Português","2019","2019")</f>
        <v>2019</v>
      </c>
      <c r="BC4" s="26" t="str">
        <f>IF('Índice - Index'!$D$14="Português","1T20","1Q20")</f>
        <v>1T20</v>
      </c>
      <c r="BD4" s="26" t="str">
        <f>IF('Índice - Index'!$D$14="Português","2T20","2Q20")</f>
        <v>2T20</v>
      </c>
      <c r="BE4" s="26" t="str">
        <f>IF('Índice - Index'!$D$14="Português","3T20","3Q20")</f>
        <v>3T20</v>
      </c>
      <c r="BF4" s="26" t="str">
        <f>IF('Índice - Index'!$D$14="Português","4T20","4Q20")</f>
        <v>4T20</v>
      </c>
      <c r="BG4" s="26" t="str">
        <f>IF('Índice - Index'!$D$14="Português","2020","2020")</f>
        <v>2020</v>
      </c>
      <c r="BH4" s="26" t="str">
        <f>'DRE Consolidado | P&amp;L '!BH3</f>
        <v>1T21</v>
      </c>
      <c r="BI4" s="26" t="str">
        <f>'DRE Consolidado | P&amp;L '!BI3</f>
        <v>2T21</v>
      </c>
      <c r="BJ4" s="26" t="str">
        <f>'DRE Consolidado | P&amp;L '!BJ3</f>
        <v>3T21</v>
      </c>
      <c r="BK4" s="243" t="str">
        <f>IF('Índice - Index'!$D$14="Português","4T21 (reapresentado)","4Q22 (restated)")</f>
        <v>4T21 (reapresentado)</v>
      </c>
      <c r="BL4" s="243" t="str">
        <f>IF('Índice - Index'!$D$14="Português","2021 (reapresentado)","2021 (restated)")</f>
        <v>2021 (reapresentado)</v>
      </c>
      <c r="BM4" s="243" t="str">
        <f>IF('Índice - Index'!$D$14="Português","1T22 (reapresentado)","1Q22 (restated)")</f>
        <v>1T22 (reapresentado)</v>
      </c>
      <c r="BN4" s="243" t="str">
        <f>IF('Índice - Index'!$D$14="Português","2T22 (reapresentado)","2Q22 (restated)")</f>
        <v>2T22 (reapresentado)</v>
      </c>
      <c r="BO4" s="243" t="str">
        <f>IF('Índice - Index'!$D$14="Português","3T22 (reapresentado)","3Q22 (restated)")</f>
        <v>3T22 (reapresentado)</v>
      </c>
      <c r="BP4" s="243" t="str">
        <f>IF('Índice - Index'!$D$14="Português","4T22","4Q22")</f>
        <v>4T22</v>
      </c>
      <c r="BQ4" s="243" t="str">
        <f>IF('Índice - Index'!$D$14="Português","2022","2022")</f>
        <v>2022</v>
      </c>
      <c r="BR4" s="26" t="str">
        <f>IF('Índice - Index'!$D$14="Português","1T23","1Q23")</f>
        <v>1T23</v>
      </c>
      <c r="BS4" s="26" t="str">
        <f>IF('Índice - Index'!$D$14="Português","2T23","2Q23")</f>
        <v>2T23</v>
      </c>
      <c r="BT4" s="26" t="str">
        <f>IF('Índice - Index'!$D$14="Português","3T23","3Q23")</f>
        <v>3T23</v>
      </c>
    </row>
    <row r="5" spans="1:72" x14ac:dyDescent="0.35">
      <c r="C5" s="5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72" x14ac:dyDescent="0.35">
      <c r="A6" s="77"/>
      <c r="B6" s="77"/>
      <c r="C6" s="78" t="str">
        <f>IF('Índice - Index'!$D$14="Português","RECEITA BRUTA","GROSS REVENUE")</f>
        <v>RECEITA BRUTA</v>
      </c>
      <c r="D6" s="79">
        <f>'DRE Consolidado | P&amp;L '!D6</f>
        <v>1955850</v>
      </c>
      <c r="E6" s="79">
        <f>'DRE Consolidado | P&amp;L '!E6</f>
        <v>401756</v>
      </c>
      <c r="F6" s="79">
        <f>'DRE Consolidado | P&amp;L '!F6</f>
        <v>567544</v>
      </c>
      <c r="G6" s="79">
        <f>'DRE Consolidado | P&amp;L '!G6</f>
        <v>623914</v>
      </c>
      <c r="H6" s="79">
        <f>'DRE Consolidado | P&amp;L '!H6</f>
        <v>723982</v>
      </c>
      <c r="I6" s="79">
        <f>'DRE Consolidado | P&amp;L '!I6</f>
        <v>2317196</v>
      </c>
      <c r="J6" s="79">
        <f>'DRE Consolidado | P&amp;L '!J6</f>
        <v>508554</v>
      </c>
      <c r="K6" s="79">
        <f>'DRE Consolidado | P&amp;L '!K6</f>
        <v>694618</v>
      </c>
      <c r="L6" s="79">
        <f>'DRE Consolidado | P&amp;L '!L6</f>
        <v>615014</v>
      </c>
      <c r="M6" s="79">
        <f>'DRE Consolidado | P&amp;L '!M6</f>
        <v>893770</v>
      </c>
      <c r="N6" s="79">
        <f>'DRE Consolidado | P&amp;L '!N6</f>
        <v>2711956</v>
      </c>
      <c r="O6" s="79">
        <f>'DRE Consolidado | P&amp;L '!O6</f>
        <v>552026</v>
      </c>
      <c r="P6" s="79">
        <f>'DRE Consolidado | P&amp;L '!P6</f>
        <v>790321</v>
      </c>
      <c r="Q6" s="79">
        <f>'DRE Consolidado | P&amp;L '!Q6</f>
        <v>822394</v>
      </c>
      <c r="R6" s="79">
        <f>'DRE Consolidado | P&amp;L '!R6</f>
        <v>1089213</v>
      </c>
      <c r="S6" s="79">
        <f>'DRE Consolidado | P&amp;L '!S6</f>
        <v>3253954</v>
      </c>
      <c r="T6" s="79">
        <f>'DRE Consolidado | P&amp;L '!T6</f>
        <v>658295</v>
      </c>
      <c r="U6" s="79">
        <f>'DRE Consolidado | P&amp;L '!U6</f>
        <v>822910</v>
      </c>
      <c r="V6" s="79">
        <f>'DRE Consolidado | P&amp;L '!V6</f>
        <v>798556</v>
      </c>
      <c r="W6" s="79">
        <f>'DRE Consolidado | P&amp;L '!W6</f>
        <v>1184228</v>
      </c>
      <c r="X6" s="79">
        <f>'DRE Consolidado | P&amp;L '!X6</f>
        <v>3463988</v>
      </c>
      <c r="Y6" s="79">
        <f>'DRE Consolidado | P&amp;L '!Y6</f>
        <v>703992.00542000006</v>
      </c>
      <c r="Z6" s="79">
        <f>'DRE Consolidado | P&amp;L '!Z6</f>
        <v>878690.37708999997</v>
      </c>
      <c r="AA6" s="79">
        <f>'DRE Consolidado | P&amp;L '!AA6</f>
        <v>828366.65084000002</v>
      </c>
      <c r="AB6" s="79">
        <f>'DRE Consolidado | P&amp;L '!AB6</f>
        <v>1204064.4395599999</v>
      </c>
      <c r="AC6" s="79">
        <f>'DRE Consolidado | P&amp;L '!AC6</f>
        <v>3615113.47291</v>
      </c>
      <c r="AD6" s="79">
        <f>'DRE Consolidado | P&amp;L '!AD6</f>
        <v>684201.17</v>
      </c>
      <c r="AE6" s="79">
        <f>'DRE Consolidado | P&amp;L '!AE6</f>
        <v>848291.67801999999</v>
      </c>
      <c r="AF6" s="79">
        <f>'DRE Consolidado | P&amp;L '!AF6</f>
        <v>809359.81377999997</v>
      </c>
      <c r="AG6" s="79">
        <f>'DRE Consolidado | P&amp;L '!AG6</f>
        <v>1088552.3382000001</v>
      </c>
      <c r="AH6" s="79">
        <f>'DRE Consolidado | P&amp;L '!AH6</f>
        <v>3430405</v>
      </c>
      <c r="AI6" s="79">
        <f>'DRE Consolidado | P&amp;L '!AI6</f>
        <v>621354.36465999996</v>
      </c>
      <c r="AJ6" s="79">
        <f>'DRE Consolidado | P&amp;L '!AJ6</f>
        <v>856649</v>
      </c>
      <c r="AK6" s="79">
        <f>'DRE Consolidado | P&amp;L '!AK6</f>
        <v>647940</v>
      </c>
      <c r="AL6" s="79">
        <f>'DRE Consolidado | P&amp;L '!AL6</f>
        <v>925235</v>
      </c>
      <c r="AM6" s="79">
        <f>'DRE Consolidado | P&amp;L '!AM6</f>
        <v>3051178</v>
      </c>
      <c r="AN6" s="79">
        <f>'DRE Consolidado | P&amp;L '!AN6</f>
        <v>605453</v>
      </c>
      <c r="AO6" s="79">
        <f>'DRE Consolidado | P&amp;L '!AO6</f>
        <v>734809</v>
      </c>
      <c r="AP6" s="79">
        <f>'DRE Consolidado | P&amp;L '!AP6</f>
        <v>746637</v>
      </c>
      <c r="AQ6" s="79">
        <f>'DRE Consolidado | P&amp;L '!AQ6</f>
        <v>907860</v>
      </c>
      <c r="AR6" s="79">
        <f>'DRE Consolidado | P&amp;L '!AR6</f>
        <v>2994759</v>
      </c>
      <c r="AS6" s="79">
        <f>'DRE Consolidado | P&amp;L '!AS6</f>
        <v>577614</v>
      </c>
      <c r="AT6" s="79">
        <f>'DRE Consolidado | P&amp;L '!AT6</f>
        <v>714369</v>
      </c>
      <c r="AU6" s="79">
        <f>'DRE Consolidado | P&amp;L '!AU6</f>
        <v>726451.47745631705</v>
      </c>
      <c r="AV6" s="79">
        <f>'DRE Consolidado | P&amp;L '!AV6</f>
        <v>889938.86957039987</v>
      </c>
      <c r="AW6" s="79">
        <f>'DRE Consolidado | P&amp;L '!AW6</f>
        <v>2908373.3470267169</v>
      </c>
      <c r="AX6" s="79">
        <f>'DRE Consolidado | P&amp;L '!AX6</f>
        <v>610695.45091595</v>
      </c>
      <c r="AY6" s="79">
        <f>'DRE Consolidado | P&amp;L '!AY6</f>
        <v>726661.21354364965</v>
      </c>
      <c r="AZ6" s="79">
        <f>'DRE Consolidado | P&amp;L '!AZ6</f>
        <v>743139.4122889</v>
      </c>
      <c r="BA6" s="79">
        <f>'DRE Consolidado | P&amp;L '!BA6</f>
        <v>946359.935788</v>
      </c>
      <c r="BB6" s="79">
        <f>'DRE Consolidado | P&amp;L '!BB6</f>
        <v>3026855.935788</v>
      </c>
      <c r="BC6" s="79">
        <f>'DRE Consolidado | P&amp;L '!BC6</f>
        <v>559000.79608802509</v>
      </c>
      <c r="BD6" s="79">
        <f>'DRE Consolidado | P&amp;L '!BD6</f>
        <v>200340.8234560251</v>
      </c>
      <c r="BE6" s="79">
        <f>'DRE Consolidado | P&amp;L '!BE6</f>
        <v>600934.06131997472</v>
      </c>
      <c r="BF6" s="79">
        <f>'DRE Consolidado | P&amp;L '!BF6</f>
        <v>884143.71230597468</v>
      </c>
      <c r="BG6" s="79">
        <v>2244419.3931699996</v>
      </c>
      <c r="BH6" s="79">
        <f>'DRE Consolidado | P&amp;L '!BH6</f>
        <v>390478.24053277512</v>
      </c>
      <c r="BI6" s="79">
        <f>'DRE Consolidado | P&amp;L '!BI6</f>
        <v>662689.30113722477</v>
      </c>
      <c r="BJ6" s="79">
        <f>'DRE Consolidado | P&amp;L '!BJ6</f>
        <v>712497.89095999976</v>
      </c>
      <c r="BK6" s="79">
        <f>'DRE Consolidado | P&amp;L '!BK6</f>
        <v>943081.36814999999</v>
      </c>
      <c r="BL6" s="79">
        <f>'DRE Consolidado | P&amp;L '!BL6</f>
        <v>2708746.8007799997</v>
      </c>
      <c r="BM6" s="79">
        <f>'DRE Consolidado | P&amp;L '!BM6</f>
        <v>585682.32918</v>
      </c>
      <c r="BN6" s="263">
        <f>'DRE Consolidado | P&amp;L '!BN6</f>
        <v>806261.31138999993</v>
      </c>
      <c r="BO6" s="79">
        <f>'DRE Consolidado | P&amp;L '!BO6</f>
        <v>689307.39048000006</v>
      </c>
      <c r="BP6" s="79">
        <f>'DRE Consolidado | P&amp;L '!BP6</f>
        <v>943742.4656699996</v>
      </c>
      <c r="BQ6" s="79">
        <f>'DRE Consolidado | P&amp;L '!BQ6</f>
        <v>3013124.6926299995</v>
      </c>
      <c r="BR6" s="79">
        <f>'DRE Consolidado | P&amp;L '!BR6</f>
        <v>591166.19491000008</v>
      </c>
      <c r="BS6" s="79">
        <f>'DRE Consolidado | P&amp;L '!BS6</f>
        <v>632833.62793000019</v>
      </c>
      <c r="BT6" s="79">
        <f>'DRE Consolidado | P&amp;L '!BT6</f>
        <v>350466.38593999995</v>
      </c>
    </row>
    <row r="7" spans="1:72" x14ac:dyDescent="0.35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245"/>
      <c r="BO7" s="63"/>
      <c r="BP7" s="63"/>
      <c r="BQ7" s="63"/>
      <c r="BR7" s="63"/>
      <c r="BS7" s="63"/>
      <c r="BT7" s="63"/>
    </row>
    <row r="8" spans="1:72" x14ac:dyDescent="0.35">
      <c r="C8" s="80" t="str">
        <f>IF('Índice - Index'!$D$14="Português","Tributos s/ Receita"," Taxes on Sales")</f>
        <v>Tributos s/ Receita</v>
      </c>
      <c r="D8" s="60">
        <v>-521291</v>
      </c>
      <c r="E8" s="60">
        <v>-105913</v>
      </c>
      <c r="F8" s="60">
        <v>-150422</v>
      </c>
      <c r="G8" s="60">
        <v>-235066</v>
      </c>
      <c r="H8" s="60">
        <v>-123032</v>
      </c>
      <c r="I8" s="60">
        <v>-614433</v>
      </c>
      <c r="J8" s="60">
        <v>-134177</v>
      </c>
      <c r="K8" s="60">
        <v>-183377</v>
      </c>
      <c r="L8" s="60">
        <v>-161425</v>
      </c>
      <c r="M8" s="60">
        <v>-242714</v>
      </c>
      <c r="N8" s="60">
        <v>-721693</v>
      </c>
      <c r="O8" s="60">
        <v>-146093</v>
      </c>
      <c r="P8" s="60">
        <v>-208889</v>
      </c>
      <c r="Q8" s="60">
        <v>-209507</v>
      </c>
      <c r="R8" s="60">
        <v>-290529</v>
      </c>
      <c r="S8" s="60">
        <v>-855018</v>
      </c>
      <c r="T8" s="60">
        <v>-174561</v>
      </c>
      <c r="U8" s="60">
        <v>-228384</v>
      </c>
      <c r="V8" s="60">
        <v>-220891</v>
      </c>
      <c r="W8" s="60">
        <v>-325143</v>
      </c>
      <c r="X8" s="60">
        <v>-948978</v>
      </c>
      <c r="Y8" s="60">
        <v>-193740.00542000006</v>
      </c>
      <c r="Z8" s="60">
        <v>-249162.37708999997</v>
      </c>
      <c r="AA8" s="60">
        <v>-235504.65084000002</v>
      </c>
      <c r="AB8" s="60">
        <v>-333840.43955999985</v>
      </c>
      <c r="AC8" s="60">
        <v>-1012247.47291</v>
      </c>
      <c r="AD8" s="60">
        <v>-189998.17000000004</v>
      </c>
      <c r="AE8" s="60">
        <v>-235311.67801999999</v>
      </c>
      <c r="AF8" s="60">
        <v>-225077.81377999997</v>
      </c>
      <c r="AG8" s="60">
        <v>-297488.33820000011</v>
      </c>
      <c r="AH8" s="60">
        <v>-947875</v>
      </c>
      <c r="AI8" s="60">
        <v>-167116.36465999996</v>
      </c>
      <c r="AJ8" s="60">
        <v>-232554</v>
      </c>
      <c r="AK8" s="60">
        <v>-175978</v>
      </c>
      <c r="AL8" s="60">
        <v>-251436</v>
      </c>
      <c r="AM8" s="60">
        <v>-827084</v>
      </c>
      <c r="AN8" s="60">
        <v>-155975</v>
      </c>
      <c r="AO8" s="60">
        <v>-187484</v>
      </c>
      <c r="AP8" s="60">
        <v>-190746</v>
      </c>
      <c r="AQ8" s="60">
        <v>-231586</v>
      </c>
      <c r="AR8" s="60">
        <v>-765791</v>
      </c>
      <c r="AS8" s="60">
        <v>-148281</v>
      </c>
      <c r="AT8" s="60">
        <v>-182398</v>
      </c>
      <c r="AU8" s="60">
        <v>-186143</v>
      </c>
      <c r="AV8" s="60">
        <v>-186142</v>
      </c>
      <c r="AW8" s="60">
        <v>-186141</v>
      </c>
      <c r="AX8" s="60">
        <v>-184659.74135</v>
      </c>
      <c r="AY8" s="60">
        <v>-184659.74135</v>
      </c>
      <c r="AZ8" s="60">
        <v>-192438.88686999999</v>
      </c>
      <c r="BA8" s="60">
        <v>-192437.88686999999</v>
      </c>
      <c r="BB8" s="60">
        <v>-192436.88686999999</v>
      </c>
      <c r="BC8" s="60">
        <v>-141992.54127000002</v>
      </c>
      <c r="BD8" s="60">
        <v>-51252.370809999964</v>
      </c>
      <c r="BE8" s="60">
        <v>-154316.66832</v>
      </c>
      <c r="BF8" s="60">
        <v>-227334.24572999962</v>
      </c>
      <c r="BG8" s="60">
        <v>-574895.82612999971</v>
      </c>
      <c r="BH8" s="60">
        <v>-100474.71984999999</v>
      </c>
      <c r="BI8" s="60">
        <v>-170534.48880527489</v>
      </c>
      <c r="BJ8" s="60">
        <v>-182388.93701884989</v>
      </c>
      <c r="BK8" s="60">
        <f t="shared" ref="BK8:BT8" si="0">BK10-BK6</f>
        <v>-240912.60610465007</v>
      </c>
      <c r="BL8" s="60">
        <f t="shared" si="0"/>
        <v>-694310.75177877489</v>
      </c>
      <c r="BM8" s="60">
        <f t="shared" si="0"/>
        <v>-150909.263473275</v>
      </c>
      <c r="BN8" s="244">
        <f t="shared" si="0"/>
        <v>-207003.76283260004</v>
      </c>
      <c r="BO8" s="60">
        <f t="shared" si="0"/>
        <v>-175953.43903999997</v>
      </c>
      <c r="BP8" s="60">
        <f t="shared" si="0"/>
        <v>-245570.90858202497</v>
      </c>
      <c r="BQ8" s="60">
        <f t="shared" si="0"/>
        <v>-777830.26768632513</v>
      </c>
      <c r="BR8" s="60">
        <f t="shared" si="0"/>
        <v>-150697.45032060001</v>
      </c>
      <c r="BS8" s="60">
        <f t="shared" si="0"/>
        <v>-162926.67556637502</v>
      </c>
      <c r="BT8" s="60">
        <f t="shared" si="0"/>
        <v>-91670.538109999994</v>
      </c>
    </row>
    <row r="9" spans="1:72" x14ac:dyDescent="0.35"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245"/>
      <c r="BO9" s="63"/>
      <c r="BP9" s="63"/>
      <c r="BQ9" s="63"/>
      <c r="BR9" s="63"/>
      <c r="BS9" s="63"/>
      <c r="BT9" s="63"/>
    </row>
    <row r="10" spans="1:72" x14ac:dyDescent="0.35">
      <c r="A10" s="33"/>
      <c r="B10" s="33"/>
      <c r="C10" s="81" t="str">
        <f>IF('Índice - Index'!$D$14="Português","RECEITA LIQUIDA","NET REVENUE")</f>
        <v>RECEITA LIQUIDA</v>
      </c>
      <c r="D10" s="82">
        <f>'DRE Consolidado | P&amp;L '!D13</f>
        <v>1434559</v>
      </c>
      <c r="E10" s="82">
        <f>'DRE Consolidado | P&amp;L '!E13</f>
        <v>295843</v>
      </c>
      <c r="F10" s="82">
        <f>'DRE Consolidado | P&amp;L '!F13</f>
        <v>417122</v>
      </c>
      <c r="G10" s="82">
        <f>'DRE Consolidado | P&amp;L '!G13</f>
        <v>388848</v>
      </c>
      <c r="H10" s="82">
        <f>'DRE Consolidado | P&amp;L '!H13</f>
        <v>600950</v>
      </c>
      <c r="I10" s="82">
        <f>'DRE Consolidado | P&amp;L '!I13</f>
        <v>1702763</v>
      </c>
      <c r="J10" s="82">
        <f>'DRE Consolidado | P&amp;L '!J13</f>
        <v>374377</v>
      </c>
      <c r="K10" s="82">
        <f>'DRE Consolidado | P&amp;L '!K13</f>
        <v>511241</v>
      </c>
      <c r="L10" s="82">
        <f>'DRE Consolidado | P&amp;L '!L13</f>
        <v>453589</v>
      </c>
      <c r="M10" s="82">
        <f>'DRE Consolidado | P&amp;L '!M13</f>
        <v>651056</v>
      </c>
      <c r="N10" s="82">
        <f>'DRE Consolidado | P&amp;L '!N13</f>
        <v>1990263</v>
      </c>
      <c r="O10" s="82">
        <f>'DRE Consolidado | P&amp;L '!O13</f>
        <v>405933</v>
      </c>
      <c r="P10" s="82">
        <f>'DRE Consolidado | P&amp;L '!P13</f>
        <v>581432</v>
      </c>
      <c r="Q10" s="82">
        <f>'DRE Consolidado | P&amp;L '!Q13</f>
        <v>612887</v>
      </c>
      <c r="R10" s="82">
        <f>'DRE Consolidado | P&amp;L '!R13</f>
        <v>798684</v>
      </c>
      <c r="S10" s="82">
        <f>'DRE Consolidado | P&amp;L '!S13</f>
        <v>2398936</v>
      </c>
      <c r="T10" s="82">
        <f>'DRE Consolidado | P&amp;L '!T13</f>
        <v>483734</v>
      </c>
      <c r="U10" s="82">
        <f>'DRE Consolidado | P&amp;L '!U13</f>
        <v>594526</v>
      </c>
      <c r="V10" s="82">
        <f>'DRE Consolidado | P&amp;L '!V13</f>
        <v>577665</v>
      </c>
      <c r="W10" s="82">
        <f>'DRE Consolidado | P&amp;L '!W13</f>
        <v>859085</v>
      </c>
      <c r="X10" s="82">
        <f>'DRE Consolidado | P&amp;L '!X13</f>
        <v>2515010</v>
      </c>
      <c r="Y10" s="82">
        <f>'DRE Consolidado | P&amp;L '!Y13</f>
        <v>510252</v>
      </c>
      <c r="Z10" s="82">
        <f>'DRE Consolidado | P&amp;L '!Z13</f>
        <v>629528</v>
      </c>
      <c r="AA10" s="82">
        <f>'DRE Consolidado | P&amp;L '!AA13</f>
        <v>592862</v>
      </c>
      <c r="AB10" s="82">
        <f>'DRE Consolidado | P&amp;L '!AB13</f>
        <v>870224</v>
      </c>
      <c r="AC10" s="82">
        <f>'DRE Consolidado | P&amp;L '!AC13</f>
        <v>2602866</v>
      </c>
      <c r="AD10" s="82">
        <f>'DRE Consolidado | P&amp;L '!AD13</f>
        <v>494203</v>
      </c>
      <c r="AE10" s="82">
        <f>'DRE Consolidado | P&amp;L '!AE13</f>
        <v>612980</v>
      </c>
      <c r="AF10" s="82">
        <f>'DRE Consolidado | P&amp;L '!AF13</f>
        <v>584282</v>
      </c>
      <c r="AG10" s="82">
        <f>'DRE Consolidado | P&amp;L '!AG13</f>
        <v>791064</v>
      </c>
      <c r="AH10" s="82">
        <f>'DRE Consolidado | P&amp;L '!AH13</f>
        <v>2482530</v>
      </c>
      <c r="AI10" s="82">
        <f>'DRE Consolidado | P&amp;L '!AI13</f>
        <v>454238</v>
      </c>
      <c r="AJ10" s="82">
        <f>'DRE Consolidado | P&amp;L '!AJ13</f>
        <v>624095</v>
      </c>
      <c r="AK10" s="82">
        <f>'DRE Consolidado | P&amp;L '!AK13</f>
        <v>471962</v>
      </c>
      <c r="AL10" s="82">
        <f>'DRE Consolidado | P&amp;L '!AL13</f>
        <v>673799</v>
      </c>
      <c r="AM10" s="82">
        <f>'DRE Consolidado | P&amp;L '!AM13</f>
        <v>2224094</v>
      </c>
      <c r="AN10" s="82">
        <f>'DRE Consolidado | P&amp;L '!AN13</f>
        <v>449478</v>
      </c>
      <c r="AO10" s="82">
        <f>'DRE Consolidado | P&amp;L '!AO13</f>
        <v>547325</v>
      </c>
      <c r="AP10" s="82">
        <f>'DRE Consolidado | P&amp;L '!AP13</f>
        <v>555891</v>
      </c>
      <c r="AQ10" s="82">
        <f>'DRE Consolidado | P&amp;L '!AQ13</f>
        <v>676274</v>
      </c>
      <c r="AR10" s="82">
        <f>'DRE Consolidado | P&amp;L '!AR13</f>
        <v>2228968</v>
      </c>
      <c r="AS10" s="82">
        <f>'DRE Consolidado | P&amp;L '!AS13</f>
        <v>429333</v>
      </c>
      <c r="AT10" s="82">
        <f>'DRE Consolidado | P&amp;L '!AT13</f>
        <v>531971</v>
      </c>
      <c r="AU10" s="82">
        <f>'DRE Consolidado | P&amp;L '!AU13</f>
        <v>540308.47745631705</v>
      </c>
      <c r="AV10" s="82">
        <f>'DRE Consolidado | P&amp;L '!AV13</f>
        <v>661389.86957039987</v>
      </c>
      <c r="AW10" s="82">
        <f>'DRE Consolidado | P&amp;L '!AW13</f>
        <v>2163002.3470267169</v>
      </c>
      <c r="AX10" s="82">
        <f>'DRE Consolidado | P&amp;L '!AX13</f>
        <v>455238.82546595001</v>
      </c>
      <c r="AY10" s="82">
        <f>'DRE Consolidado | P&amp;L '!AY13</f>
        <v>542001.4721936495</v>
      </c>
      <c r="AZ10" s="82">
        <f>'DRE Consolidado | P&amp;L '!AZ13</f>
        <v>550700.52541890007</v>
      </c>
      <c r="BA10" s="82">
        <f>'DRE Consolidado | P&amp;L '!BA13</f>
        <v>707911.16459799977</v>
      </c>
      <c r="BB10" s="82">
        <f>'DRE Consolidado | P&amp;L '!BB13</f>
        <v>2255852.1645979998</v>
      </c>
      <c r="BC10" s="82">
        <f>'DRE Consolidado | P&amp;L '!BC13</f>
        <v>417008.2548180251</v>
      </c>
      <c r="BD10" s="82">
        <f>'DRE Consolidado | P&amp;L '!BD13</f>
        <v>149088.45264602517</v>
      </c>
      <c r="BE10" s="82">
        <f>'DRE Consolidado | P&amp;L '!BE13</f>
        <v>446617.3929999746</v>
      </c>
      <c r="BF10" s="82">
        <f>'DRE Consolidado | P&amp;L '!BF13</f>
        <v>656809.46657597506</v>
      </c>
      <c r="BG10" s="82">
        <v>1669523.5670399999</v>
      </c>
      <c r="BH10" s="82">
        <f>'DRE Consolidado | P&amp;L '!BH13</f>
        <v>290003.52068277512</v>
      </c>
      <c r="BI10" s="82">
        <f>'DRE Consolidado | P&amp;L '!BI13</f>
        <v>492154.81233194988</v>
      </c>
      <c r="BJ10" s="82">
        <f>'DRE Consolidado | P&amp;L '!BJ13</f>
        <v>530108.95394114987</v>
      </c>
      <c r="BK10" s="82">
        <f>'DRE Consolidado | P&amp;L '!BK13</f>
        <v>702168.76204534993</v>
      </c>
      <c r="BL10" s="82">
        <f>'DRE Consolidado | P&amp;L '!BL13</f>
        <v>2014436.0490012248</v>
      </c>
      <c r="BM10" s="82">
        <f>'DRE Consolidado | P&amp;L '!BM13</f>
        <v>434773.065706725</v>
      </c>
      <c r="BN10" s="259">
        <f>'DRE Consolidado | P&amp;L '!BN13</f>
        <v>599257.54855739989</v>
      </c>
      <c r="BO10" s="82">
        <f>'DRE Consolidado | P&amp;L '!BO13</f>
        <v>513353.95144000009</v>
      </c>
      <c r="BP10" s="82">
        <f>'DRE Consolidado | P&amp;L '!BP13</f>
        <v>698171.55708797462</v>
      </c>
      <c r="BQ10" s="82">
        <f>'DRE Consolidado | P&amp;L '!BQ13</f>
        <v>2235294.4249436744</v>
      </c>
      <c r="BR10" s="82">
        <f>'DRE Consolidado | P&amp;L '!BR13</f>
        <v>440468.74458940007</v>
      </c>
      <c r="BS10" s="82">
        <f>'DRE Consolidado | P&amp;L '!BS13</f>
        <v>469906.95236362517</v>
      </c>
      <c r="BT10" s="82">
        <f>'DRE Consolidado | P&amp;L '!BT13</f>
        <v>258795.84782999996</v>
      </c>
    </row>
    <row r="11" spans="1:72" x14ac:dyDescent="0.35">
      <c r="C11" s="6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264"/>
      <c r="BO11" s="236"/>
      <c r="BP11" s="83"/>
      <c r="BQ11" s="83"/>
      <c r="BR11" s="83"/>
      <c r="BS11" s="83"/>
      <c r="BT11" s="83"/>
    </row>
    <row r="12" spans="1:72" x14ac:dyDescent="0.35">
      <c r="A12" s="84"/>
      <c r="B12" s="84"/>
      <c r="C12" s="56" t="str">
        <f>IF('Índice - Index'!$D$14="Português","CPV","CoGS")</f>
        <v>CPV</v>
      </c>
      <c r="D12" s="58">
        <f>'DRE Consolidado | P&amp;L '!D18</f>
        <v>-681869</v>
      </c>
      <c r="E12" s="58">
        <f>'DRE Consolidado | P&amp;L '!E18</f>
        <v>-144596</v>
      </c>
      <c r="F12" s="58">
        <f>'DRE Consolidado | P&amp;L '!F18</f>
        <v>-188947</v>
      </c>
      <c r="G12" s="58">
        <f>'DRE Consolidado | P&amp;L '!G18</f>
        <v>-194945</v>
      </c>
      <c r="H12" s="58">
        <f>'DRE Consolidado | P&amp;L '!H18</f>
        <v>-279058</v>
      </c>
      <c r="I12" s="58">
        <f>'DRE Consolidado | P&amp;L '!I18</f>
        <v>-807546</v>
      </c>
      <c r="J12" s="58">
        <f>'DRE Consolidado | P&amp;L '!J18</f>
        <v>-187235</v>
      </c>
      <c r="K12" s="58">
        <f>'DRE Consolidado | P&amp;L '!K18</f>
        <v>-219752</v>
      </c>
      <c r="L12" s="58">
        <f>'DRE Consolidado | P&amp;L '!L18</f>
        <v>-220986</v>
      </c>
      <c r="M12" s="58">
        <f>'DRE Consolidado | P&amp;L '!M18</f>
        <v>-320377</v>
      </c>
      <c r="N12" s="58">
        <f>'DRE Consolidado | P&amp;L '!N18</f>
        <v>-947544</v>
      </c>
      <c r="O12" s="58">
        <f>'DRE Consolidado | P&amp;L '!O18</f>
        <v>-217854</v>
      </c>
      <c r="P12" s="58">
        <f>'DRE Consolidado | P&amp;L '!P18</f>
        <v>-285953</v>
      </c>
      <c r="Q12" s="58">
        <f>'DRE Consolidado | P&amp;L '!Q18</f>
        <v>-314105</v>
      </c>
      <c r="R12" s="58">
        <f>'DRE Consolidado | P&amp;L '!R18</f>
        <v>-385019</v>
      </c>
      <c r="S12" s="58">
        <f>'DRE Consolidado | P&amp;L '!S18</f>
        <v>-1202931</v>
      </c>
      <c r="T12" s="58">
        <f>'DRE Consolidado | P&amp;L '!T18</f>
        <v>-247651</v>
      </c>
      <c r="U12" s="58">
        <f>'DRE Consolidado | P&amp;L '!U18</f>
        <v>-304284</v>
      </c>
      <c r="V12" s="58">
        <f>'DRE Consolidado | P&amp;L '!V18</f>
        <v>-325914</v>
      </c>
      <c r="W12" s="58">
        <f>'DRE Consolidado | P&amp;L '!W18</f>
        <v>-461709</v>
      </c>
      <c r="X12" s="58">
        <f>'DRE Consolidado | P&amp;L '!X18</f>
        <v>-1331437</v>
      </c>
      <c r="Y12" s="58">
        <f>'DRE Consolidado | P&amp;L '!Y18</f>
        <v>-259489.87069000001</v>
      </c>
      <c r="Z12" s="58">
        <f>'DRE Consolidado | P&amp;L '!Z18</f>
        <v>-322808.24521999998</v>
      </c>
      <c r="AA12" s="58">
        <f>'DRE Consolidado | P&amp;L '!AA18</f>
        <v>-342112.15191999997</v>
      </c>
      <c r="AB12" s="58">
        <f>'DRE Consolidado | P&amp;L '!AB18</f>
        <v>-443797.32318999991</v>
      </c>
      <c r="AC12" s="58">
        <f>'DRE Consolidado | P&amp;L '!AC18</f>
        <v>-1368207.5910199999</v>
      </c>
      <c r="AD12" s="58">
        <f>'DRE Consolidado | P&amp;L '!AD18</f>
        <v>-250520</v>
      </c>
      <c r="AE12" s="58">
        <f>'DRE Consolidado | P&amp;L '!AE18</f>
        <v>-312927</v>
      </c>
      <c r="AF12" s="58">
        <f>'DRE Consolidado | P&amp;L '!AF18</f>
        <v>-322312</v>
      </c>
      <c r="AG12" s="58">
        <f>'DRE Consolidado | P&amp;L '!AG18</f>
        <v>-437747</v>
      </c>
      <c r="AH12" s="58">
        <f>'DRE Consolidado | P&amp;L '!AH18</f>
        <v>-1323506</v>
      </c>
      <c r="AI12" s="58">
        <f>'DRE Consolidado | P&amp;L '!AI18</f>
        <v>-215212</v>
      </c>
      <c r="AJ12" s="58">
        <f>'DRE Consolidado | P&amp;L '!AJ18</f>
        <v>-338452</v>
      </c>
      <c r="AK12" s="58">
        <f>'DRE Consolidado | P&amp;L '!AK18</f>
        <v>-243479</v>
      </c>
      <c r="AL12" s="58">
        <f>'DRE Consolidado | P&amp;L '!AL18</f>
        <v>-338617</v>
      </c>
      <c r="AM12" s="58">
        <f>'DRE Consolidado | P&amp;L '!AM18</f>
        <v>-1135760</v>
      </c>
      <c r="AN12" s="58">
        <f>'DRE Consolidado | P&amp;L '!AN18</f>
        <v>-219066</v>
      </c>
      <c r="AO12" s="58">
        <f>'DRE Consolidado | P&amp;L '!AO18</f>
        <v>-254659</v>
      </c>
      <c r="AP12" s="58">
        <f>'DRE Consolidado | P&amp;L '!AP18</f>
        <v>-312322</v>
      </c>
      <c r="AQ12" s="58">
        <f>'DRE Consolidado | P&amp;L '!AQ18</f>
        <v>-325987</v>
      </c>
      <c r="AR12" s="58">
        <f>'DRE Consolidado | P&amp;L '!AR18</f>
        <v>-1112034</v>
      </c>
      <c r="AS12" s="58">
        <f>'DRE Consolidado | P&amp;L '!AS18</f>
        <v>-221072</v>
      </c>
      <c r="AT12" s="58">
        <f>'DRE Consolidado | P&amp;L '!AT18</f>
        <v>-255623</v>
      </c>
      <c r="AU12" s="58">
        <f>'DRE Consolidado | P&amp;L '!AU18</f>
        <v>-311829</v>
      </c>
      <c r="AV12" s="58">
        <f>'DRE Consolidado | P&amp;L '!AV18</f>
        <v>-364510</v>
      </c>
      <c r="AW12" s="58">
        <f>'DRE Consolidado | P&amp;L '!AW18</f>
        <v>-1153034</v>
      </c>
      <c r="AX12" s="58">
        <f>'DRE Consolidado | P&amp;L '!AX18</f>
        <v>-226457.35626</v>
      </c>
      <c r="AY12" s="58">
        <f>'DRE Consolidado | P&amp;L '!AY18</f>
        <v>-295133.41963999998</v>
      </c>
      <c r="AZ12" s="58">
        <f>'DRE Consolidado | P&amp;L '!AZ18</f>
        <v>-315624.94244999974</v>
      </c>
      <c r="BA12" s="58">
        <f>'DRE Consolidado | P&amp;L '!BA18</f>
        <v>-362667.39917000057</v>
      </c>
      <c r="BB12" s="58">
        <f>'DRE Consolidado | P&amp;L '!BB18</f>
        <v>-1199883.1175200003</v>
      </c>
      <c r="BC12" s="58">
        <f>'DRE Consolidado | P&amp;L '!BC18</f>
        <v>-230803.91979000001</v>
      </c>
      <c r="BD12" s="58">
        <f>'DRE Consolidado | P&amp;L '!BD18</f>
        <v>-102662.95311999996</v>
      </c>
      <c r="BE12" s="58">
        <f>'DRE Consolidado | P&amp;L '!BE18</f>
        <v>-296144.33305000007</v>
      </c>
      <c r="BF12" s="58">
        <f>'DRE Consolidado | P&amp;L '!BF18</f>
        <v>-380239.82781999995</v>
      </c>
      <c r="BG12" s="58">
        <v>-1009851.0337799999</v>
      </c>
      <c r="BH12" s="58">
        <f>'DRE Consolidado | P&amp;L '!BH18</f>
        <v>-158343.54456999997</v>
      </c>
      <c r="BI12" s="58">
        <f>'DRE Consolidado | P&amp;L '!BI18</f>
        <v>-267064.43085000006</v>
      </c>
      <c r="BJ12" s="58">
        <f>'DRE Consolidado | P&amp;L '!BJ18</f>
        <v>-305644.61212999985</v>
      </c>
      <c r="BK12" s="58">
        <f>'DRE Consolidado | P&amp;L '!BK18</f>
        <v>-370253.34216</v>
      </c>
      <c r="BL12" s="58">
        <f>'DRE Consolidado | P&amp;L '!BL18</f>
        <v>-1101305.9297099998</v>
      </c>
      <c r="BM12" s="58">
        <f>'DRE Consolidado | P&amp;L '!BM18</f>
        <v>-228848.43210999999</v>
      </c>
      <c r="BN12" s="239">
        <f>'DRE Consolidado | P&amp;L '!BN18</f>
        <v>-297816.49999000004</v>
      </c>
      <c r="BO12" s="58">
        <f>'DRE Consolidado | P&amp;L '!BO18</f>
        <v>-253748.11007000014</v>
      </c>
      <c r="BP12" s="58">
        <f>'DRE Consolidado | P&amp;L '!BP18</f>
        <v>-335908.61698999989</v>
      </c>
      <c r="BQ12" s="58">
        <f>'DRE Consolidado | P&amp;L '!BQ18</f>
        <v>-1116321.6591600003</v>
      </c>
      <c r="BR12" s="58">
        <f>'DRE Consolidado | P&amp;L '!BR18</f>
        <v>-222273.76694</v>
      </c>
      <c r="BS12" s="58">
        <f>'DRE Consolidado | P&amp;L '!BS18</f>
        <v>-246355.56820000001</v>
      </c>
      <c r="BT12" s="58">
        <f>'DRE Consolidado | P&amp;L '!BT18</f>
        <v>-132519.18305000002</v>
      </c>
    </row>
    <row r="13" spans="1:72" x14ac:dyDescent="0.35">
      <c r="C13" s="6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245"/>
      <c r="BO13" s="63"/>
      <c r="BP13" s="63"/>
      <c r="BQ13" s="63"/>
      <c r="BR13" s="63"/>
      <c r="BS13" s="63"/>
      <c r="BT13" s="63"/>
    </row>
    <row r="14" spans="1:72" x14ac:dyDescent="0.35">
      <c r="A14" s="84"/>
      <c r="B14" s="84"/>
      <c r="C14" s="78" t="str">
        <f>IF('Índice - Index'!$D$14="Português","LUCRO BRUTO","GROSS PROFIT")</f>
        <v>LUCRO BRUTO</v>
      </c>
      <c r="D14" s="79">
        <f>'DRE Consolidado | P&amp;L '!D23</f>
        <v>752690</v>
      </c>
      <c r="E14" s="79">
        <f>'DRE Consolidado | P&amp;L '!E23</f>
        <v>151247</v>
      </c>
      <c r="F14" s="79">
        <f>'DRE Consolidado | P&amp;L '!F23</f>
        <v>228175</v>
      </c>
      <c r="G14" s="79">
        <f>'DRE Consolidado | P&amp;L '!G23</f>
        <v>193903</v>
      </c>
      <c r="H14" s="79">
        <f>'DRE Consolidado | P&amp;L '!H23</f>
        <v>321892</v>
      </c>
      <c r="I14" s="79">
        <f>'DRE Consolidado | P&amp;L '!I23</f>
        <v>895217</v>
      </c>
      <c r="J14" s="79">
        <f>'DRE Consolidado | P&amp;L '!J23</f>
        <v>187142</v>
      </c>
      <c r="K14" s="79">
        <f>'DRE Consolidado | P&amp;L '!K23</f>
        <v>291489</v>
      </c>
      <c r="L14" s="79">
        <f>'DRE Consolidado | P&amp;L '!L23</f>
        <v>232603</v>
      </c>
      <c r="M14" s="79">
        <f>'DRE Consolidado | P&amp;L '!M23</f>
        <v>330679</v>
      </c>
      <c r="N14" s="79">
        <f>'DRE Consolidado | P&amp;L '!N23</f>
        <v>1042719</v>
      </c>
      <c r="O14" s="79">
        <f>'DRE Consolidado | P&amp;L '!O23</f>
        <v>188079</v>
      </c>
      <c r="P14" s="79">
        <f>'DRE Consolidado | P&amp;L '!P23</f>
        <v>295479</v>
      </c>
      <c r="Q14" s="79">
        <f>'DRE Consolidado | P&amp;L '!Q23</f>
        <v>298782</v>
      </c>
      <c r="R14" s="79">
        <f>'DRE Consolidado | P&amp;L '!R23</f>
        <v>413665</v>
      </c>
      <c r="S14" s="79">
        <f>'DRE Consolidado | P&amp;L '!S23</f>
        <v>1196005</v>
      </c>
      <c r="T14" s="79">
        <f>'DRE Consolidado | P&amp;L '!T23</f>
        <v>236083</v>
      </c>
      <c r="U14" s="79">
        <f>'DRE Consolidado | P&amp;L '!U23</f>
        <v>290242</v>
      </c>
      <c r="V14" s="79">
        <f>'DRE Consolidado | P&amp;L '!V23</f>
        <v>251751</v>
      </c>
      <c r="W14" s="79">
        <f>'DRE Consolidado | P&amp;L '!W23</f>
        <v>397376</v>
      </c>
      <c r="X14" s="79">
        <f>'DRE Consolidado | P&amp;L '!X23</f>
        <v>1183573</v>
      </c>
      <c r="Y14" s="79">
        <f>'DRE Consolidado | P&amp;L '!Y23</f>
        <v>250762.12930999999</v>
      </c>
      <c r="Z14" s="79">
        <f>'DRE Consolidado | P&amp;L '!Z23</f>
        <v>306719.75478000002</v>
      </c>
      <c r="AA14" s="79">
        <f>'DRE Consolidado | P&amp;L '!AA23</f>
        <v>250749.84808000003</v>
      </c>
      <c r="AB14" s="79">
        <f>'DRE Consolidado | P&amp;L '!AB23</f>
        <v>426426.67681000009</v>
      </c>
      <c r="AC14" s="79">
        <f>'DRE Consolidado | P&amp;L '!AC23</f>
        <v>1234658.4089800001</v>
      </c>
      <c r="AD14" s="79">
        <f>'DRE Consolidado | P&amp;L '!AD23</f>
        <v>243683</v>
      </c>
      <c r="AE14" s="79">
        <f>'DRE Consolidado | P&amp;L '!AE23</f>
        <v>300054</v>
      </c>
      <c r="AF14" s="79">
        <f>'DRE Consolidado | P&amp;L '!AF23</f>
        <v>261970</v>
      </c>
      <c r="AG14" s="79">
        <f>'DRE Consolidado | P&amp;L '!AG23</f>
        <v>353317</v>
      </c>
      <c r="AH14" s="79">
        <f>'DRE Consolidado | P&amp;L '!AH23</f>
        <v>1159024</v>
      </c>
      <c r="AI14" s="79">
        <f>'DRE Consolidado | P&amp;L '!AI23</f>
        <v>239026</v>
      </c>
      <c r="AJ14" s="79">
        <f>'DRE Consolidado | P&amp;L '!AJ23</f>
        <v>285643</v>
      </c>
      <c r="AK14" s="79">
        <f>'DRE Consolidado | P&amp;L '!AK23</f>
        <v>228483</v>
      </c>
      <c r="AL14" s="79">
        <f>'DRE Consolidado | P&amp;L '!AL23</f>
        <v>335182</v>
      </c>
      <c r="AM14" s="79">
        <f>'DRE Consolidado | P&amp;L '!AM23</f>
        <v>1088334</v>
      </c>
      <c r="AN14" s="79">
        <f>'DRE Consolidado | P&amp;L '!AN23</f>
        <v>230412</v>
      </c>
      <c r="AO14" s="79">
        <f>'DRE Consolidado | P&amp;L '!AO23</f>
        <v>292666</v>
      </c>
      <c r="AP14" s="79">
        <f>'DRE Consolidado | P&amp;L '!AP23</f>
        <v>243569</v>
      </c>
      <c r="AQ14" s="79">
        <f>'DRE Consolidado | P&amp;L '!AQ23</f>
        <v>350287</v>
      </c>
      <c r="AR14" s="79">
        <f>'DRE Consolidado | P&amp;L '!AR23</f>
        <v>1116934</v>
      </c>
      <c r="AS14" s="79">
        <f>'DRE Consolidado | P&amp;L '!AS23</f>
        <v>208261</v>
      </c>
      <c r="AT14" s="79">
        <f>'DRE Consolidado | P&amp;L '!AT23</f>
        <v>276348</v>
      </c>
      <c r="AU14" s="79">
        <f>'DRE Consolidado | P&amp;L '!AU23</f>
        <v>228479.47745631705</v>
      </c>
      <c r="AV14" s="79">
        <f>'DRE Consolidado | P&amp;L '!AV23</f>
        <v>296879.86957039987</v>
      </c>
      <c r="AW14" s="79">
        <f>'DRE Consolidado | P&amp;L '!AW23</f>
        <v>1009968.3470267169</v>
      </c>
      <c r="AX14" s="79">
        <f>'DRE Consolidado | P&amp;L '!AX23</f>
        <v>228781.46920595001</v>
      </c>
      <c r="AY14" s="79">
        <f>'DRE Consolidado | P&amp;L '!AY23</f>
        <v>246868.05255364953</v>
      </c>
      <c r="AZ14" s="79">
        <f>'DRE Consolidado | P&amp;L '!AZ23</f>
        <v>235075.58296890033</v>
      </c>
      <c r="BA14" s="79">
        <f>'DRE Consolidado | P&amp;L '!BA23</f>
        <v>345243.7654279992</v>
      </c>
      <c r="BB14" s="79">
        <f>'DRE Consolidado | P&amp;L '!BB23</f>
        <v>1055969.0470779995</v>
      </c>
      <c r="BC14" s="79">
        <f>'DRE Consolidado | P&amp;L '!BC23</f>
        <v>186204.33502802509</v>
      </c>
      <c r="BD14" s="79">
        <f>'DRE Consolidado | P&amp;L '!BD23</f>
        <v>46425.499526025204</v>
      </c>
      <c r="BE14" s="79">
        <f>'DRE Consolidado | P&amp;L '!BE23</f>
        <v>150473.05994997453</v>
      </c>
      <c r="BF14" s="79">
        <f>'DRE Consolidado | P&amp;L '!BF23</f>
        <v>276569.63875597512</v>
      </c>
      <c r="BG14" s="79">
        <v>659672.53325999994</v>
      </c>
      <c r="BH14" s="79">
        <f>'DRE Consolidado | P&amp;L '!BH23</f>
        <v>131659.97611277516</v>
      </c>
      <c r="BI14" s="79">
        <f>'DRE Consolidado | P&amp;L '!BI23</f>
        <v>225090.38148194982</v>
      </c>
      <c r="BJ14" s="79">
        <f>'DRE Consolidado | P&amp;L '!BJ23</f>
        <v>224464.34181115002</v>
      </c>
      <c r="BK14" s="79">
        <f t="shared" ref="BK14:BR14" si="1">SUM(BK10,BK12)</f>
        <v>331915.41988534993</v>
      </c>
      <c r="BL14" s="79">
        <f t="shared" si="1"/>
        <v>913130.11929122498</v>
      </c>
      <c r="BM14" s="79">
        <f t="shared" si="1"/>
        <v>205924.63359672501</v>
      </c>
      <c r="BN14" s="263">
        <f t="shared" si="1"/>
        <v>301441.04856739985</v>
      </c>
      <c r="BO14" s="79">
        <f t="shared" si="1"/>
        <v>259605.84136999995</v>
      </c>
      <c r="BP14" s="79">
        <f t="shared" si="1"/>
        <v>362262.94009797473</v>
      </c>
      <c r="BQ14" s="79">
        <f t="shared" si="1"/>
        <v>1118972.7657836741</v>
      </c>
      <c r="BR14" s="79">
        <f t="shared" si="1"/>
        <v>218194.97764940007</v>
      </c>
      <c r="BS14" s="79">
        <f t="shared" ref="BS14:BT14" si="2">SUM(BS10,BS12)</f>
        <v>223551.38416362516</v>
      </c>
      <c r="BT14" s="79">
        <f t="shared" si="2"/>
        <v>126276.66477999993</v>
      </c>
    </row>
    <row r="15" spans="1:72" x14ac:dyDescent="0.35">
      <c r="C15" s="85" t="str">
        <f>IF('Índice - Index'!$D$14="Português","Margem Bruta","Gross Margin")</f>
        <v>Margem Bruta</v>
      </c>
      <c r="D15" s="86">
        <f t="shared" ref="D15:AX15" si="3">D14/D10</f>
        <v>0.52468389240177649</v>
      </c>
      <c r="E15" s="86">
        <f t="shared" si="3"/>
        <v>0.51124075945687408</v>
      </c>
      <c r="F15" s="86">
        <f t="shared" si="3"/>
        <v>0.54702221412440488</v>
      </c>
      <c r="G15" s="86">
        <f t="shared" si="3"/>
        <v>0.49866014483808585</v>
      </c>
      <c r="H15" s="86">
        <f t="shared" si="3"/>
        <v>0.53563857226058742</v>
      </c>
      <c r="I15" s="86">
        <f t="shared" si="3"/>
        <v>0.52574374707460758</v>
      </c>
      <c r="J15" s="86">
        <f t="shared" si="3"/>
        <v>0.49987579365185364</v>
      </c>
      <c r="K15" s="86">
        <f t="shared" si="3"/>
        <v>0.57015967029248438</v>
      </c>
      <c r="L15" s="86">
        <f t="shared" si="3"/>
        <v>0.51280564563955477</v>
      </c>
      <c r="M15" s="86">
        <f t="shared" si="3"/>
        <v>0.50791176181465192</v>
      </c>
      <c r="N15" s="86">
        <f t="shared" si="3"/>
        <v>0.52391015659739437</v>
      </c>
      <c r="O15" s="86">
        <f t="shared" si="3"/>
        <v>0.46332522854756819</v>
      </c>
      <c r="P15" s="86">
        <f t="shared" si="3"/>
        <v>0.5081918435861803</v>
      </c>
      <c r="Q15" s="86">
        <f t="shared" si="3"/>
        <v>0.48749932695586623</v>
      </c>
      <c r="R15" s="86">
        <f t="shared" si="3"/>
        <v>0.51793325019657332</v>
      </c>
      <c r="S15" s="86">
        <f t="shared" si="3"/>
        <v>0.49855644335655475</v>
      </c>
      <c r="T15" s="86">
        <f t="shared" si="3"/>
        <v>0.48804301537621914</v>
      </c>
      <c r="U15" s="86">
        <f t="shared" si="3"/>
        <v>0.48819059216922389</v>
      </c>
      <c r="V15" s="86">
        <f t="shared" si="3"/>
        <v>0.4358079509750461</v>
      </c>
      <c r="W15" s="86">
        <f t="shared" si="3"/>
        <v>0.46255725568482747</v>
      </c>
      <c r="X15" s="86">
        <f t="shared" si="3"/>
        <v>0.47060369541274188</v>
      </c>
      <c r="Y15" s="86">
        <f t="shared" si="3"/>
        <v>0.49144761668744069</v>
      </c>
      <c r="Z15" s="86">
        <f t="shared" si="3"/>
        <v>0.48722178327254706</v>
      </c>
      <c r="AA15" s="86">
        <f t="shared" si="3"/>
        <v>0.42294808586146526</v>
      </c>
      <c r="AB15" s="86">
        <f t="shared" si="3"/>
        <v>0.49001943960405608</v>
      </c>
      <c r="AC15" s="86">
        <f t="shared" si="3"/>
        <v>0.47434574387617345</v>
      </c>
      <c r="AD15" s="86">
        <f t="shared" si="3"/>
        <v>0.49308280200646293</v>
      </c>
      <c r="AE15" s="86">
        <f t="shared" si="3"/>
        <v>0.48950047309863293</v>
      </c>
      <c r="AF15" s="86">
        <f t="shared" si="3"/>
        <v>0.44836226342759145</v>
      </c>
      <c r="AG15" s="86">
        <f t="shared" si="3"/>
        <v>0.44663516479071225</v>
      </c>
      <c r="AH15" s="86">
        <f t="shared" si="3"/>
        <v>0.46687210225052667</v>
      </c>
      <c r="AI15" s="86">
        <f t="shared" si="3"/>
        <v>0.52621313056151175</v>
      </c>
      <c r="AJ15" s="86">
        <f t="shared" si="3"/>
        <v>0.45769153734607709</v>
      </c>
      <c r="AK15" s="86">
        <f t="shared" si="3"/>
        <v>0.48411312775181053</v>
      </c>
      <c r="AL15" s="86">
        <f t="shared" si="3"/>
        <v>0.49745102025975108</v>
      </c>
      <c r="AM15" s="86">
        <f t="shared" si="3"/>
        <v>0.48933813049268599</v>
      </c>
      <c r="AN15" s="86">
        <f t="shared" si="3"/>
        <v>0.5126213073832312</v>
      </c>
      <c r="AO15" s="86">
        <f t="shared" si="3"/>
        <v>0.53472068697757269</v>
      </c>
      <c r="AP15" s="86">
        <f t="shared" si="3"/>
        <v>0.43815963920984508</v>
      </c>
      <c r="AQ15" s="86">
        <f t="shared" si="3"/>
        <v>0.51796609066739219</v>
      </c>
      <c r="AR15" s="86">
        <f t="shared" si="3"/>
        <v>0.50109916337964477</v>
      </c>
      <c r="AS15" s="86">
        <f t="shared" si="3"/>
        <v>0.48508034555927448</v>
      </c>
      <c r="AT15" s="86">
        <f t="shared" si="3"/>
        <v>0.51947944530810886</v>
      </c>
      <c r="AU15" s="86">
        <f t="shared" si="3"/>
        <v>0.42286857783901644</v>
      </c>
      <c r="AV15" s="86">
        <f t="shared" si="3"/>
        <v>0.44887271975186988</v>
      </c>
      <c r="AW15" s="86">
        <f t="shared" si="3"/>
        <v>0.4669289186925889</v>
      </c>
      <c r="AX15" s="86">
        <f t="shared" si="3"/>
        <v>0.50255263041720044</v>
      </c>
      <c r="AY15" s="86">
        <f t="shared" ref="AY15:BD15" si="4">AY14/AY10</f>
        <v>0.45547487455061197</v>
      </c>
      <c r="AZ15" s="86">
        <f t="shared" si="4"/>
        <v>0.42686645848047072</v>
      </c>
      <c r="BA15" s="86">
        <f t="shared" si="4"/>
        <v>0.48769362978482217</v>
      </c>
      <c r="BB15" s="86">
        <f t="shared" si="4"/>
        <v>0.46810206078649508</v>
      </c>
      <c r="BC15" s="86">
        <f t="shared" si="4"/>
        <v>0.44652433825148452</v>
      </c>
      <c r="BD15" s="86">
        <f t="shared" si="4"/>
        <v>0.31139567620472552</v>
      </c>
      <c r="BE15" s="86">
        <f t="shared" ref="BE15:BF15" si="5">BE14/BE10</f>
        <v>0.33691715170166486</v>
      </c>
      <c r="BF15" s="86">
        <f t="shared" si="5"/>
        <v>0.42108046980163844</v>
      </c>
      <c r="BG15" s="86">
        <f t="shared" ref="BG15:BJ15" si="6">BG14/BG10</f>
        <v>0.39512621821180616</v>
      </c>
      <c r="BH15" s="86">
        <f t="shared" si="6"/>
        <v>0.45399440600858593</v>
      </c>
      <c r="BI15" s="86">
        <f t="shared" si="6"/>
        <v>0.45735686381977358</v>
      </c>
      <c r="BJ15" s="86">
        <f t="shared" si="6"/>
        <v>0.42343057996350875</v>
      </c>
      <c r="BK15" s="86">
        <f t="shared" ref="BK15:BR15" si="7">BK14/BK10</f>
        <v>0.47270035043785241</v>
      </c>
      <c r="BL15" s="86">
        <f t="shared" si="7"/>
        <v>0.45329317837811878</v>
      </c>
      <c r="BM15" s="86">
        <f t="shared" si="7"/>
        <v>0.47363705307271936</v>
      </c>
      <c r="BN15" s="265">
        <f t="shared" si="7"/>
        <v>0.50302419934978315</v>
      </c>
      <c r="BO15" s="86">
        <f t="shared" si="7"/>
        <v>0.50570535327873523</v>
      </c>
      <c r="BP15" s="86">
        <f t="shared" si="7"/>
        <v>0.51887381607029148</v>
      </c>
      <c r="BQ15" s="86">
        <f t="shared" si="7"/>
        <v>0.50059301061061356</v>
      </c>
      <c r="BR15" s="86">
        <f t="shared" si="7"/>
        <v>0.4953699447001601</v>
      </c>
      <c r="BS15" s="86">
        <f t="shared" ref="BS15:BT15" si="8">BS14/BS10</f>
        <v>0.47573542600117946</v>
      </c>
      <c r="BT15" s="86">
        <f t="shared" si="8"/>
        <v>0.48793929979490874</v>
      </c>
    </row>
    <row r="16" spans="1:72" x14ac:dyDescent="0.35">
      <c r="C16" s="6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M16" s="87"/>
      <c r="BN16" s="266"/>
      <c r="BO16" s="237"/>
      <c r="BR16" s="87"/>
      <c r="BS16" s="87"/>
      <c r="BT16" s="87"/>
    </row>
    <row r="17" spans="1:72" x14ac:dyDescent="0.35">
      <c r="A17" s="84"/>
      <c r="B17" s="84"/>
      <c r="C17" s="56" t="str">
        <f>IF('Índice - Index'!$D$14="Português"," Despesas Operacionais","OpEx")</f>
        <v xml:space="preserve"> Despesas Operacionais</v>
      </c>
      <c r="D17" s="58">
        <f>+D18+D19</f>
        <v>-552840</v>
      </c>
      <c r="E17" s="58">
        <f t="shared" ref="E17:AN17" si="9">+E18+E19</f>
        <v>-130518</v>
      </c>
      <c r="F17" s="58">
        <f t="shared" si="9"/>
        <v>-139832</v>
      </c>
      <c r="G17" s="58">
        <f t="shared" si="9"/>
        <v>-154907</v>
      </c>
      <c r="H17" s="58">
        <f t="shared" si="9"/>
        <v>-215500</v>
      </c>
      <c r="I17" s="58">
        <f t="shared" si="9"/>
        <v>-640757</v>
      </c>
      <c r="J17" s="58">
        <f t="shared" si="9"/>
        <v>-169232</v>
      </c>
      <c r="K17" s="58">
        <f t="shared" si="9"/>
        <v>-189997</v>
      </c>
      <c r="L17" s="58">
        <f t="shared" si="9"/>
        <v>-191799</v>
      </c>
      <c r="M17" s="58">
        <f t="shared" si="9"/>
        <v>-254463</v>
      </c>
      <c r="N17" s="58">
        <f t="shared" si="9"/>
        <v>-805125</v>
      </c>
      <c r="O17" s="58">
        <f t="shared" si="9"/>
        <v>-185379</v>
      </c>
      <c r="P17" s="58">
        <f t="shared" si="9"/>
        <v>-211056</v>
      </c>
      <c r="Q17" s="58">
        <f t="shared" si="9"/>
        <v>-213524</v>
      </c>
      <c r="R17" s="58">
        <f t="shared" si="9"/>
        <v>-282815</v>
      </c>
      <c r="S17" s="58">
        <f t="shared" si="9"/>
        <v>-892774</v>
      </c>
      <c r="T17" s="58">
        <f t="shared" si="9"/>
        <v>-223356</v>
      </c>
      <c r="U17" s="58">
        <f t="shared" si="9"/>
        <v>-235114</v>
      </c>
      <c r="V17" s="58">
        <f t="shared" si="9"/>
        <v>-231677</v>
      </c>
      <c r="W17" s="58">
        <f t="shared" si="9"/>
        <v>-347007</v>
      </c>
      <c r="X17" s="58">
        <f t="shared" si="9"/>
        <v>-1020605</v>
      </c>
      <c r="Y17" s="58">
        <f t="shared" si="9"/>
        <v>-222669.58622999999</v>
      </c>
      <c r="Z17" s="58">
        <f t="shared" si="9"/>
        <v>-234078.52541</v>
      </c>
      <c r="AA17" s="58">
        <f t="shared" si="9"/>
        <v>-252475.10429999998</v>
      </c>
      <c r="AB17" s="58">
        <f t="shared" si="9"/>
        <v>-315881.55940999993</v>
      </c>
      <c r="AC17" s="58">
        <f t="shared" si="9"/>
        <v>-1129447.98835</v>
      </c>
      <c r="AD17" s="58">
        <f t="shared" si="9"/>
        <v>-240560.85527</v>
      </c>
      <c r="AE17" s="58">
        <f t="shared" si="9"/>
        <v>-253803.86205</v>
      </c>
      <c r="AF17" s="58">
        <f t="shared" si="9"/>
        <v>-249378.6931</v>
      </c>
      <c r="AG17" s="58">
        <f t="shared" si="9"/>
        <v>-290115.87880000001</v>
      </c>
      <c r="AH17" s="58">
        <f t="shared" si="9"/>
        <v>-1033859.28922</v>
      </c>
      <c r="AI17" s="58">
        <f t="shared" si="9"/>
        <v>-250931</v>
      </c>
      <c r="AJ17" s="58">
        <f t="shared" si="9"/>
        <v>-261086</v>
      </c>
      <c r="AK17" s="58">
        <f t="shared" si="9"/>
        <v>-268213</v>
      </c>
      <c r="AL17" s="58">
        <f t="shared" si="9"/>
        <v>-312164</v>
      </c>
      <c r="AM17" s="58">
        <f t="shared" si="9"/>
        <v>-1092394</v>
      </c>
      <c r="AN17" s="58">
        <f t="shared" si="9"/>
        <v>-264078</v>
      </c>
      <c r="AO17" s="58">
        <f t="shared" ref="AO17:AT17" si="10">+AO18+AO19</f>
        <v>-275552</v>
      </c>
      <c r="AP17" s="58">
        <f t="shared" si="10"/>
        <v>-254680</v>
      </c>
      <c r="AQ17" s="58">
        <f t="shared" si="10"/>
        <v>-291797</v>
      </c>
      <c r="AR17" s="58">
        <f t="shared" si="10"/>
        <v>-1085624</v>
      </c>
      <c r="AS17" s="58">
        <f t="shared" si="10"/>
        <v>-263345</v>
      </c>
      <c r="AT17" s="58">
        <f t="shared" si="10"/>
        <v>-270775</v>
      </c>
      <c r="AU17" s="58">
        <f t="shared" ref="AU17:BD17" si="11">+AU18+AU19</f>
        <v>-263761</v>
      </c>
      <c r="AV17" s="58">
        <f t="shared" si="11"/>
        <v>-329735</v>
      </c>
      <c r="AW17" s="58">
        <f t="shared" si="11"/>
        <v>-1127616</v>
      </c>
      <c r="AX17" s="58">
        <f t="shared" si="11"/>
        <v>-190528.98986000012</v>
      </c>
      <c r="AY17" s="58">
        <f t="shared" si="11"/>
        <v>-197556.76779999971</v>
      </c>
      <c r="AZ17" s="58">
        <f t="shared" si="11"/>
        <v>-209512.4513500006</v>
      </c>
      <c r="BA17" s="58">
        <f t="shared" si="11"/>
        <v>-239239.7664299999</v>
      </c>
      <c r="BB17" s="58">
        <f t="shared" si="11"/>
        <v>-836837.9754400003</v>
      </c>
      <c r="BC17" s="58">
        <f t="shared" si="11"/>
        <v>-209246.52744000003</v>
      </c>
      <c r="BD17" s="58">
        <f t="shared" si="11"/>
        <v>-88028.053249999983</v>
      </c>
      <c r="BE17" s="58">
        <f t="shared" ref="BE17:BF17" si="12">+BE18+BE19</f>
        <v>-175201.58813000005</v>
      </c>
      <c r="BF17" s="58">
        <f t="shared" si="12"/>
        <v>-197845.54511000169</v>
      </c>
      <c r="BG17" s="58">
        <v>-670321.71393000172</v>
      </c>
      <c r="BH17" s="58">
        <f t="shared" ref="BH17:BJ17" si="13">+BH18+BH19</f>
        <v>-161522.98274999997</v>
      </c>
      <c r="BI17" s="58">
        <f t="shared" si="13"/>
        <v>-174262.97430900007</v>
      </c>
      <c r="BJ17" s="58">
        <f t="shared" si="13"/>
        <v>-199947.50719999993</v>
      </c>
      <c r="BK17" s="58">
        <f t="shared" ref="BK17:BR17" si="14">SUM(BK18:BK19)</f>
        <v>-242248.17853999999</v>
      </c>
      <c r="BL17" s="58">
        <f t="shared" si="14"/>
        <v>-777981.64279900002</v>
      </c>
      <c r="BM17" s="58">
        <f t="shared" si="14"/>
        <v>-196083.36319000003</v>
      </c>
      <c r="BN17" s="239">
        <f t="shared" si="14"/>
        <v>-198418.80516999989</v>
      </c>
      <c r="BO17" s="58">
        <f t="shared" si="14"/>
        <v>-192967.75751000008</v>
      </c>
      <c r="BP17" s="58">
        <f t="shared" si="14"/>
        <v>-232067.84687999991</v>
      </c>
      <c r="BQ17" s="58">
        <f t="shared" si="14"/>
        <v>-819402.45769000007</v>
      </c>
      <c r="BR17" s="58">
        <f t="shared" si="14"/>
        <v>-191493.62797</v>
      </c>
      <c r="BS17" s="58">
        <f t="shared" ref="BS17:BT17" si="15">SUM(BS18:BS19)</f>
        <v>-202471.68885999999</v>
      </c>
      <c r="BT17" s="58">
        <f t="shared" si="15"/>
        <v>-160498.42945999993</v>
      </c>
    </row>
    <row r="18" spans="1:72" x14ac:dyDescent="0.35">
      <c r="C18" s="69" t="str">
        <f>IF('Índice - Index'!$D$14="Português","- Despesas com Vendas","- Selling Expenses")</f>
        <v>- Despesas com Vendas</v>
      </c>
      <c r="D18" s="63">
        <f>'DRE Consolidado | P&amp;L '!D28</f>
        <v>-468206</v>
      </c>
      <c r="E18" s="63">
        <f>'DRE Consolidado | P&amp;L '!E28</f>
        <v>-112076</v>
      </c>
      <c r="F18" s="63">
        <f>'DRE Consolidado | P&amp;L '!F28</f>
        <v>-113818</v>
      </c>
      <c r="G18" s="63">
        <f>'DRE Consolidado | P&amp;L '!G28</f>
        <v>-131492</v>
      </c>
      <c r="H18" s="63">
        <f>'DRE Consolidado | P&amp;L '!H28</f>
        <v>-177935</v>
      </c>
      <c r="I18" s="63">
        <f>'DRE Consolidado | P&amp;L '!I28</f>
        <v>-535321</v>
      </c>
      <c r="J18" s="63">
        <f>'DRE Consolidado | P&amp;L '!J28</f>
        <v>-146198</v>
      </c>
      <c r="K18" s="63">
        <f>'DRE Consolidado | P&amp;L '!K28</f>
        <v>-162254</v>
      </c>
      <c r="L18" s="63">
        <f>'DRE Consolidado | P&amp;L '!L28</f>
        <v>-160896</v>
      </c>
      <c r="M18" s="63">
        <f>'DRE Consolidado | P&amp;L '!M28</f>
        <v>-219944</v>
      </c>
      <c r="N18" s="63">
        <f>'DRE Consolidado | P&amp;L '!N28</f>
        <v>-689171</v>
      </c>
      <c r="O18" s="63">
        <f>'DRE Consolidado | P&amp;L '!O28</f>
        <v>-159604</v>
      </c>
      <c r="P18" s="63">
        <f>'DRE Consolidado | P&amp;L '!P28</f>
        <v>-187041</v>
      </c>
      <c r="Q18" s="63">
        <f>'DRE Consolidado | P&amp;L '!Q28</f>
        <v>-188499</v>
      </c>
      <c r="R18" s="63">
        <f>'DRE Consolidado | P&amp;L '!R28</f>
        <v>-242153</v>
      </c>
      <c r="S18" s="63">
        <f>'DRE Consolidado | P&amp;L '!S28</f>
        <v>-777297</v>
      </c>
      <c r="T18" s="63">
        <f>'DRE Consolidado | P&amp;L '!T28</f>
        <v>-194041</v>
      </c>
      <c r="U18" s="63">
        <f>'DRE Consolidado | P&amp;L '!U28</f>
        <v>-208128</v>
      </c>
      <c r="V18" s="63">
        <f>'DRE Consolidado | P&amp;L '!V28</f>
        <v>-202464</v>
      </c>
      <c r="W18" s="63">
        <f>'DRE Consolidado | P&amp;L '!W28</f>
        <v>-310975</v>
      </c>
      <c r="X18" s="63">
        <f>'DRE Consolidado | P&amp;L '!X28</f>
        <v>-912564</v>
      </c>
      <c r="Y18" s="63">
        <f>'DRE Consolidado | P&amp;L '!Y28</f>
        <v>-199546.51569999999</v>
      </c>
      <c r="Z18" s="63">
        <f>'DRE Consolidado | P&amp;L '!Z28</f>
        <v>-204029.21771</v>
      </c>
      <c r="AA18" s="63">
        <f>'DRE Consolidado | P&amp;L '!AA28</f>
        <v>-219794.05485999997</v>
      </c>
      <c r="AB18" s="63">
        <f>'DRE Consolidado | P&amp;L '!AB28</f>
        <v>-275363.19670999993</v>
      </c>
      <c r="AC18" s="63">
        <f>'DRE Consolidado | P&amp;L '!AC28</f>
        <v>-1003077</v>
      </c>
      <c r="AD18" s="63">
        <f>'DRE Consolidado | P&amp;L '!AD28</f>
        <v>-209748</v>
      </c>
      <c r="AE18" s="63">
        <f>'DRE Consolidado | P&amp;L '!AE28</f>
        <v>-221316</v>
      </c>
      <c r="AF18" s="63">
        <f>'DRE Consolidado | P&amp;L '!AF28</f>
        <v>-210521</v>
      </c>
      <c r="AG18" s="63">
        <f>'DRE Consolidado | P&amp;L '!AG28</f>
        <v>-257591</v>
      </c>
      <c r="AH18" s="63">
        <f>'DRE Consolidado | P&amp;L '!AH28</f>
        <v>-899176</v>
      </c>
      <c r="AI18" s="63">
        <f>'DRE Consolidado | P&amp;L '!AI28</f>
        <v>-214544</v>
      </c>
      <c r="AJ18" s="63">
        <f>'DRE Consolidado | P&amp;L '!AJ28</f>
        <v>-220348</v>
      </c>
      <c r="AK18" s="63">
        <f>'DRE Consolidado | P&amp;L '!AK28</f>
        <v>-227488</v>
      </c>
      <c r="AL18" s="63">
        <f>'DRE Consolidado | P&amp;L '!AL28</f>
        <v>-267120</v>
      </c>
      <c r="AM18" s="63">
        <f>'DRE Consolidado | P&amp;L '!AM28</f>
        <v>-929500</v>
      </c>
      <c r="AN18" s="63">
        <f>'DRE Consolidado | P&amp;L '!AN28</f>
        <v>-219121</v>
      </c>
      <c r="AO18" s="63">
        <f>'DRE Consolidado | P&amp;L '!AO28</f>
        <v>-221752</v>
      </c>
      <c r="AP18" s="63">
        <f>'DRE Consolidado | P&amp;L '!AP28</f>
        <v>-206747</v>
      </c>
      <c r="AQ18" s="63">
        <f>'DRE Consolidado | P&amp;L '!AQ28</f>
        <v>-232771</v>
      </c>
      <c r="AR18" s="63">
        <f>'DRE Consolidado | P&amp;L '!AR28</f>
        <v>-880391</v>
      </c>
      <c r="AS18" s="63">
        <f>'DRE Consolidado | P&amp;L '!AS28</f>
        <v>-217232</v>
      </c>
      <c r="AT18" s="63">
        <f>'DRE Consolidado | P&amp;L '!AT28</f>
        <v>-227419</v>
      </c>
      <c r="AU18" s="63">
        <f>'DRE Consolidado | P&amp;L '!AU28</f>
        <v>-220215</v>
      </c>
      <c r="AV18" s="63">
        <f>'DRE Consolidado | P&amp;L '!AV28</f>
        <v>-261954</v>
      </c>
      <c r="AW18" s="63">
        <f>'DRE Consolidado | P&amp;L '!AW28</f>
        <v>-926820</v>
      </c>
      <c r="AX18" s="63">
        <f>'DRE Consolidado | P&amp;L '!AX28</f>
        <v>-156070.43120000014</v>
      </c>
      <c r="AY18" s="63">
        <f>'DRE Consolidado | P&amp;L '!AY28</f>
        <v>-157526.66805999973</v>
      </c>
      <c r="AZ18" s="63">
        <f>'DRE Consolidado | P&amp;L '!AZ28</f>
        <v>-161756.14893000055</v>
      </c>
      <c r="BA18" s="63">
        <f>'DRE Consolidado | P&amp;L '!BA28</f>
        <v>-181206.15098999988</v>
      </c>
      <c r="BB18" s="63">
        <f>'DRE Consolidado | P&amp;L '!BB28</f>
        <v>-656559.3991800003</v>
      </c>
      <c r="BC18" s="63">
        <f>'DRE Consolidado | P&amp;L '!BC28</f>
        <v>-160872.59613000005</v>
      </c>
      <c r="BD18" s="63">
        <f>'DRE Consolidado | P&amp;L '!BD28</f>
        <v>-65608.636709999962</v>
      </c>
      <c r="BE18" s="63">
        <f>'DRE Consolidado | P&amp;L '!BE28</f>
        <v>-144836.29462000006</v>
      </c>
      <c r="BF18" s="63">
        <f>'DRE Consolidado | P&amp;L '!BF28</f>
        <v>-148895.73420000006</v>
      </c>
      <c r="BG18" s="63">
        <v>-520213.26166000013</v>
      </c>
      <c r="BH18" s="63">
        <f>'DRE Consolidado | P&amp;L '!BH28</f>
        <v>-129447.18369999995</v>
      </c>
      <c r="BI18" s="63">
        <f>'DRE Consolidado | P&amp;L '!BI28</f>
        <v>-140745.81300900003</v>
      </c>
      <c r="BJ18" s="63">
        <f>'DRE Consolidado | P&amp;L '!BJ28</f>
        <v>-158371.64645999996</v>
      </c>
      <c r="BK18" s="245">
        <f>'DRE Consolidado | P&amp;L '!BK28</f>
        <v>-187288.53546000001</v>
      </c>
      <c r="BL18" s="245">
        <f>'DRE Consolidado | P&amp;L '!BL28</f>
        <v>-615853.17862899997</v>
      </c>
      <c r="BM18" s="63">
        <f>'DRE Consolidado | P&amp;L '!BM28</f>
        <v>-160142.52175000004</v>
      </c>
      <c r="BN18" s="245">
        <f>'DRE Consolidado | P&amp;L '!BN28</f>
        <v>-157824.65079999992</v>
      </c>
      <c r="BO18" s="245">
        <f>'DRE Consolidado | P&amp;L '!BO28</f>
        <v>-151679.80086000008</v>
      </c>
      <c r="BP18" s="245">
        <f>'DRE Consolidado | P&amp;L '!BP28</f>
        <v>-173098.50425999993</v>
      </c>
      <c r="BQ18" s="245">
        <f>'DRE Consolidado | P&amp;L '!BQ28</f>
        <v>-642610.16261</v>
      </c>
      <c r="BR18" s="63">
        <f>'DRE Consolidado | P&amp;L '!BR28</f>
        <v>-146273.01694</v>
      </c>
      <c r="BS18" s="63">
        <f>'DRE Consolidado | P&amp;L '!BS28</f>
        <v>-141851.10384999998</v>
      </c>
      <c r="BT18" s="63">
        <f>'DRE Consolidado | P&amp;L '!BT28</f>
        <v>-113187.62028999993</v>
      </c>
    </row>
    <row r="19" spans="1:72" x14ac:dyDescent="0.35">
      <c r="C19" s="69" t="str">
        <f>IF('Índice - Index'!$D$14="Português","- Despesas Gerais e Administrativas","- G&amp;A Expenses")</f>
        <v>- Despesas Gerais e Administrativas</v>
      </c>
      <c r="D19" s="63">
        <f>'DRE Consolidado | P&amp;L '!D29</f>
        <v>-84634</v>
      </c>
      <c r="E19" s="63">
        <f>'DRE Consolidado | P&amp;L '!E29</f>
        <v>-18442</v>
      </c>
      <c r="F19" s="63">
        <f>'DRE Consolidado | P&amp;L '!F29</f>
        <v>-26014</v>
      </c>
      <c r="G19" s="63">
        <f>'DRE Consolidado | P&amp;L '!G29</f>
        <v>-23415</v>
      </c>
      <c r="H19" s="63">
        <f>'DRE Consolidado | P&amp;L '!H29</f>
        <v>-37565</v>
      </c>
      <c r="I19" s="63">
        <f>'DRE Consolidado | P&amp;L '!I29</f>
        <v>-105436</v>
      </c>
      <c r="J19" s="63">
        <f>'DRE Consolidado | P&amp;L '!J29</f>
        <v>-23034</v>
      </c>
      <c r="K19" s="63">
        <f>'DRE Consolidado | P&amp;L '!K29</f>
        <v>-27743</v>
      </c>
      <c r="L19" s="63">
        <f>'DRE Consolidado | P&amp;L '!L29</f>
        <v>-30903</v>
      </c>
      <c r="M19" s="63">
        <f>'DRE Consolidado | P&amp;L '!M29</f>
        <v>-34519</v>
      </c>
      <c r="N19" s="63">
        <f>'DRE Consolidado | P&amp;L '!N29</f>
        <v>-115954</v>
      </c>
      <c r="O19" s="63">
        <f>'DRE Consolidado | P&amp;L '!O29</f>
        <v>-25775</v>
      </c>
      <c r="P19" s="63">
        <f>'DRE Consolidado | P&amp;L '!P29</f>
        <v>-24015</v>
      </c>
      <c r="Q19" s="63">
        <f>'DRE Consolidado | P&amp;L '!Q29</f>
        <v>-25025</v>
      </c>
      <c r="R19" s="63">
        <f>'DRE Consolidado | P&amp;L '!R29</f>
        <v>-40662</v>
      </c>
      <c r="S19" s="63">
        <f>'DRE Consolidado | P&amp;L '!S29</f>
        <v>-115477</v>
      </c>
      <c r="T19" s="63">
        <f>'DRE Consolidado | P&amp;L '!T29</f>
        <v>-29315</v>
      </c>
      <c r="U19" s="63">
        <f>'DRE Consolidado | P&amp;L '!U29</f>
        <v>-26986</v>
      </c>
      <c r="V19" s="63">
        <f>'DRE Consolidado | P&amp;L '!V29</f>
        <v>-29213</v>
      </c>
      <c r="W19" s="63">
        <f>'DRE Consolidado | P&amp;L '!W29</f>
        <v>-36032</v>
      </c>
      <c r="X19" s="63">
        <f>'DRE Consolidado | P&amp;L '!X29</f>
        <v>-108041</v>
      </c>
      <c r="Y19" s="63">
        <f>'DRE Consolidado | P&amp;L '!Y29</f>
        <v>-23123.070530000001</v>
      </c>
      <c r="Z19" s="63">
        <f>'DRE Consolidado | P&amp;L '!Z29</f>
        <v>-30049.307700000001</v>
      </c>
      <c r="AA19" s="63">
        <f>'DRE Consolidado | P&amp;L '!AA29</f>
        <v>-32681.049440000003</v>
      </c>
      <c r="AB19" s="63">
        <f>'DRE Consolidado | P&amp;L '!AB29</f>
        <v>-40518.362699999998</v>
      </c>
      <c r="AC19" s="63">
        <f>'DRE Consolidado | P&amp;L '!AC29</f>
        <v>-126370.98835</v>
      </c>
      <c r="AD19" s="63">
        <f>'DRE Consolidado | P&amp;L '!AD29</f>
        <v>-30812.85527</v>
      </c>
      <c r="AE19" s="63">
        <f>'DRE Consolidado | P&amp;L '!AE29</f>
        <v>-32487.862050000003</v>
      </c>
      <c r="AF19" s="63">
        <f>'DRE Consolidado | P&amp;L '!AF29</f>
        <v>-38857.693099999997</v>
      </c>
      <c r="AG19" s="63">
        <f>'DRE Consolidado | P&amp;L '!AG29</f>
        <v>-32524.878800000006</v>
      </c>
      <c r="AH19" s="63">
        <f>'DRE Consolidado | P&amp;L '!AH29</f>
        <v>-134683.28922000001</v>
      </c>
      <c r="AI19" s="63">
        <f>'DRE Consolidado | P&amp;L '!AI29</f>
        <v>-36387</v>
      </c>
      <c r="AJ19" s="63">
        <f>'DRE Consolidado | P&amp;L '!AJ29</f>
        <v>-40738</v>
      </c>
      <c r="AK19" s="63">
        <f>'DRE Consolidado | P&amp;L '!AK29</f>
        <v>-40725</v>
      </c>
      <c r="AL19" s="63">
        <f>'DRE Consolidado | P&amp;L '!AL29</f>
        <v>-45044</v>
      </c>
      <c r="AM19" s="63">
        <f>'DRE Consolidado | P&amp;L '!AM29</f>
        <v>-162894</v>
      </c>
      <c r="AN19" s="63">
        <f>'DRE Consolidado | P&amp;L '!AN29</f>
        <v>-44957</v>
      </c>
      <c r="AO19" s="63">
        <f>'DRE Consolidado | P&amp;L '!AO29</f>
        <v>-53800</v>
      </c>
      <c r="AP19" s="63">
        <f>'DRE Consolidado | P&amp;L '!AP29</f>
        <v>-47933</v>
      </c>
      <c r="AQ19" s="63">
        <f>'DRE Consolidado | P&amp;L '!AQ29</f>
        <v>-59026</v>
      </c>
      <c r="AR19" s="63">
        <f>'DRE Consolidado | P&amp;L '!AR29</f>
        <v>-205233</v>
      </c>
      <c r="AS19" s="63">
        <f>'DRE Consolidado | P&amp;L '!AS29</f>
        <v>-46113</v>
      </c>
      <c r="AT19" s="63">
        <f>'DRE Consolidado | P&amp;L '!AT29</f>
        <v>-43356</v>
      </c>
      <c r="AU19" s="63">
        <f>'DRE Consolidado | P&amp;L '!AU29</f>
        <v>-43546</v>
      </c>
      <c r="AV19" s="63">
        <f>'DRE Consolidado | P&amp;L '!AV29</f>
        <v>-67781</v>
      </c>
      <c r="AW19" s="63">
        <f>'DRE Consolidado | P&amp;L '!AW29</f>
        <v>-200796</v>
      </c>
      <c r="AX19" s="63">
        <f>'DRE Consolidado | P&amp;L '!AX29</f>
        <v>-34458.558659999988</v>
      </c>
      <c r="AY19" s="63">
        <f>'DRE Consolidado | P&amp;L '!AY29</f>
        <v>-40030.099739999983</v>
      </c>
      <c r="AZ19" s="63">
        <f>'DRE Consolidado | P&amp;L '!AZ29</f>
        <v>-47756.302420000051</v>
      </c>
      <c r="BA19" s="63">
        <f>'DRE Consolidado | P&amp;L '!BA29</f>
        <v>-58033.615440000009</v>
      </c>
      <c r="BB19" s="63">
        <f>'DRE Consolidado | P&amp;L '!BB29</f>
        <v>-180278.57626000003</v>
      </c>
      <c r="BC19" s="63">
        <f>'DRE Consolidado | P&amp;L '!BC29</f>
        <v>-48373.931309999985</v>
      </c>
      <c r="BD19" s="63">
        <f>'DRE Consolidado | P&amp;L '!BD29</f>
        <v>-22419.41654000002</v>
      </c>
      <c r="BE19" s="63">
        <f>'DRE Consolidado | P&amp;L '!BE29</f>
        <v>-30365.293510000003</v>
      </c>
      <c r="BF19" s="63">
        <f>'DRE Consolidado | P&amp;L '!BF29</f>
        <v>-48949.81091000163</v>
      </c>
      <c r="BG19" s="63">
        <v>-150108.45227000164</v>
      </c>
      <c r="BH19" s="63">
        <f>'DRE Consolidado | P&amp;L '!BH29</f>
        <v>-32075.799050000001</v>
      </c>
      <c r="BI19" s="63">
        <f>'DRE Consolidado | P&amp;L '!BI29</f>
        <v>-33517.161300000022</v>
      </c>
      <c r="BJ19" s="63">
        <f>'DRE Consolidado | P&amp;L '!BJ29</f>
        <v>-41575.860739999975</v>
      </c>
      <c r="BK19" s="245">
        <f>'DRE Consolidado | P&amp;L '!BK29</f>
        <v>-54959.643079999994</v>
      </c>
      <c r="BL19" s="245">
        <f>'DRE Consolidado | P&amp;L '!BL29</f>
        <v>-162128.46416999999</v>
      </c>
      <c r="BM19" s="63">
        <f>'DRE Consolidado | P&amp;L '!BM29</f>
        <v>-35940.841439999989</v>
      </c>
      <c r="BN19" s="245">
        <f>'DRE Consolidado | P&amp;L '!BN29</f>
        <v>-40594.154369999989</v>
      </c>
      <c r="BO19" s="245">
        <f>'DRE Consolidado | P&amp;L '!BO29</f>
        <v>-41287.956650000022</v>
      </c>
      <c r="BP19" s="245">
        <f>'DRE Consolidado | P&amp;L '!BP29</f>
        <v>-58969.342619999996</v>
      </c>
      <c r="BQ19" s="245">
        <f>'DRE Consolidado | P&amp;L '!BQ29</f>
        <v>-176792.29508000001</v>
      </c>
      <c r="BR19" s="63">
        <f>'DRE Consolidado | P&amp;L '!BR29</f>
        <v>-45220.611029999993</v>
      </c>
      <c r="BS19" s="63">
        <f>'DRE Consolidado | P&amp;L '!BS29</f>
        <v>-60620.585010000003</v>
      </c>
      <c r="BT19" s="63">
        <f>'DRE Consolidado | P&amp;L '!BT29</f>
        <v>-47310.809169999993</v>
      </c>
    </row>
    <row r="20" spans="1:72" x14ac:dyDescent="0.35">
      <c r="C20" s="69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245"/>
      <c r="BO20" s="63"/>
      <c r="BP20" s="63"/>
      <c r="BQ20" s="245"/>
      <c r="BR20" s="63"/>
      <c r="BS20" s="63"/>
      <c r="BT20" s="63"/>
    </row>
    <row r="21" spans="1:72" x14ac:dyDescent="0.35">
      <c r="A21" s="84"/>
      <c r="B21" s="84"/>
      <c r="C21" s="56" t="str">
        <f>IF('Índice - Index'!$D$14="Português","Outras Despesas e Receitas Oper.","Other Operating Expenses/Revenues")</f>
        <v>Outras Despesas e Receitas Oper.</v>
      </c>
      <c r="D21" s="58">
        <f>'DRE Consolidado | P&amp;L '!D34</f>
        <v>13869</v>
      </c>
      <c r="E21" s="58">
        <f>'DRE Consolidado | P&amp;L '!E34</f>
        <v>449</v>
      </c>
      <c r="F21" s="58">
        <f>'DRE Consolidado | P&amp;L '!F34</f>
        <v>-58</v>
      </c>
      <c r="G21" s="58">
        <f>'DRE Consolidado | P&amp;L '!G34</f>
        <v>2058</v>
      </c>
      <c r="H21" s="58">
        <f>'DRE Consolidado | P&amp;L '!H34</f>
        <v>5262</v>
      </c>
      <c r="I21" s="58">
        <f>'DRE Consolidado | P&amp;L '!I34</f>
        <v>7711</v>
      </c>
      <c r="J21" s="58">
        <f>'DRE Consolidado | P&amp;L '!J34</f>
        <v>7388</v>
      </c>
      <c r="K21" s="58">
        <f>'DRE Consolidado | P&amp;L '!K34</f>
        <v>9526</v>
      </c>
      <c r="L21" s="58">
        <f>'DRE Consolidado | P&amp;L '!L34</f>
        <v>8692</v>
      </c>
      <c r="M21" s="58">
        <f>'DRE Consolidado | P&amp;L '!M34</f>
        <v>8676</v>
      </c>
      <c r="N21" s="58">
        <f>'DRE Consolidado | P&amp;L '!N34</f>
        <v>33916</v>
      </c>
      <c r="O21" s="58">
        <f>'DRE Consolidado | P&amp;L '!O34</f>
        <v>7574</v>
      </c>
      <c r="P21" s="58">
        <f>'DRE Consolidado | P&amp;L '!P34</f>
        <v>-2480</v>
      </c>
      <c r="Q21" s="58">
        <f>'DRE Consolidado | P&amp;L '!Q34</f>
        <v>-485</v>
      </c>
      <c r="R21" s="58">
        <f>'DRE Consolidado | P&amp;L '!R34</f>
        <v>12306</v>
      </c>
      <c r="S21" s="58">
        <f>'DRE Consolidado | P&amp;L '!S34</f>
        <v>16915</v>
      </c>
      <c r="T21" s="58">
        <f>'DRE Consolidado | P&amp;L '!T34</f>
        <v>-1105</v>
      </c>
      <c r="U21" s="58">
        <f>'DRE Consolidado | P&amp;L '!U34</f>
        <v>5504</v>
      </c>
      <c r="V21" s="58">
        <f>'DRE Consolidado | P&amp;L '!V34</f>
        <v>3991</v>
      </c>
      <c r="W21" s="58">
        <f>'DRE Consolidado | P&amp;L '!W34</f>
        <v>61</v>
      </c>
      <c r="X21" s="58">
        <f>'DRE Consolidado | P&amp;L '!X34</f>
        <v>-2623</v>
      </c>
      <c r="Y21" s="58">
        <f>'DRE Consolidado | P&amp;L '!Y34</f>
        <v>5281.2423900000003</v>
      </c>
      <c r="Z21" s="58">
        <f>'DRE Consolidado | P&amp;L '!Z34</f>
        <v>3931.3189299999999</v>
      </c>
      <c r="AA21" s="58">
        <f>'DRE Consolidado | P&amp;L '!AA34</f>
        <v>-1404.9372200000003</v>
      </c>
      <c r="AB21" s="58">
        <f>'DRE Consolidado | P&amp;L '!AB34</f>
        <v>-12989.624100000001</v>
      </c>
      <c r="AC21" s="58">
        <f>'DRE Consolidado | P&amp;L '!AC34</f>
        <v>-5182</v>
      </c>
      <c r="AD21" s="58">
        <f>'DRE Consolidado | P&amp;L '!AD34</f>
        <v>3148</v>
      </c>
      <c r="AE21" s="58">
        <f>'DRE Consolidado | P&amp;L '!AE34</f>
        <v>-5763</v>
      </c>
      <c r="AF21" s="58">
        <f>'DRE Consolidado | P&amp;L '!AF34</f>
        <v>-2634</v>
      </c>
      <c r="AG21" s="58">
        <f>'DRE Consolidado | P&amp;L '!AG34</f>
        <v>-7684</v>
      </c>
      <c r="AH21" s="58">
        <f>'DRE Consolidado | P&amp;L '!AH34</f>
        <v>-12933</v>
      </c>
      <c r="AI21" s="58">
        <f>'DRE Consolidado | P&amp;L '!AI34</f>
        <v>4138</v>
      </c>
      <c r="AJ21" s="58">
        <f>'DRE Consolidado | P&amp;L '!AJ34</f>
        <v>5528</v>
      </c>
      <c r="AK21" s="58">
        <f>'DRE Consolidado | P&amp;L '!AK34</f>
        <v>301</v>
      </c>
      <c r="AL21" s="58">
        <f>'DRE Consolidado | P&amp;L '!AL34</f>
        <v>-4135</v>
      </c>
      <c r="AM21" s="58">
        <f>'DRE Consolidado | P&amp;L '!AM34</f>
        <v>5832</v>
      </c>
      <c r="AN21" s="58">
        <f>'DRE Consolidado | P&amp;L '!AN34</f>
        <v>57811</v>
      </c>
      <c r="AO21" s="58">
        <f>'DRE Consolidado | P&amp;L '!AO34</f>
        <v>-6430</v>
      </c>
      <c r="AP21" s="58">
        <f>'DRE Consolidado | P&amp;L '!AP34</f>
        <v>-1294</v>
      </c>
      <c r="AQ21" s="58">
        <f>'DRE Consolidado | P&amp;L '!AQ34</f>
        <v>-11046</v>
      </c>
      <c r="AR21" s="58">
        <f>'DRE Consolidado | P&amp;L '!AR34</f>
        <v>38559</v>
      </c>
      <c r="AS21" s="58">
        <f>'DRE Consolidado | P&amp;L '!AS34</f>
        <v>22456</v>
      </c>
      <c r="AT21" s="58">
        <f>'DRE Consolidado | P&amp;L '!AT34</f>
        <v>8032</v>
      </c>
      <c r="AU21" s="58">
        <f>'DRE Consolidado | P&amp;L '!AU34</f>
        <v>30945</v>
      </c>
      <c r="AV21" s="58">
        <f>'DRE Consolidado | P&amp;L '!AV34</f>
        <v>318123</v>
      </c>
      <c r="AW21" s="58">
        <f>'DRE Consolidado | P&amp;L '!AW34</f>
        <v>379556</v>
      </c>
      <c r="AX21" s="58">
        <f>'DRE Consolidado | P&amp;L '!AX34</f>
        <v>-423.39433000000196</v>
      </c>
      <c r="AY21" s="58">
        <f>'DRE Consolidado | P&amp;L '!AY34</f>
        <v>6666.3943300000019</v>
      </c>
      <c r="AZ21" s="58">
        <f>'DRE Consolidado | P&amp;L '!AZ34</f>
        <v>-2655.8230900000035</v>
      </c>
      <c r="BA21" s="58">
        <f>'DRE Consolidado | P&amp;L '!BA34</f>
        <v>8186.0580599999957</v>
      </c>
      <c r="BB21" s="58">
        <f>'DRE Consolidado | P&amp;L '!BB34</f>
        <v>11773.234969999992</v>
      </c>
      <c r="BC21" s="58">
        <f>'DRE Consolidado | P&amp;L '!BC34</f>
        <v>-2039.4363599999995</v>
      </c>
      <c r="BD21" s="58">
        <f>'DRE Consolidado | P&amp;L '!BD34</f>
        <v>-22064.276810000003</v>
      </c>
      <c r="BE21" s="58">
        <f>'DRE Consolidado | P&amp;L '!BE34</f>
        <v>-3367.0879999999997</v>
      </c>
      <c r="BF21" s="58">
        <f>'DRE Consolidado | P&amp;L '!BF34</f>
        <v>15965.608600000001</v>
      </c>
      <c r="BG21" s="58">
        <v>-11505.192570000001</v>
      </c>
      <c r="BH21" s="58">
        <f>'DRE Consolidado | P&amp;L '!BH34</f>
        <v>-8112.7379200000014</v>
      </c>
      <c r="BI21" s="58">
        <f>'DRE Consolidado | P&amp;L '!BI34</f>
        <v>-9506.3862499999977</v>
      </c>
      <c r="BJ21" s="58">
        <f>'DRE Consolidado | P&amp;L '!BJ34</f>
        <v>5166.9893500000017</v>
      </c>
      <c r="BK21" s="239">
        <f>'DRE Consolidado | P&amp;L '!BK34</f>
        <v>-3751.1830000000064</v>
      </c>
      <c r="BL21" s="239">
        <f>'DRE Consolidado | P&amp;L '!BL34</f>
        <v>-16203.317820000004</v>
      </c>
      <c r="BM21" s="58">
        <f>'DRE Consolidado | P&amp;L '!BM34</f>
        <v>-9083.8587763396208</v>
      </c>
      <c r="BN21" s="239">
        <f>'DRE Consolidado | P&amp;L '!BN34</f>
        <v>-10962.646770000003</v>
      </c>
      <c r="BO21" s="239">
        <f>'DRE Consolidado | P&amp;L '!BO34</f>
        <v>-18666.248119999997</v>
      </c>
      <c r="BP21" s="239">
        <f>'DRE Consolidado | P&amp;L '!BP34</f>
        <v>-47039.013960000004</v>
      </c>
      <c r="BQ21" s="239">
        <f>'DRE Consolidado | P&amp;L '!BQ34</f>
        <v>-65695.062300000005</v>
      </c>
      <c r="BR21" s="58">
        <f>'DRE Consolidado | P&amp;L '!BR34</f>
        <v>-23948.977770000005</v>
      </c>
      <c r="BS21" s="58">
        <f>'DRE Consolidado | P&amp;L '!BS34</f>
        <v>35162.659150000007</v>
      </c>
      <c r="BT21" s="58">
        <f>'DRE Consolidado | P&amp;L '!BT34</f>
        <v>-8205.1924699999963</v>
      </c>
    </row>
    <row r="22" spans="1:72" x14ac:dyDescent="0.35">
      <c r="C22" s="69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245"/>
      <c r="BO22" s="63"/>
      <c r="BP22" s="63"/>
      <c r="BQ22" s="63"/>
      <c r="BR22" s="63"/>
      <c r="BS22" s="63"/>
      <c r="BT22" s="63"/>
    </row>
    <row r="23" spans="1:72" ht="13.5" hidden="1" customHeight="1" x14ac:dyDescent="0.35">
      <c r="A23" s="84"/>
      <c r="B23" s="84"/>
      <c r="C23" s="56" t="str">
        <f>IF('Índice - Index'!$D$14="Português","EBITDA VAREJO","RETAIL EBITDA")</f>
        <v>EBITDA VAREJO</v>
      </c>
      <c r="D23" s="58" t="e">
        <f>'DRE Consolidado | P&amp;L '!#REF!</f>
        <v>#REF!</v>
      </c>
      <c r="E23" s="58" t="e">
        <f>'DRE Consolidado | P&amp;L '!#REF!</f>
        <v>#REF!</v>
      </c>
      <c r="F23" s="58" t="e">
        <f>'DRE Consolidado | P&amp;L '!#REF!</f>
        <v>#REF!</v>
      </c>
      <c r="G23" s="58" t="e">
        <f>'DRE Consolidado | P&amp;L '!#REF!</f>
        <v>#REF!</v>
      </c>
      <c r="H23" s="58" t="e">
        <f>'DRE Consolidado | P&amp;L '!#REF!</f>
        <v>#REF!</v>
      </c>
      <c r="I23" s="58" t="e">
        <f>'DRE Consolidado | P&amp;L '!#REF!</f>
        <v>#REF!</v>
      </c>
      <c r="J23" s="58" t="e">
        <f>'DRE Consolidado | P&amp;L '!#REF!</f>
        <v>#REF!</v>
      </c>
      <c r="K23" s="58" t="e">
        <f>'DRE Consolidado | P&amp;L '!#REF!</f>
        <v>#REF!</v>
      </c>
      <c r="L23" s="58" t="e">
        <f>'DRE Consolidado | P&amp;L '!#REF!</f>
        <v>#REF!</v>
      </c>
      <c r="M23" s="58" t="e">
        <f>'DRE Consolidado | P&amp;L '!#REF!</f>
        <v>#REF!</v>
      </c>
      <c r="N23" s="58" t="e">
        <f>'DRE Consolidado | P&amp;L '!#REF!</f>
        <v>#REF!</v>
      </c>
      <c r="O23" s="58" t="e">
        <f>'DRE Consolidado | P&amp;L '!#REF!</f>
        <v>#REF!</v>
      </c>
      <c r="P23" s="58" t="e">
        <f>'DRE Consolidado | P&amp;L '!#REF!</f>
        <v>#REF!</v>
      </c>
      <c r="Q23" s="58" t="e">
        <f>'DRE Consolidado | P&amp;L '!#REF!</f>
        <v>#REF!</v>
      </c>
      <c r="R23" s="58" t="e">
        <f>'DRE Consolidado | P&amp;L '!#REF!</f>
        <v>#REF!</v>
      </c>
      <c r="S23" s="58" t="e">
        <f>'DRE Consolidado | P&amp;L '!#REF!</f>
        <v>#REF!</v>
      </c>
      <c r="T23" s="58" t="e">
        <f>'DRE Consolidado | P&amp;L '!#REF!</f>
        <v>#REF!</v>
      </c>
      <c r="U23" s="58" t="e">
        <f>'DRE Consolidado | P&amp;L '!#REF!</f>
        <v>#REF!</v>
      </c>
      <c r="V23" s="58" t="e">
        <f>'DRE Consolidado | P&amp;L '!#REF!</f>
        <v>#REF!</v>
      </c>
      <c r="W23" s="58" t="e">
        <f>'DRE Consolidado | P&amp;L '!#REF!</f>
        <v>#REF!</v>
      </c>
      <c r="X23" s="58" t="e">
        <f>'DRE Consolidado | P&amp;L '!#REF!</f>
        <v>#REF!</v>
      </c>
      <c r="Y23" s="58" t="e">
        <f>'DRE Consolidado | P&amp;L '!#REF!</f>
        <v>#REF!</v>
      </c>
      <c r="Z23" s="58" t="e">
        <f>'DRE Consolidado | P&amp;L '!#REF!</f>
        <v>#REF!</v>
      </c>
      <c r="AA23" s="58" t="e">
        <f>'DRE Consolidado | P&amp;L '!#REF!</f>
        <v>#REF!</v>
      </c>
      <c r="AB23" s="58" t="e">
        <f>'DRE Consolidado | P&amp;L '!#REF!</f>
        <v>#REF!</v>
      </c>
      <c r="AC23" s="58" t="e">
        <f>'DRE Consolidado | P&amp;L '!#REF!</f>
        <v>#REF!</v>
      </c>
      <c r="AD23" s="58" t="e">
        <f>'DRE Consolidado | P&amp;L '!#REF!</f>
        <v>#REF!</v>
      </c>
      <c r="AE23" s="58" t="e">
        <f>'DRE Consolidado | P&amp;L '!#REF!</f>
        <v>#REF!</v>
      </c>
      <c r="AF23" s="58" t="e">
        <f>'DRE Consolidado | P&amp;L '!#REF!</f>
        <v>#REF!</v>
      </c>
      <c r="AG23" s="58" t="e">
        <f>'DRE Consolidado | P&amp;L '!#REF!</f>
        <v>#REF!</v>
      </c>
      <c r="AH23" s="58" t="e">
        <f>'DRE Consolidado | P&amp;L '!#REF!</f>
        <v>#REF!</v>
      </c>
      <c r="AI23" s="58" t="e">
        <f>'DRE Consolidado | P&amp;L '!#REF!</f>
        <v>#REF!</v>
      </c>
      <c r="AJ23" s="58" t="e">
        <f>'DRE Consolidado | P&amp;L '!#REF!</f>
        <v>#REF!</v>
      </c>
      <c r="AK23" s="58" t="e">
        <f>'DRE Consolidado | P&amp;L '!#REF!</f>
        <v>#REF!</v>
      </c>
      <c r="AL23" s="58" t="e">
        <f>'DRE Consolidado | P&amp;L '!#REF!</f>
        <v>#REF!</v>
      </c>
      <c r="AM23" s="58" t="e">
        <f>'DRE Consolidado | P&amp;L '!#REF!</f>
        <v>#REF!</v>
      </c>
      <c r="AN23" s="58" t="e">
        <f>'DRE Consolidado | P&amp;L '!#REF!</f>
        <v>#REF!</v>
      </c>
      <c r="AO23" s="58" t="e">
        <f>'DRE Consolidado | P&amp;L '!#REF!</f>
        <v>#REF!</v>
      </c>
      <c r="AP23" s="58" t="e">
        <f>'DRE Consolidado | P&amp;L '!#REF!</f>
        <v>#REF!</v>
      </c>
      <c r="AQ23" s="182" t="e">
        <f>'DRE Consolidado | P&amp;L '!#REF!</f>
        <v>#REF!</v>
      </c>
      <c r="AR23" s="182" t="e">
        <f>'DRE Consolidado | P&amp;L '!#REF!</f>
        <v>#REF!</v>
      </c>
      <c r="AS23" s="182" t="e">
        <f>'DRE Consolidado | P&amp;L '!#REF!</f>
        <v>#REF!</v>
      </c>
      <c r="AT23" s="182" t="e">
        <f>'DRE Consolidado | P&amp;L '!#REF!</f>
        <v>#REF!</v>
      </c>
      <c r="AU23" s="182" t="e">
        <f>'DRE Consolidado | P&amp;L '!#REF!</f>
        <v>#REF!</v>
      </c>
      <c r="AV23" s="182" t="e">
        <f>'DRE Consolidado | P&amp;L '!#REF!</f>
        <v>#REF!</v>
      </c>
      <c r="AW23" s="182" t="e">
        <f>'DRE Consolidado | P&amp;L '!#REF!</f>
        <v>#REF!</v>
      </c>
      <c r="AX23" s="182" t="e">
        <f>'DRE Consolidado | P&amp;L '!#REF!</f>
        <v>#REF!</v>
      </c>
      <c r="AY23" s="182" t="e">
        <f>'DRE Consolidado | P&amp;L '!#REF!</f>
        <v>#REF!</v>
      </c>
      <c r="AZ23" s="182" t="e">
        <f>'DRE Consolidado | P&amp;L '!#REF!</f>
        <v>#REF!</v>
      </c>
      <c r="BA23" s="182" t="e">
        <f>'DRE Consolidado | P&amp;L '!#REF!</f>
        <v>#REF!</v>
      </c>
      <c r="BB23" s="182" t="e">
        <f>'DRE Consolidado | P&amp;L '!#REF!</f>
        <v>#REF!</v>
      </c>
      <c r="BC23" s="182" t="e">
        <f>'DRE Consolidado | P&amp;L '!#REF!</f>
        <v>#REF!</v>
      </c>
      <c r="BD23" s="182" t="e">
        <f>'DRE Consolidado | P&amp;L '!#REF!</f>
        <v>#REF!</v>
      </c>
      <c r="BE23" s="182" t="e">
        <f>'DRE Consolidado | P&amp;L '!#REF!</f>
        <v>#REF!</v>
      </c>
      <c r="BF23" s="182" t="e">
        <f>'DRE Consolidado | P&amp;L '!#REF!</f>
        <v>#REF!</v>
      </c>
      <c r="BG23" s="182">
        <v>-22154.373240001834</v>
      </c>
      <c r="BH23" s="182" t="e">
        <f>'DRE Consolidado | P&amp;L '!#REF!</f>
        <v>#REF!</v>
      </c>
      <c r="BI23" s="182" t="e">
        <f>'DRE Consolidado | P&amp;L '!#REF!</f>
        <v>#REF!</v>
      </c>
      <c r="BJ23" s="182">
        <v>29683.335155874978</v>
      </c>
      <c r="BK23" s="267">
        <f t="shared" ref="BK23:BS23" si="16">BK14+BK17+BK21</f>
        <v>85916.058345349928</v>
      </c>
      <c r="BL23" s="267">
        <f t="shared" si="16"/>
        <v>118945.15867222496</v>
      </c>
      <c r="BM23" s="267">
        <f t="shared" si="16"/>
        <v>757.4116303853516</v>
      </c>
      <c r="BN23" s="267">
        <f>BN14+BN17+BN21</f>
        <v>92059.596627399951</v>
      </c>
      <c r="BO23" s="267">
        <f t="shared" si="16"/>
        <v>47971.835739999871</v>
      </c>
      <c r="BP23" s="267">
        <f t="shared" si="16"/>
        <v>83156.079257974809</v>
      </c>
      <c r="BQ23" s="267">
        <f t="shared" si="16"/>
        <v>233875.24579367402</v>
      </c>
      <c r="BR23" s="267">
        <f t="shared" si="16"/>
        <v>2752.3719094000626</v>
      </c>
      <c r="BS23" s="267">
        <f t="shared" si="16"/>
        <v>56242.354453625172</v>
      </c>
      <c r="BT23" s="267">
        <f>BT14+BT17+BT21</f>
        <v>-42426.957149999987</v>
      </c>
    </row>
    <row r="24" spans="1:72" x14ac:dyDescent="0.35">
      <c r="A24" s="84"/>
      <c r="B24" s="84"/>
      <c r="C24" s="56" t="str">
        <f>IF('Índice - Index'!$D$14="Português","EBITDA AJUSTADO* VAREJO (IFRS 16)","RETAIL ADJUSTED* EBITDA (IFRS 16)")</f>
        <v>EBITDA AJUSTADO* VAREJO (IFRS 16)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>
        <f>'DRE Consolidado | P&amp;L '!AQ50</f>
        <v>53438.000000000007</v>
      </c>
      <c r="AR24" s="58">
        <f>'DRE Consolidado | P&amp;L '!AR50</f>
        <v>87209.999999999724</v>
      </c>
      <c r="AS24" s="58">
        <f>'DRE Consolidado | P&amp;L '!AS50</f>
        <v>-32741.278000000002</v>
      </c>
      <c r="AT24" s="58">
        <f>'DRE Consolidado | P&amp;L '!AT50</f>
        <v>14592.816569999979</v>
      </c>
      <c r="AU24" s="58">
        <f>'DRE Consolidado | P&amp;L '!AU50</f>
        <v>9180.329456317033</v>
      </c>
      <c r="AV24" s="58">
        <f>'DRE Consolidado | P&amp;L '!AV50</f>
        <v>300692.85357039992</v>
      </c>
      <c r="AW24" s="58">
        <f>'DRE Consolidado | P&amp;L '!AW50</f>
        <v>291724.72092671681</v>
      </c>
      <c r="AX24" s="58">
        <f>'DRE Consolidado | P&amp;L '!AX50</f>
        <v>42764.167985949884</v>
      </c>
      <c r="AY24" s="58">
        <f>'DRE Consolidado | P&amp;L '!AY50</f>
        <v>55550.596113649946</v>
      </c>
      <c r="AZ24" s="58">
        <f>'DRE Consolidado | P&amp;L '!AZ50</f>
        <v>32162.298128899252</v>
      </c>
      <c r="BA24" s="58">
        <f>'DRE Consolidado | P&amp;L '!BA50</f>
        <v>116530.86261799988</v>
      </c>
      <c r="BB24" s="58">
        <f>'DRE Consolidado | P&amp;L '!BB50</f>
        <v>247007.84809799911</v>
      </c>
      <c r="BC24" s="58">
        <f>'DRE Consolidado | P&amp;L '!BC50</f>
        <v>-26567.408771974944</v>
      </c>
      <c r="BD24" s="58">
        <f>'DRE Consolidado | P&amp;L '!BD50</f>
        <v>-57432.590533974784</v>
      </c>
      <c r="BE24" s="58">
        <f>'DRE Consolidado | P&amp;L '!BE50</f>
        <v>-24483.566180025533</v>
      </c>
      <c r="BF24" s="58">
        <f>'DRE Consolidado | P&amp;L '!BF50</f>
        <v>99276.472245973433</v>
      </c>
      <c r="BG24" s="58">
        <v>-9207.093240001821</v>
      </c>
      <c r="BH24" s="58">
        <f>'DRE Consolidado | P&amp;L '!BH50</f>
        <v>-33118.204557224795</v>
      </c>
      <c r="BI24" s="58">
        <f>'DRE Consolidado | P&amp;L '!BI50</f>
        <v>41745.480922949624</v>
      </c>
      <c r="BJ24" s="182">
        <f>'DRE Consolidado | P&amp;L '!BJ50</f>
        <v>30728.335155874978</v>
      </c>
      <c r="BK24" s="239">
        <f>'DRE Consolidado | P&amp;L '!BK50</f>
        <v>85916.058345349913</v>
      </c>
      <c r="BL24" s="239">
        <f>'DRE Consolidado | P&amp;L '!BL50</f>
        <v>118945.15867222496</v>
      </c>
      <c r="BM24" s="239">
        <f>'DRE Consolidado | P&amp;L '!BM50</f>
        <v>757.4116303853516</v>
      </c>
      <c r="BN24" s="239">
        <f>BN23</f>
        <v>92059.596627399951</v>
      </c>
      <c r="BO24" s="239">
        <f>'DRE Consolidado | P&amp;L '!BO50</f>
        <v>47971.835739999864</v>
      </c>
      <c r="BP24" s="239">
        <f>'DRE Consolidado | P&amp;L '!BP50</f>
        <v>83156.079257974809</v>
      </c>
      <c r="BQ24" s="239">
        <f>'DRE Consolidado | P&amp;L '!BQ50</f>
        <v>233875.24579367414</v>
      </c>
      <c r="BR24" s="239">
        <f>BR23</f>
        <v>2752.3719094000626</v>
      </c>
      <c r="BS24" s="239">
        <f>BS23</f>
        <v>56242.354453625172</v>
      </c>
      <c r="BT24" s="239">
        <f>BT14+BT17+BT21</f>
        <v>-42426.957149999987</v>
      </c>
    </row>
    <row r="25" spans="1:72" x14ac:dyDescent="0.35">
      <c r="C25" s="56" t="str">
        <f>IF('Índice - Index'!$D$14="Português","EBITDA Ajustado* - Varejo Ex-IFRS 16"," Retail - Adjusted EBITDA Ex-IFRS16")</f>
        <v>EBITDA Ajustado* - Varejo Ex-IFRS 16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>
        <v>-10987.289544050118</v>
      </c>
      <c r="AY25" s="57">
        <v>-544.61702635005429</v>
      </c>
      <c r="AZ25" s="57">
        <v>-25183.192771100734</v>
      </c>
      <c r="BA25" s="57">
        <v>54406.705257999885</v>
      </c>
      <c r="BB25" s="57">
        <f>'DRE Consolidado | P&amp;L '!BB51</f>
        <v>17691.605916498978</v>
      </c>
      <c r="BC25" s="57">
        <f>'DRE Consolidado | P&amp;L '!BC51</f>
        <v>-70997.424931974994</v>
      </c>
      <c r="BD25" s="57">
        <f>'DRE Consolidado | P&amp;L '!BD51</f>
        <v>-117836.32796397484</v>
      </c>
      <c r="BE25" s="57">
        <f>'DRE Consolidado | P&amp;L '!BE51</f>
        <v>-80778.95840002544</v>
      </c>
      <c r="BF25" s="57">
        <f>'DRE Consolidado | P&amp;L '!BF51</f>
        <v>11546.917785973053</v>
      </c>
      <c r="BG25" s="57">
        <f>'DRE Consolidado | P&amp;L '!BG51</f>
        <v>-258065.7935100022</v>
      </c>
      <c r="BH25" s="57">
        <f>'DRE Consolidado | P&amp;L '!BH51</f>
        <v>-90799.792647224764</v>
      </c>
      <c r="BI25" s="57">
        <f>'DRE Consolidado | P&amp;L '!BI51</f>
        <v>-18412.617262775275</v>
      </c>
      <c r="BJ25" s="57">
        <f>'DRE Consolidado | P&amp;L '!BJ51</f>
        <v>-29524.7802331251</v>
      </c>
      <c r="BK25" s="239">
        <f>'DRE Consolidado | P&amp;L '!BK51</f>
        <v>14191.829134349902</v>
      </c>
      <c r="BL25" s="239">
        <f>'DRE Consolidado | P&amp;L '!BL51</f>
        <v>-124545.36100877513</v>
      </c>
      <c r="BM25" s="239">
        <f>'DRE Consolidado | P&amp;L '!BM51</f>
        <v>-64308.739159614684</v>
      </c>
      <c r="BN25" s="239">
        <f>'DRE Consolidado | P&amp;L '!BN51</f>
        <v>25571.244667399915</v>
      </c>
      <c r="BO25" s="239">
        <f>'DRE Consolidado | P&amp;L '!BO51</f>
        <v>-29906.031788424982</v>
      </c>
      <c r="BP25" s="239">
        <f>'DRE Consolidado | P&amp;L '!BP51</f>
        <v>4897.9097379747263</v>
      </c>
      <c r="BQ25" s="239">
        <f>'DRE Consolidado | P&amp;L '!BQ51</f>
        <v>-43825.596156325482</v>
      </c>
      <c r="BR25" s="239">
        <f>'DRE Consolidado | P&amp;L '!BR51</f>
        <v>-66235.622540600016</v>
      </c>
      <c r="BS25" s="239">
        <f>'DRE Consolidado | P&amp;L '!BS51</f>
        <v>-7136.8500863747613</v>
      </c>
      <c r="BT25" s="239">
        <v>-109117.82617999997</v>
      </c>
    </row>
    <row r="26" spans="1:72" x14ac:dyDescent="0.35">
      <c r="C26" s="258" t="str">
        <f>IF('Índice - Index'!$D$14="Português","*ajustes não operacionais","* Adjusted for non-operating items")</f>
        <v>*ajustes não operacionais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64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193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11"/>
      <c r="BE26" s="25"/>
      <c r="BF26" s="25"/>
      <c r="BG26" s="25"/>
      <c r="BH26" s="25"/>
      <c r="BI26" s="25"/>
      <c r="BJ26" s="25"/>
      <c r="BK26" s="25"/>
      <c r="BM26" s="25"/>
      <c r="BN26" s="25"/>
      <c r="BO26" s="25"/>
      <c r="BP26" s="25"/>
      <c r="BQ26" s="25"/>
      <c r="BR26" s="25"/>
      <c r="BS26" s="25"/>
      <c r="BT26" s="25"/>
    </row>
  </sheetData>
  <pageMargins left="0.511811024" right="0.511811024" top="0.78740157499999996" bottom="0.78740157499999996" header="0.31496062000000002" footer="0.31496062000000002"/>
  <pageSetup paperSize="9" fitToWidth="5" fitToHeight="0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A4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BT30"/>
  <sheetViews>
    <sheetView showGridLines="0" zoomScale="70" zoomScaleNormal="70" workbookViewId="0">
      <pane xSplit="2" topLeftCell="AB1" activePane="topRight" state="frozen"/>
      <selection activeCell="C27" sqref="C27"/>
      <selection pane="topRight" activeCell="BU21" sqref="BU21"/>
    </sheetView>
  </sheetViews>
  <sheetFormatPr defaultColWidth="9.1796875" defaultRowHeight="13.5" outlineLevelCol="1" x14ac:dyDescent="0.35"/>
  <cols>
    <col min="1" max="1" width="9.453125" style="25" customWidth="1"/>
    <col min="2" max="2" width="38.54296875" style="25" customWidth="1"/>
    <col min="3" max="3" width="8.453125" style="27" bestFit="1" customWidth="1"/>
    <col min="4" max="4" width="7.453125" style="27" hidden="1" customWidth="1" outlineLevel="1"/>
    <col min="5" max="5" width="7.1796875" style="27" hidden="1" customWidth="1" outlineLevel="1"/>
    <col min="6" max="7" width="7.453125" style="27" hidden="1" customWidth="1" outlineLevel="1"/>
    <col min="8" max="8" width="8.453125" style="27" bestFit="1" customWidth="1" collapsed="1"/>
    <col min="9" max="9" width="7.453125" style="27" hidden="1" customWidth="1" outlineLevel="1"/>
    <col min="10" max="10" width="7.1796875" style="27" hidden="1" customWidth="1" outlineLevel="1"/>
    <col min="11" max="12" width="7.453125" style="27" hidden="1" customWidth="1" outlineLevel="1"/>
    <col min="13" max="13" width="8" style="91" bestFit="1" customWidth="1" collapsed="1"/>
    <col min="14" max="17" width="7.453125" style="27" hidden="1" customWidth="1" outlineLevel="1"/>
    <col min="18" max="18" width="8.453125" style="27" bestFit="1" customWidth="1" collapsed="1"/>
    <col min="19" max="22" width="7.453125" style="27" hidden="1" customWidth="1" outlineLevel="1"/>
    <col min="23" max="23" width="8" style="27" customWidth="1" collapsed="1"/>
    <col min="24" max="27" width="7.453125" style="27" hidden="1" customWidth="1" outlineLevel="1"/>
    <col min="28" max="28" width="8.54296875" style="27" customWidth="1" collapsed="1"/>
    <col min="29" max="31" width="7.453125" style="27" hidden="1" customWidth="1" outlineLevel="1"/>
    <col min="32" max="32" width="8.1796875" style="27" hidden="1" customWidth="1" outlineLevel="1"/>
    <col min="33" max="33" width="8.453125" style="27" customWidth="1" collapsed="1"/>
    <col min="34" max="35" width="7.453125" style="27" hidden="1" customWidth="1" outlineLevel="1"/>
    <col min="36" max="36" width="7.54296875" style="27" hidden="1" customWidth="1" outlineLevel="1"/>
    <col min="37" max="37" width="9.1796875" style="27" hidden="1" customWidth="1" outlineLevel="1"/>
    <col min="38" max="38" width="9.1796875" style="27" collapsed="1"/>
    <col min="39" max="42" width="9.1796875" style="27" hidden="1" customWidth="1" outlineLevel="1"/>
    <col min="43" max="43" width="9.1796875" style="27" collapsed="1"/>
    <col min="44" max="47" width="9.1796875" style="27" hidden="1" customWidth="1" outlineLevel="1"/>
    <col min="48" max="48" width="9.1796875" style="27" collapsed="1"/>
    <col min="49" max="52" width="9.1796875" style="27" hidden="1" customWidth="1" outlineLevel="1" collapsed="1"/>
    <col min="53" max="53" width="9.1796875" style="27" collapsed="1"/>
    <col min="54" max="57" width="9.1796875" style="27" hidden="1" customWidth="1" outlineLevel="1"/>
    <col min="58" max="58" width="9.1796875" style="27" collapsed="1"/>
    <col min="59" max="61" width="9.1796875" style="27" hidden="1" customWidth="1" outlineLevel="1"/>
    <col min="62" max="62" width="15.7265625" style="27" hidden="1" customWidth="1" outlineLevel="1"/>
    <col min="63" max="63" width="16" style="27" customWidth="1" collapsed="1"/>
    <col min="64" max="64" width="15.36328125" style="27" hidden="1" customWidth="1" outlineLevel="1" collapsed="1"/>
    <col min="65" max="65" width="15.453125" style="27" hidden="1" customWidth="1" outlineLevel="1"/>
    <col min="66" max="66" width="9.1796875" style="27" hidden="1" customWidth="1" outlineLevel="1"/>
    <col min="67" max="67" width="15.6328125" style="27" hidden="1" customWidth="1" outlineLevel="1"/>
    <col min="68" max="68" width="9.1796875" style="27" hidden="1" customWidth="1" outlineLevel="1"/>
    <col min="69" max="72" width="9.1796875" style="27" collapsed="1"/>
    <col min="73" max="16384" width="9.1796875" style="27"/>
  </cols>
  <sheetData>
    <row r="1" spans="1:72" x14ac:dyDescent="0.35">
      <c r="A1" s="215" t="s">
        <v>35</v>
      </c>
      <c r="B1" s="27"/>
    </row>
    <row r="3" spans="1:72" ht="27" x14ac:dyDescent="0.35">
      <c r="B3" s="88" t="str">
        <f>IF('Índice - Index'!$D$14="Português","Produtos e Serviços Financeiros (R$ mm)","Financial Services (R$ mm)")</f>
        <v>Produtos e Serviços Financeiros (R$ mm)</v>
      </c>
      <c r="C3" s="28" t="str">
        <f>IF('Índice - Index'!$D$14="Português","2009","2009")</f>
        <v>2009</v>
      </c>
      <c r="D3" s="28" t="str">
        <f>IF('Índice - Index'!$D$14="Português","1T10","1Q10")</f>
        <v>1T10</v>
      </c>
      <c r="E3" s="89" t="str">
        <f>IF('Índice - Index'!$D$14="Português","2T10","2Q10")</f>
        <v>2T10</v>
      </c>
      <c r="F3" s="89" t="str">
        <f>IF('Índice - Index'!$D$14="Português","3T10","3Q10")</f>
        <v>3T10</v>
      </c>
      <c r="G3" s="89" t="str">
        <f>IF('Índice - Index'!$D$14="Português","4T10","4Q10")</f>
        <v>4T10</v>
      </c>
      <c r="H3" s="89" t="str">
        <f>IF('Índice - Index'!$D$14="Português","2010","2010")</f>
        <v>2010</v>
      </c>
      <c r="I3" s="28" t="str">
        <f>IF('Índice - Index'!$D$14="Português","1T11","1Q11")</f>
        <v>1T11</v>
      </c>
      <c r="J3" s="28" t="str">
        <f>IF('Índice - Index'!$D$14="Português","2T11","2Q11")</f>
        <v>2T11</v>
      </c>
      <c r="K3" s="28" t="str">
        <f>IF('Índice - Index'!$D$14="Português","3T11","3Q11")</f>
        <v>3T11</v>
      </c>
      <c r="L3" s="89" t="str">
        <f>IF('Índice - Index'!$D$14="Português","4T11","4Q11")</f>
        <v>4T11</v>
      </c>
      <c r="M3" s="28" t="str">
        <f>IF('Índice - Index'!$D$14="Português","2011","2011")</f>
        <v>2011</v>
      </c>
      <c r="N3" s="28" t="str">
        <f>IF('Índice - Index'!$D$14="Português","1T12","1Q12")</f>
        <v>1T12</v>
      </c>
      <c r="O3" s="28" t="str">
        <f>IF('Índice - Index'!$D$14="Português","2T12","2Q12")</f>
        <v>2T12</v>
      </c>
      <c r="P3" s="28" t="str">
        <f>IF('Índice - Index'!$D$14="Português","3T12","3Q12")</f>
        <v>3T12</v>
      </c>
      <c r="Q3" s="28" t="str">
        <f>IF('Índice - Index'!$D$14="Português","4T12","4Q12")</f>
        <v>4T12</v>
      </c>
      <c r="R3" s="28" t="str">
        <f>IF('Índice - Index'!$D$14="Português","2012","2012")</f>
        <v>2012</v>
      </c>
      <c r="S3" s="28" t="str">
        <f>IF('Índice - Index'!$D$14="Português","1T13","1Q13")</f>
        <v>1T13</v>
      </c>
      <c r="T3" s="28" t="str">
        <f>IF('Índice - Index'!$D$14="Português","2T13","2Q13")</f>
        <v>2T13</v>
      </c>
      <c r="U3" s="28" t="str">
        <f>IF('Índice - Index'!$D$14="Português","3T13","3Q13")</f>
        <v>3T13</v>
      </c>
      <c r="V3" s="28" t="str">
        <f>IF('Índice - Index'!$D$14="Português","4T13","4Q13")</f>
        <v>4T13</v>
      </c>
      <c r="W3" s="28" t="str">
        <f>IF('Índice - Index'!$D$14="Português","2013","2013")</f>
        <v>2013</v>
      </c>
      <c r="X3" s="28" t="str">
        <f>IF('Índice - Index'!$D$14="Português","1T14","1Q14")</f>
        <v>1T14</v>
      </c>
      <c r="Y3" s="28" t="str">
        <f>IF('Índice - Index'!$D$14="Português","2T14","2Q14")</f>
        <v>2T14</v>
      </c>
      <c r="Z3" s="28" t="str">
        <f>IF('Índice - Index'!$D$14="Português","3T14","3Q14")</f>
        <v>3T14</v>
      </c>
      <c r="AA3" s="28" t="str">
        <f>IF('Índice - Index'!$D$14="Português","4T14","4Q14")</f>
        <v>4T14</v>
      </c>
      <c r="AB3" s="28" t="str">
        <f>IF('Índice - Index'!$D$14="Português","2014","2014")</f>
        <v>2014</v>
      </c>
      <c r="AC3" s="28" t="str">
        <f>IF('Índice - Index'!$D$14="Português","1T15","1Q15")</f>
        <v>1T15</v>
      </c>
      <c r="AD3" s="28" t="str">
        <f>IF('Índice - Index'!$D$14="Português","2T15","2Q15")</f>
        <v>2T15</v>
      </c>
      <c r="AE3" s="28" t="str">
        <f>IF('Índice - Index'!$D$14="Português","3T15","3Q15")</f>
        <v>3T15</v>
      </c>
      <c r="AF3" s="28" t="str">
        <f>IF('Índice - Index'!$D$14="Português","4T15","4Q15")</f>
        <v>4T15</v>
      </c>
      <c r="AG3" s="28" t="str">
        <f>IF('Índice - Index'!$D$14="Português","2015","2015")</f>
        <v>2015</v>
      </c>
      <c r="AH3" s="28" t="str">
        <f>IF('Índice - Index'!$D$14="Português","1T16","1Q16")</f>
        <v>1T16</v>
      </c>
      <c r="AI3" s="28" t="str">
        <f>IF('Índice - Index'!$D$14="Português","2T16","2Q16")</f>
        <v>2T16</v>
      </c>
      <c r="AJ3" s="28" t="str">
        <f>IF('Índice - Index'!$D$14="Português","3T16","3Q16")</f>
        <v>3T16</v>
      </c>
      <c r="AK3" s="28" t="str">
        <f>IF('Índice - Index'!$D$14="Português","4T16","4Q16")</f>
        <v>4T16</v>
      </c>
      <c r="AL3" s="28" t="str">
        <f>IF('Índice - Index'!$D$14="Português","2016","2016")</f>
        <v>2016</v>
      </c>
      <c r="AM3" s="28" t="str">
        <f>IF('Índice - Index'!$D$14="Português","1T17","1Q17")</f>
        <v>1T17</v>
      </c>
      <c r="AN3" s="28" t="str">
        <f>IF('Índice - Index'!$D$14="Português","2T17*","2Q17*")</f>
        <v>2T17*</v>
      </c>
      <c r="AO3" s="28" t="str">
        <f>IF('Índice - Index'!$D$14="Português","3T17","3Q17")</f>
        <v>3T17</v>
      </c>
      <c r="AP3" s="28" t="str">
        <f>IF('Índice - Index'!$D$14="Português","4T17","4Q17")</f>
        <v>4T17</v>
      </c>
      <c r="AQ3" s="28" t="str">
        <f>IF('Índice - Index'!$D$14="Português","2017","2017")</f>
        <v>2017</v>
      </c>
      <c r="AR3" s="28" t="str">
        <f>IF('Índice - Index'!$D$14="Português","1T18","1Q18")</f>
        <v>1T18</v>
      </c>
      <c r="AS3" s="28" t="str">
        <f>IF('Índice - Index'!$D$14="Português","2T18","2Q18")</f>
        <v>2T18</v>
      </c>
      <c r="AT3" s="28" t="str">
        <f>IF('Índice - Index'!$D$14="Português","3T18","3Q18")</f>
        <v>3T18</v>
      </c>
      <c r="AU3" s="28" t="str">
        <f>IF('Índice - Index'!$D$14="Português","4T18","4Q18")</f>
        <v>4T18</v>
      </c>
      <c r="AV3" s="28" t="str">
        <f>IF('Índice - Index'!$D$14="Português","2018","2018")</f>
        <v>2018</v>
      </c>
      <c r="AW3" s="28" t="str">
        <f>IF('Índice - Index'!$D$14="Português","1T19","1Q19")</f>
        <v>1T19</v>
      </c>
      <c r="AX3" s="28" t="str">
        <f>IF('Índice - Index'!$D$14="Português","2T19","2Q19")</f>
        <v>2T19</v>
      </c>
      <c r="AY3" s="28" t="str">
        <f>IF('Índice - Index'!$D$14="Português","3T19","3Q19")</f>
        <v>3T19</v>
      </c>
      <c r="AZ3" s="28" t="str">
        <f>IF('Índice - Index'!$D$14="Português","4T19","4Q19")</f>
        <v>4T19</v>
      </c>
      <c r="BA3" s="28" t="str">
        <f>IF('Índice - Index'!$D$14="Português","2019","2019")</f>
        <v>2019</v>
      </c>
      <c r="BB3" s="28" t="str">
        <f>IF('Índice - Index'!$D$14="Português","1T20","1Q20")</f>
        <v>1T20</v>
      </c>
      <c r="BC3" s="28" t="str">
        <f>IF('Índice - Index'!$D$14="Português","2T20","2Q20")</f>
        <v>2T20</v>
      </c>
      <c r="BD3" s="28" t="str">
        <f>IF('Índice - Index'!$D$14="Português","3T20","3Q20")</f>
        <v>3T20</v>
      </c>
      <c r="BE3" s="28" t="str">
        <f>IF('Índice - Index'!$D$14="Português","4T20","4Q20")</f>
        <v>4T20</v>
      </c>
      <c r="BF3" s="28" t="str">
        <f>IF('Índice - Index'!$D$14="Português","2020","2020")</f>
        <v>2020</v>
      </c>
      <c r="BG3" s="28" t="str">
        <f>IF('Índice - Index'!$D$14="Português","1T21","1Q21")</f>
        <v>1T21</v>
      </c>
      <c r="BH3" s="28" t="str">
        <f>IF('Índice - Index'!$D$14="Português","2T21","2Q21")</f>
        <v>2T21</v>
      </c>
      <c r="BI3" s="28" t="str">
        <f>IF('Índice - Index'!$D$14="Português","3T21","3Q21")</f>
        <v>3T21</v>
      </c>
      <c r="BJ3" s="241" t="str">
        <f>IF('Índice - Index'!$D$14="Português","4T21 (reapresentado)","4Q22 (restated)")</f>
        <v>4T21 (reapresentado)</v>
      </c>
      <c r="BK3" s="241" t="str">
        <f>IF('Índice - Index'!$D$14="Português","2021 (reapresentado)","2021 (restated)")</f>
        <v>2021 (reapresentado)</v>
      </c>
      <c r="BL3" s="243" t="str">
        <f>IF('Índice - Index'!$D$14="Português","1T22 (reapresentado)","1Q22 (restated)")</f>
        <v>1T22 (reapresentado)</v>
      </c>
      <c r="BM3" s="243" t="str">
        <f>IF('Índice - Index'!$D$14="Português","2T22 (reapresentado)","2Q22 (restated)")</f>
        <v>2T22 (reapresentado)</v>
      </c>
      <c r="BN3" s="28" t="str">
        <f>IF('Índice - Index'!$D$14="Português","3T22","3Q22")</f>
        <v>3T22</v>
      </c>
      <c r="BO3" s="243" t="str">
        <f>IF('Índice - Index'!$D$14="Português","3T22** (reapresentado)","3Q22** (restated)")</f>
        <v>3T22** (reapresentado)</v>
      </c>
      <c r="BP3" s="28" t="str">
        <f>IF('Índice - Index'!$D$14="Português","4T22","4Q22")</f>
        <v>4T22</v>
      </c>
      <c r="BQ3" s="28" t="str">
        <f>IF('Índice - Index'!$D$14="Português","2022","2022")</f>
        <v>2022</v>
      </c>
      <c r="BR3" s="28" t="str">
        <f>IF('Índice - Index'!$D$14="Português","1T23","1Q23")</f>
        <v>1T23</v>
      </c>
      <c r="BS3" s="28" t="str">
        <f>IF('Índice - Index'!$D$14="Português","2T23","2Q23")</f>
        <v>2T23</v>
      </c>
      <c r="BT3" s="28" t="str">
        <f>IF('Índice - Index'!$D$14="Português","3T23","3Q23")</f>
        <v>3T23</v>
      </c>
    </row>
    <row r="4" spans="1:72" x14ac:dyDescent="0.35">
      <c r="B4" s="90"/>
    </row>
    <row r="5" spans="1:72" x14ac:dyDescent="0.35">
      <c r="B5" s="92" t="str">
        <f>IF('Índice - Index'!$D$14="Português","Cartão Private Label","Private Label Card")</f>
        <v>Cartão Private Label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9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</row>
    <row r="6" spans="1:72" x14ac:dyDescent="0.35">
      <c r="B6" s="94" t="str">
        <f>IF('Índice - Index'!$D$14="Português","Receita de Juros Líquida de Funding","Financial intermediation revenues, net of funding costs")</f>
        <v>Receita de Juros Líquida de Funding</v>
      </c>
      <c r="C6" s="95">
        <v>184.7</v>
      </c>
      <c r="D6" s="95">
        <v>43.800000000000004</v>
      </c>
      <c r="E6" s="95">
        <v>46.911000000000001</v>
      </c>
      <c r="F6" s="95">
        <v>46.628</v>
      </c>
      <c r="G6" s="95">
        <v>46.978062199999997</v>
      </c>
      <c r="H6" s="95">
        <f>SUM(D6:G6)</f>
        <v>184.31706220000001</v>
      </c>
      <c r="I6" s="95">
        <v>66.369</v>
      </c>
      <c r="J6" s="95">
        <v>60.844000000000001</v>
      </c>
      <c r="K6" s="95">
        <v>57.741</v>
      </c>
      <c r="L6" s="95">
        <v>57.906999999999996</v>
      </c>
      <c r="M6" s="95">
        <f>SUM(I6:L6)</f>
        <v>242.86099999999999</v>
      </c>
      <c r="N6" s="95">
        <v>61.079000000000001</v>
      </c>
      <c r="O6" s="95">
        <v>59.59899999999999</v>
      </c>
      <c r="P6" s="95">
        <v>63.715000000000011</v>
      </c>
      <c r="Q6" s="95">
        <v>67.081999999999994</v>
      </c>
      <c r="R6" s="95">
        <f>SUM(N6:Q6)</f>
        <v>251.47499999999999</v>
      </c>
      <c r="S6" s="95">
        <v>70.283000000000001</v>
      </c>
      <c r="T6" s="95">
        <v>68.262</v>
      </c>
      <c r="U6" s="95">
        <v>66.167999999999978</v>
      </c>
      <c r="V6" s="95">
        <v>66.219000000000037</v>
      </c>
      <c r="W6" s="95">
        <f>SUM(S6:V6)</f>
        <v>270.93200000000002</v>
      </c>
      <c r="X6" s="95">
        <v>79.238824220000012</v>
      </c>
      <c r="Y6" s="95">
        <v>75.650775000000024</v>
      </c>
      <c r="Z6" s="95">
        <v>68.801029649999975</v>
      </c>
      <c r="AA6" s="95">
        <v>65.427456999999976</v>
      </c>
      <c r="AB6" s="95">
        <f>SUM(X6:AA6)</f>
        <v>289.11808586999996</v>
      </c>
      <c r="AC6" s="95">
        <v>70.421255480000013</v>
      </c>
      <c r="AD6" s="95">
        <v>64.482612930000002</v>
      </c>
      <c r="AE6" s="95">
        <v>60.992034379999993</v>
      </c>
      <c r="AF6" s="95">
        <v>60.151612429999993</v>
      </c>
      <c r="AG6" s="95">
        <f>SUM(AC6:AF6)</f>
        <v>256.04751522000004</v>
      </c>
      <c r="AH6" s="95">
        <v>63.329153339999998</v>
      </c>
      <c r="AI6" s="95">
        <v>65.844589969999987</v>
      </c>
      <c r="AJ6" s="95">
        <v>66.301112600000025</v>
      </c>
      <c r="AK6" s="95">
        <v>70.582898329999992</v>
      </c>
      <c r="AL6" s="95">
        <f>SUM(AH6:AK6)</f>
        <v>266.05775424000001</v>
      </c>
      <c r="AM6" s="95">
        <v>72.79652323000002</v>
      </c>
      <c r="AN6" s="95">
        <v>68.908356919999989</v>
      </c>
      <c r="AO6" s="95">
        <v>63.593234869999996</v>
      </c>
      <c r="AP6" s="95">
        <v>64.694385319999995</v>
      </c>
      <c r="AQ6" s="95">
        <v>269.99250056999995</v>
      </c>
      <c r="AR6" s="95">
        <v>63.34149918</v>
      </c>
      <c r="AS6" s="95">
        <v>58.130573570000003</v>
      </c>
      <c r="AT6" s="95">
        <v>55.226655589999993</v>
      </c>
      <c r="AU6" s="95">
        <v>54.310293969999996</v>
      </c>
      <c r="AV6" s="95">
        <v>231.00902231000003</v>
      </c>
      <c r="AW6" s="95">
        <v>60.425525350000001</v>
      </c>
      <c r="AX6" s="95">
        <v>52.669768950728496</v>
      </c>
      <c r="AY6" s="95">
        <v>53.104749513276943</v>
      </c>
      <c r="AZ6" s="95">
        <v>54.895981849381073</v>
      </c>
      <c r="BA6" s="95">
        <v>221.09602566338651</v>
      </c>
      <c r="BB6" s="95">
        <v>57.570929999411092</v>
      </c>
      <c r="BC6" s="95">
        <v>45.950085518205356</v>
      </c>
      <c r="BD6" s="95">
        <v>32.145485259199489</v>
      </c>
      <c r="BE6" s="95">
        <v>33.155230232298287</v>
      </c>
      <c r="BF6" s="95">
        <v>168.82173100911422</v>
      </c>
      <c r="BG6" s="95">
        <v>40.066936493407908</v>
      </c>
      <c r="BH6" s="95">
        <v>33.327471895492238</v>
      </c>
      <c r="BI6" s="95">
        <v>34.351357801613403</v>
      </c>
      <c r="BJ6" s="229">
        <v>40.441820206121513</v>
      </c>
      <c r="BK6" s="229">
        <v>146.22287556054894</v>
      </c>
      <c r="BL6" s="229">
        <v>49.198635256940321</v>
      </c>
      <c r="BM6" s="229">
        <v>44.356122385476851</v>
      </c>
      <c r="BN6" s="229">
        <v>38.8604801977378</v>
      </c>
      <c r="BO6" s="229">
        <v>38.412633417737801</v>
      </c>
      <c r="BP6" s="229">
        <v>37.252851900036795</v>
      </c>
      <c r="BQ6" s="229">
        <f>SUM(BL6:BP6)</f>
        <v>208.08072315792958</v>
      </c>
      <c r="BR6" s="229">
        <v>37.061142807743472</v>
      </c>
      <c r="BS6" s="229">
        <v>33.944817781406535</v>
      </c>
      <c r="BT6" s="229">
        <v>9.7533873040524597</v>
      </c>
    </row>
    <row r="7" spans="1:72" x14ac:dyDescent="0.35">
      <c r="B7" s="96" t="str">
        <f>IF('Índice - Index'!$D$14="Português","Receita de Serviços Financeiros","Financial Services revenue")</f>
        <v>Receita de Serviços Financeiros</v>
      </c>
      <c r="C7" s="95">
        <v>80.099999999999994</v>
      </c>
      <c r="D7" s="95">
        <v>21.7</v>
      </c>
      <c r="E7" s="95">
        <v>22.684000000000001</v>
      </c>
      <c r="F7" s="95">
        <v>23.065000000000001</v>
      </c>
      <c r="G7" s="95">
        <v>24.745533959999985</v>
      </c>
      <c r="H7" s="95">
        <f>SUM(D7:G7)</f>
        <v>92.194533959999987</v>
      </c>
      <c r="I7" s="95">
        <v>23.204999999999998</v>
      </c>
      <c r="J7" s="95">
        <v>23.052</v>
      </c>
      <c r="K7" s="95">
        <v>18.857000000000006</v>
      </c>
      <c r="L7" s="95">
        <v>19.685999999999993</v>
      </c>
      <c r="M7" s="95">
        <f>SUM(I7:L7)</f>
        <v>84.8</v>
      </c>
      <c r="N7" s="95">
        <v>19.826000000000001</v>
      </c>
      <c r="O7" s="95">
        <v>21.808999999999997</v>
      </c>
      <c r="P7" s="95">
        <v>23.270000000000003</v>
      </c>
      <c r="Q7" s="95">
        <v>24.894000000000005</v>
      </c>
      <c r="R7" s="95">
        <f>SUM(N7:Q7)</f>
        <v>89.799000000000007</v>
      </c>
      <c r="S7" s="95">
        <v>29.879000000000001</v>
      </c>
      <c r="T7" s="95">
        <v>30.248000000000001</v>
      </c>
      <c r="U7" s="95">
        <v>28.478000000000002</v>
      </c>
      <c r="V7" s="95">
        <v>33.174999999999997</v>
      </c>
      <c r="W7" s="95">
        <f>SUM(S7:V7)</f>
        <v>121.78</v>
      </c>
      <c r="X7" s="95">
        <v>46.110754679999999</v>
      </c>
      <c r="Y7" s="95">
        <v>49.410359760000006</v>
      </c>
      <c r="Z7" s="95">
        <v>41.345011149999991</v>
      </c>
      <c r="AA7" s="95">
        <v>46.510236430000013</v>
      </c>
      <c r="AB7" s="95">
        <f>SUM(X7:AA7)</f>
        <v>183.37636202000002</v>
      </c>
      <c r="AC7" s="95">
        <v>44.031078409999999</v>
      </c>
      <c r="AD7" s="95">
        <v>40.022219679999999</v>
      </c>
      <c r="AE7" s="95">
        <v>41.417337500000009</v>
      </c>
      <c r="AF7" s="95">
        <v>45.741344429999998</v>
      </c>
      <c r="AG7" s="95">
        <f>SUM(AC7:AF7)</f>
        <v>171.21198002</v>
      </c>
      <c r="AH7" s="95">
        <v>39.376775959999996</v>
      </c>
      <c r="AI7" s="95">
        <v>42.967702689999989</v>
      </c>
      <c r="AJ7" s="95">
        <v>43.51177655</v>
      </c>
      <c r="AK7" s="95">
        <v>40.283154829999994</v>
      </c>
      <c r="AL7" s="95">
        <f>SUM(AH7:AK7)</f>
        <v>166.13941002999999</v>
      </c>
      <c r="AM7" s="95">
        <v>40.434801209999996</v>
      </c>
      <c r="AN7" s="95">
        <v>45.217243180000011</v>
      </c>
      <c r="AO7" s="95">
        <v>46.756878329999992</v>
      </c>
      <c r="AP7" s="95">
        <v>42.501797429999989</v>
      </c>
      <c r="AQ7" s="95">
        <v>174.91072015</v>
      </c>
      <c r="AR7" s="95">
        <v>41.444277190000001</v>
      </c>
      <c r="AS7" s="95">
        <v>46.561864609999994</v>
      </c>
      <c r="AT7" s="95">
        <v>39.01282527431912</v>
      </c>
      <c r="AU7" s="95">
        <v>40.905060580592853</v>
      </c>
      <c r="AV7" s="95">
        <v>167.93159791592811</v>
      </c>
      <c r="AW7" s="95">
        <v>40.541093088100006</v>
      </c>
      <c r="AX7" s="95">
        <v>41.333072499999822</v>
      </c>
      <c r="AY7" s="95">
        <v>37.678561954130004</v>
      </c>
      <c r="AZ7" s="95">
        <v>42.319975286219986</v>
      </c>
      <c r="BA7" s="95">
        <v>161.87270282844983</v>
      </c>
      <c r="BB7" s="95">
        <v>39.033288888304995</v>
      </c>
      <c r="BC7" s="95">
        <v>28.694650245815001</v>
      </c>
      <c r="BD7" s="95">
        <v>26.45419987410499</v>
      </c>
      <c r="BE7" s="95">
        <v>32.540305517454989</v>
      </c>
      <c r="BF7" s="95">
        <v>126.72244452567998</v>
      </c>
      <c r="BG7" s="95">
        <v>41.633798141924999</v>
      </c>
      <c r="BH7" s="95">
        <v>26.931894934239992</v>
      </c>
      <c r="BI7" s="95">
        <v>29.871510641139999</v>
      </c>
      <c r="BJ7" s="229">
        <v>17.678943578279998</v>
      </c>
      <c r="BK7" s="229">
        <v>120.20911237558501</v>
      </c>
      <c r="BL7" s="229">
        <v>27.339802590150001</v>
      </c>
      <c r="BM7" s="229">
        <v>29.381384262899999</v>
      </c>
      <c r="BN7" s="229">
        <v>25.560781981690003</v>
      </c>
      <c r="BO7" s="229">
        <v>0.47819358326499944</v>
      </c>
      <c r="BP7" s="229">
        <v>32.947035158129999</v>
      </c>
      <c r="BQ7" s="229">
        <f>SUM(BL7:BP7)</f>
        <v>115.707197576135</v>
      </c>
      <c r="BR7" s="229">
        <v>24.164572003850001</v>
      </c>
      <c r="BS7" s="229">
        <v>18.020199037875003</v>
      </c>
      <c r="BT7" s="229">
        <v>21.228871613699997</v>
      </c>
    </row>
    <row r="8" spans="1:72" x14ac:dyDescent="0.35">
      <c r="B8" s="96" t="str">
        <f>IF('Índice - Index'!$D$14="Português","Programa de Fidelidade","Loyalty Program")</f>
        <v>Programa de Fidelidade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f>SUM(D8:G8)</f>
        <v>0</v>
      </c>
      <c r="I8" s="95">
        <v>0</v>
      </c>
      <c r="J8" s="95">
        <v>0</v>
      </c>
      <c r="K8" s="95">
        <v>0</v>
      </c>
      <c r="L8" s="95">
        <v>0</v>
      </c>
      <c r="M8" s="95">
        <f>SUM(I8:L8)</f>
        <v>0</v>
      </c>
      <c r="N8" s="95">
        <v>-0.749</v>
      </c>
      <c r="O8" s="95">
        <v>-7.5250000000000012</v>
      </c>
      <c r="P8" s="95">
        <v>-9.8650000000000002</v>
      </c>
      <c r="Q8" s="95">
        <v>-10.077000000000002</v>
      </c>
      <c r="R8" s="95">
        <f>SUM(N8:Q8)</f>
        <v>-28.216000000000005</v>
      </c>
      <c r="S8" s="95">
        <v>-7.8360000000000003</v>
      </c>
      <c r="T8" s="95">
        <v>-9.9590000000000014</v>
      </c>
      <c r="U8" s="95">
        <v>-10.997</v>
      </c>
      <c r="V8" s="95">
        <v>-27.402000000000001</v>
      </c>
      <c r="W8" s="95">
        <f>SUM(S8:V8)</f>
        <v>-56.194000000000003</v>
      </c>
      <c r="X8" s="95">
        <v>-3.9128610000000004</v>
      </c>
      <c r="Y8" s="95">
        <v>-12.599418440000001</v>
      </c>
      <c r="Z8" s="95">
        <v>-5.4705065999999958</v>
      </c>
      <c r="AA8" s="95">
        <v>-14.260270280000007</v>
      </c>
      <c r="AB8" s="95">
        <f>SUM(X8:AA8)</f>
        <v>-36.243056320000008</v>
      </c>
      <c r="AC8" s="95">
        <v>-6.1454482700000002</v>
      </c>
      <c r="AD8" s="95">
        <v>-12.18931955</v>
      </c>
      <c r="AE8" s="95">
        <v>-5.9133195199999999</v>
      </c>
      <c r="AF8" s="95">
        <v>-4.3593380000000002</v>
      </c>
      <c r="AG8" s="95">
        <f>SUM(AC8:AF8)</f>
        <v>-28.607425339999999</v>
      </c>
      <c r="AH8" s="95">
        <v>-0.36782471</v>
      </c>
      <c r="AI8" s="95">
        <v>-1.0920527999999998</v>
      </c>
      <c r="AJ8" s="95">
        <v>-0.88628155000000031</v>
      </c>
      <c r="AK8" s="95">
        <v>-0.60679581999999954</v>
      </c>
      <c r="AL8" s="95">
        <f>SUM(AH8:AK8)</f>
        <v>-2.9529548799999996</v>
      </c>
      <c r="AM8" s="95">
        <v>-0.45286742000000002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229">
        <v>0</v>
      </c>
      <c r="BK8" s="229">
        <f>SUM(BG8:BJ8)</f>
        <v>0</v>
      </c>
      <c r="BL8" s="229">
        <v>0</v>
      </c>
      <c r="BM8" s="229">
        <v>0</v>
      </c>
      <c r="BN8" s="229">
        <v>0</v>
      </c>
      <c r="BO8" s="229">
        <v>0</v>
      </c>
      <c r="BP8" s="229">
        <v>0</v>
      </c>
      <c r="BQ8" s="229">
        <f>SUM(BL8:BP8)</f>
        <v>0</v>
      </c>
      <c r="BR8" s="229">
        <v>0</v>
      </c>
      <c r="BS8" s="229">
        <v>0</v>
      </c>
      <c r="BT8" s="229">
        <v>0</v>
      </c>
    </row>
    <row r="9" spans="1:72" x14ac:dyDescent="0.35">
      <c r="B9" s="96" t="str">
        <f>IF('Índice - Index'!$D$14="Português","Perda Líquida de Recuperações","Net Losses with Credit Operations")</f>
        <v>Perda Líquida de Recuperações</v>
      </c>
      <c r="C9" s="95">
        <v>-138.1</v>
      </c>
      <c r="D9" s="95">
        <v>-18.399999999999999</v>
      </c>
      <c r="E9" s="95">
        <v>-17.745999999999999</v>
      </c>
      <c r="F9" s="95">
        <v>-39.139000000000003</v>
      </c>
      <c r="G9" s="95">
        <v>-18.205903679999999</v>
      </c>
      <c r="H9" s="95">
        <f>SUM(D9:G9)</f>
        <v>-93.490903680000002</v>
      </c>
      <c r="I9" s="95">
        <v>-24.725000000000001</v>
      </c>
      <c r="J9" s="95">
        <v>-42.173999999999999</v>
      </c>
      <c r="K9" s="95">
        <v>-37.312000000000012</v>
      </c>
      <c r="L9" s="95">
        <v>-39.105000000000004</v>
      </c>
      <c r="M9" s="95">
        <f>SUM(I9:L9)</f>
        <v>-143.31600000000003</v>
      </c>
      <c r="N9" s="95">
        <v>-29.605000000000004</v>
      </c>
      <c r="O9" s="95">
        <v>-39.378</v>
      </c>
      <c r="P9" s="95">
        <v>-35.453000000000003</v>
      </c>
      <c r="Q9" s="95">
        <v>-32.081999999999994</v>
      </c>
      <c r="R9" s="95">
        <f>SUM(N9:Q9)</f>
        <v>-136.518</v>
      </c>
      <c r="S9" s="95">
        <v>-39.155999999999999</v>
      </c>
      <c r="T9" s="95">
        <v>-47.883999999999993</v>
      </c>
      <c r="U9" s="95">
        <v>-35.069000000000003</v>
      </c>
      <c r="V9" s="95">
        <v>-30.696000000000019</v>
      </c>
      <c r="W9" s="95">
        <f>SUM(S9:V9)</f>
        <v>-152.80500000000001</v>
      </c>
      <c r="X9" s="95">
        <v>-37.643328079999996</v>
      </c>
      <c r="Y9" s="95">
        <v>-72.357637659999995</v>
      </c>
      <c r="Z9" s="95">
        <v>-52.137987320000008</v>
      </c>
      <c r="AA9" s="95">
        <v>-37.789389189999994</v>
      </c>
      <c r="AB9" s="95">
        <f>SUM(X9:AA9)</f>
        <v>-199.92834225000001</v>
      </c>
      <c r="AC9" s="95">
        <v>-36.773951830000009</v>
      </c>
      <c r="AD9" s="95">
        <v>-61.914310399999998</v>
      </c>
      <c r="AE9" s="95">
        <v>-38.516293220000001</v>
      </c>
      <c r="AF9" s="95">
        <v>-39.34117736999999</v>
      </c>
      <c r="AG9" s="95">
        <f>SUM(AC9:AF9)</f>
        <v>-176.54573282000001</v>
      </c>
      <c r="AH9" s="95">
        <v>-35.615452759999989</v>
      </c>
      <c r="AI9" s="95">
        <v>-53.531003569999996</v>
      </c>
      <c r="AJ9" s="95">
        <v>-39.686344880000007</v>
      </c>
      <c r="AK9" s="95">
        <v>-42.772139760000023</v>
      </c>
      <c r="AL9" s="95">
        <f>SUM(AH9:AK9)</f>
        <v>-171.60494097</v>
      </c>
      <c r="AM9" s="95">
        <v>-19.859165040000004</v>
      </c>
      <c r="AN9" s="95">
        <v>-63.912257870000012</v>
      </c>
      <c r="AO9" s="95">
        <v>-42.799693269999963</v>
      </c>
      <c r="AP9" s="95">
        <v>-42.848320700000023</v>
      </c>
      <c r="AQ9" s="95">
        <v>-169.41943688000001</v>
      </c>
      <c r="AR9" s="95">
        <v>-20.2</v>
      </c>
      <c r="AS9" s="95">
        <v>-55.514107390000007</v>
      </c>
      <c r="AT9" s="95">
        <v>-44.052782519999987</v>
      </c>
      <c r="AU9" s="95">
        <v>-35.223934770000021</v>
      </c>
      <c r="AV9" s="95">
        <v>-155.94359226</v>
      </c>
      <c r="AW9" s="95">
        <v>-16.156538790000003</v>
      </c>
      <c r="AX9" s="95">
        <v>-37.539837169999991</v>
      </c>
      <c r="AY9" s="95">
        <v>-42.86823236000199</v>
      </c>
      <c r="AZ9" s="95">
        <v>-27.514979964220299</v>
      </c>
      <c r="BA9" s="95">
        <v>-124.07958828422228</v>
      </c>
      <c r="BB9" s="95">
        <v>-45.158023650003997</v>
      </c>
      <c r="BC9" s="95">
        <v>-67.052920070000013</v>
      </c>
      <c r="BD9" s="95">
        <v>-29.542892729999998</v>
      </c>
      <c r="BE9" s="95">
        <v>-29.411973039999967</v>
      </c>
      <c r="BF9" s="95">
        <v>-171.16580949000394</v>
      </c>
      <c r="BG9" s="95">
        <v>12.611689589999992</v>
      </c>
      <c r="BH9" s="95">
        <v>-42.840702509999993</v>
      </c>
      <c r="BI9" s="95">
        <v>-12.69532697999999</v>
      </c>
      <c r="BJ9" s="229">
        <v>-29.146563959999991</v>
      </c>
      <c r="BK9" s="229">
        <v>-71.45902034999996</v>
      </c>
      <c r="BL9" s="229">
        <v>-42.925724839999994</v>
      </c>
      <c r="BM9" s="229">
        <v>-61.212399779999998</v>
      </c>
      <c r="BN9" s="229">
        <v>-48.325792439999979</v>
      </c>
      <c r="BO9" s="229">
        <v>-44.509049619999999</v>
      </c>
      <c r="BP9" s="229">
        <v>-59.566573619999986</v>
      </c>
      <c r="BQ9" s="229">
        <f>SUM(BL9:BP9)</f>
        <v>-256.53954029999994</v>
      </c>
      <c r="BR9" s="229">
        <v>-36.624069195600001</v>
      </c>
      <c r="BS9" s="229">
        <v>-40.513634136719602</v>
      </c>
      <c r="BT9" s="229">
        <v>-30.376374347680404</v>
      </c>
    </row>
    <row r="10" spans="1:72" x14ac:dyDescent="0.35">
      <c r="B10" s="97" t="str">
        <f>IF('Índice - Index'!$D$14="Português","Margem de Contribuição - Private Label","Private Label Card Operating Result")</f>
        <v>Margem de Contribuição - Private Label</v>
      </c>
      <c r="C10" s="98">
        <f t="shared" ref="C10:W10" si="0">SUM(C6:C9)</f>
        <v>126.69999999999996</v>
      </c>
      <c r="D10" s="99">
        <f t="shared" si="0"/>
        <v>47.1</v>
      </c>
      <c r="E10" s="99">
        <f t="shared" si="0"/>
        <v>51.849000000000004</v>
      </c>
      <c r="F10" s="99">
        <f t="shared" si="0"/>
        <v>30.553999999999995</v>
      </c>
      <c r="G10" s="99">
        <f t="shared" si="0"/>
        <v>53.517692479999987</v>
      </c>
      <c r="H10" s="99">
        <f t="shared" si="0"/>
        <v>183.02069248000001</v>
      </c>
      <c r="I10" s="99">
        <f t="shared" si="0"/>
        <v>64.84899999999999</v>
      </c>
      <c r="J10" s="99">
        <f t="shared" si="0"/>
        <v>41.722000000000001</v>
      </c>
      <c r="K10" s="99">
        <f t="shared" si="0"/>
        <v>39.286000000000001</v>
      </c>
      <c r="L10" s="99">
        <f t="shared" si="0"/>
        <v>38.487999999999985</v>
      </c>
      <c r="M10" s="98">
        <f t="shared" si="0"/>
        <v>184.34499999999997</v>
      </c>
      <c r="N10" s="99">
        <f t="shared" si="0"/>
        <v>50.551000000000002</v>
      </c>
      <c r="O10" s="99">
        <f t="shared" si="0"/>
        <v>34.504999999999981</v>
      </c>
      <c r="P10" s="99">
        <f t="shared" si="0"/>
        <v>41.667000000000016</v>
      </c>
      <c r="Q10" s="99">
        <f t="shared" si="0"/>
        <v>49.817000000000007</v>
      </c>
      <c r="R10" s="98">
        <f t="shared" si="0"/>
        <v>176.54</v>
      </c>
      <c r="S10" s="99">
        <f t="shared" si="0"/>
        <v>53.170000000000009</v>
      </c>
      <c r="T10" s="99">
        <f t="shared" si="0"/>
        <v>40.667000000000009</v>
      </c>
      <c r="U10" s="99">
        <f t="shared" si="0"/>
        <v>48.579999999999984</v>
      </c>
      <c r="V10" s="99">
        <f t="shared" si="0"/>
        <v>41.296000000000014</v>
      </c>
      <c r="W10" s="99">
        <f t="shared" si="0"/>
        <v>183.71299999999997</v>
      </c>
      <c r="X10" s="99">
        <f t="shared" ref="X10:AJ10" si="1">SUM(X6:X9)</f>
        <v>83.793389820000016</v>
      </c>
      <c r="Y10" s="99">
        <f t="shared" si="1"/>
        <v>40.104078660000027</v>
      </c>
      <c r="Z10" s="99">
        <f t="shared" si="1"/>
        <v>52.537546879999965</v>
      </c>
      <c r="AA10" s="99">
        <f t="shared" si="1"/>
        <v>59.888033959999987</v>
      </c>
      <c r="AB10" s="99">
        <f t="shared" si="1"/>
        <v>236.32304931999994</v>
      </c>
      <c r="AC10" s="99">
        <f t="shared" si="1"/>
        <v>71.532933789999987</v>
      </c>
      <c r="AD10" s="99">
        <f t="shared" si="1"/>
        <v>30.401202660000003</v>
      </c>
      <c r="AE10" s="99">
        <f t="shared" si="1"/>
        <v>57.979759140000006</v>
      </c>
      <c r="AF10" s="99">
        <f t="shared" si="1"/>
        <v>62.192441490000014</v>
      </c>
      <c r="AG10" s="98">
        <f t="shared" si="1"/>
        <v>222.10633708</v>
      </c>
      <c r="AH10" s="99">
        <f t="shared" si="1"/>
        <v>66.722651830000018</v>
      </c>
      <c r="AI10" s="99">
        <f t="shared" si="1"/>
        <v>54.189236289999968</v>
      </c>
      <c r="AJ10" s="99">
        <f t="shared" si="1"/>
        <v>69.240262720000004</v>
      </c>
      <c r="AK10" s="99">
        <v>67.487117579999961</v>
      </c>
      <c r="AL10" s="99">
        <v>257.63926842000001</v>
      </c>
      <c r="AM10" s="99">
        <v>92.919291979999997</v>
      </c>
      <c r="AN10" s="99">
        <v>50.213342229999988</v>
      </c>
      <c r="AO10" s="99">
        <v>67.550419930000018</v>
      </c>
      <c r="AP10" s="99">
        <v>64.347862049999975</v>
      </c>
      <c r="AQ10" s="99">
        <v>275.48378383999989</v>
      </c>
      <c r="AR10" s="99">
        <v>84.585776370000005</v>
      </c>
      <c r="AS10" s="99">
        <v>49.17833078999999</v>
      </c>
      <c r="AT10" s="99">
        <v>50.186698344319133</v>
      </c>
      <c r="AU10" s="99">
        <v>59.991419780592828</v>
      </c>
      <c r="AV10" s="99">
        <v>242.99702796592811</v>
      </c>
      <c r="AW10" s="99">
        <v>84.8100796481</v>
      </c>
      <c r="AX10" s="99">
        <v>56.46300428072832</v>
      </c>
      <c r="AY10" s="99">
        <v>47.915079107404956</v>
      </c>
      <c r="AZ10" s="99">
        <v>69.700977171380771</v>
      </c>
      <c r="BA10" s="99">
        <v>258.8891402076141</v>
      </c>
      <c r="BB10" s="99">
        <v>51.446195237712089</v>
      </c>
      <c r="BC10" s="99">
        <v>7.5918156940203403</v>
      </c>
      <c r="BD10" s="99">
        <v>29.056792403304478</v>
      </c>
      <c r="BE10" s="99">
        <f>SUM(BE6:BE9)</f>
        <v>36.283562709753312</v>
      </c>
      <c r="BF10" s="99">
        <v>124.37836604479025</v>
      </c>
      <c r="BG10" s="99">
        <v>94.312424225332904</v>
      </c>
      <c r="BH10" s="99">
        <f t="shared" ref="BH10:BR10" si="2">SUM(BH6:BH9)</f>
        <v>17.418664319732237</v>
      </c>
      <c r="BI10" s="99">
        <f t="shared" si="2"/>
        <v>51.527541462753405</v>
      </c>
      <c r="BJ10" s="99">
        <f t="shared" ref="BJ10" si="3">SUM(BJ6:BJ9)</f>
        <v>28.97419982440152</v>
      </c>
      <c r="BK10" s="230">
        <f t="shared" si="2"/>
        <v>194.97296758613402</v>
      </c>
      <c r="BL10" s="99">
        <f t="shared" ref="BL10" si="4">SUM(BL6:BL9)</f>
        <v>33.612713007090328</v>
      </c>
      <c r="BM10" s="230">
        <f t="shared" si="2"/>
        <v>12.525106868376852</v>
      </c>
      <c r="BN10" s="99">
        <f t="shared" si="2"/>
        <v>16.09546973942782</v>
      </c>
      <c r="BO10" s="99">
        <f t="shared" si="2"/>
        <v>-5.6182226189972013</v>
      </c>
      <c r="BP10" s="99">
        <f t="shared" si="2"/>
        <v>10.633313438166809</v>
      </c>
      <c r="BQ10" s="230">
        <f t="shared" ref="BQ10" si="5">SUM(BQ6:BQ9)</f>
        <v>67.248380434064643</v>
      </c>
      <c r="BR10" s="99">
        <f t="shared" si="2"/>
        <v>24.601645615993476</v>
      </c>
      <c r="BS10" s="99">
        <f t="shared" ref="BS10:BT10" si="6">SUM(BS6:BS9)</f>
        <v>11.451382682561935</v>
      </c>
      <c r="BT10" s="99">
        <f t="shared" si="6"/>
        <v>0.60588457007205321</v>
      </c>
    </row>
    <row r="11" spans="1:72" x14ac:dyDescent="0.35">
      <c r="B11" s="100"/>
      <c r="C11" s="91"/>
      <c r="R11" s="91"/>
      <c r="AG11" s="91"/>
    </row>
    <row r="12" spans="1:72" x14ac:dyDescent="0.35">
      <c r="B12" s="92" t="str">
        <f>IF('Índice - Index'!$D$14="Português","Empréstimo Pessoal","SAX")</f>
        <v>Empréstimo Pessoal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9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1:72" x14ac:dyDescent="0.35">
      <c r="B13" s="94" t="str">
        <f>IF('Índice - Index'!$D$14="Português","Receita de Juros Líquida de Funding","Financial intermediation revenues, net of funding costs")</f>
        <v>Receita de Juros Líquida de Funding</v>
      </c>
      <c r="C13" s="95">
        <v>4.8780000000000001</v>
      </c>
      <c r="D13" s="95">
        <v>1.93</v>
      </c>
      <c r="E13" s="95">
        <v>2.6230000000000002</v>
      </c>
      <c r="F13" s="95">
        <v>3.6120000000000001</v>
      </c>
      <c r="G13" s="95">
        <v>6.8010000000000002</v>
      </c>
      <c r="H13" s="95">
        <f>SUM(D13:G13)</f>
        <v>14.965999999999999</v>
      </c>
      <c r="I13" s="95">
        <v>8.6850000000000005</v>
      </c>
      <c r="J13" s="95">
        <v>11.312300000000002</v>
      </c>
      <c r="K13" s="95">
        <v>12.462000000000003</v>
      </c>
      <c r="L13" s="95">
        <v>12.889886949999999</v>
      </c>
      <c r="M13" s="95">
        <f>SUM(I13:L13)</f>
        <v>45.349186950000004</v>
      </c>
      <c r="N13" s="95">
        <v>15.045999999999999</v>
      </c>
      <c r="O13" s="95">
        <v>17.632000000000001</v>
      </c>
      <c r="P13" s="95">
        <v>23.073999999999995</v>
      </c>
      <c r="Q13" s="95">
        <v>23.760288819999989</v>
      </c>
      <c r="R13" s="95">
        <f>SUM(N13:Q13)</f>
        <v>79.512288819999981</v>
      </c>
      <c r="S13" s="95">
        <v>29.814</v>
      </c>
      <c r="T13" s="95">
        <v>35.165999999999997</v>
      </c>
      <c r="U13" s="95">
        <v>42.554000000000002</v>
      </c>
      <c r="V13" s="95">
        <v>40.116000000000021</v>
      </c>
      <c r="W13" s="95">
        <f>SUM(S13:V13)</f>
        <v>147.65</v>
      </c>
      <c r="X13" s="95">
        <v>43.150507519999998</v>
      </c>
      <c r="Y13" s="95">
        <v>47.186115189999988</v>
      </c>
      <c r="Z13" s="95">
        <v>48.569395170000014</v>
      </c>
      <c r="AA13" s="95">
        <v>49.27785755</v>
      </c>
      <c r="AB13" s="95">
        <f>SUM(X13:AA13)</f>
        <v>188.18387543</v>
      </c>
      <c r="AC13" s="95">
        <v>50.917153949999992</v>
      </c>
      <c r="AD13" s="95">
        <v>48.760642939999983</v>
      </c>
      <c r="AE13" s="95">
        <v>45.238604079999988</v>
      </c>
      <c r="AF13" s="95">
        <v>39.633363860000003</v>
      </c>
      <c r="AG13" s="95">
        <f>SUM(AC13:AF13)</f>
        <v>184.54976482999996</v>
      </c>
      <c r="AH13" s="95">
        <v>33.276080969999995</v>
      </c>
      <c r="AI13" s="95">
        <v>32.442470109999995</v>
      </c>
      <c r="AJ13" s="95">
        <v>34.933088160000011</v>
      </c>
      <c r="AK13" s="95">
        <v>35.895418419999991</v>
      </c>
      <c r="AL13" s="95">
        <f>SUM(AH13:AK13)</f>
        <v>136.54705766000001</v>
      </c>
      <c r="AM13" s="95">
        <v>36.378975620000006</v>
      </c>
      <c r="AN13" s="95">
        <v>35.93698818</v>
      </c>
      <c r="AO13" s="95">
        <v>40.13891220999998</v>
      </c>
      <c r="AP13" s="95">
        <v>40.067893349999999</v>
      </c>
      <c r="AQ13" s="95">
        <v>152.52276936000001</v>
      </c>
      <c r="AR13" s="95">
        <v>39.593910330000014</v>
      </c>
      <c r="AS13" s="95">
        <v>38.366312369999996</v>
      </c>
      <c r="AT13" s="95">
        <v>33.985435704500006</v>
      </c>
      <c r="AU13" s="95">
        <v>32.423606966500017</v>
      </c>
      <c r="AV13" s="95">
        <v>144.36926537100004</v>
      </c>
      <c r="AW13" s="95">
        <v>27.560517939999997</v>
      </c>
      <c r="AX13" s="95">
        <v>33.369452811271493</v>
      </c>
      <c r="AY13" s="95">
        <v>36.320690541693054</v>
      </c>
      <c r="AZ13" s="95">
        <v>38.951675374898947</v>
      </c>
      <c r="BA13" s="95">
        <v>136.40233666786352</v>
      </c>
      <c r="BB13" s="95">
        <v>40.01320309425892</v>
      </c>
      <c r="BC13" s="95">
        <v>24.837324569954649</v>
      </c>
      <c r="BD13" s="95">
        <v>18.280704346720501</v>
      </c>
      <c r="BE13" s="95">
        <v>27.3137219218921</v>
      </c>
      <c r="BF13" s="95">
        <v>104.28001449553074</v>
      </c>
      <c r="BG13" s="95">
        <v>27.3137219218921</v>
      </c>
      <c r="BH13" s="95">
        <v>24.890415778317756</v>
      </c>
      <c r="BI13" s="95">
        <v>30.395249236096603</v>
      </c>
      <c r="BJ13" s="229">
        <v>40.390404879994307</v>
      </c>
      <c r="BK13" s="229">
        <v>122.27335501791606</v>
      </c>
      <c r="BL13" s="229">
        <v>37.72267949487258</v>
      </c>
      <c r="BM13" s="229">
        <v>29.832396520401243</v>
      </c>
      <c r="BN13" s="229">
        <v>29.687495894698841</v>
      </c>
      <c r="BO13" s="229">
        <v>29.687495894698845</v>
      </c>
      <c r="BP13" s="229">
        <v>32.991003206163967</v>
      </c>
      <c r="BQ13" s="229">
        <f>SUM(BL13:BP13)</f>
        <v>159.92107101083548</v>
      </c>
      <c r="BR13" s="229">
        <v>23.971798632883679</v>
      </c>
      <c r="BS13" s="229">
        <v>12.251436002037972</v>
      </c>
      <c r="BT13" s="229">
        <v>4.4909728972475458</v>
      </c>
    </row>
    <row r="14" spans="1:72" x14ac:dyDescent="0.35">
      <c r="B14" s="96" t="str">
        <f>IF('Índice - Index'!$D$14="Português","Perda Líquida de Recuperações","Net losses with credt operations")</f>
        <v>Perda Líquida de Recuperações</v>
      </c>
      <c r="C14" s="95">
        <v>0</v>
      </c>
      <c r="D14" s="95">
        <v>0</v>
      </c>
      <c r="E14" s="95">
        <v>0</v>
      </c>
      <c r="F14" s="95">
        <v>0</v>
      </c>
      <c r="G14" s="95">
        <v>-2.194</v>
      </c>
      <c r="H14" s="95">
        <f>SUM(D14:G14)</f>
        <v>-2.194</v>
      </c>
      <c r="I14" s="95">
        <v>-2.1160000000000001</v>
      </c>
      <c r="J14" s="95">
        <v>-4.6289999999999996</v>
      </c>
      <c r="K14" s="95">
        <v>-5.4239999999999995</v>
      </c>
      <c r="L14" s="95">
        <v>-5.5009999999999994</v>
      </c>
      <c r="M14" s="95">
        <f>SUM(I14:L14)</f>
        <v>-17.669999999999998</v>
      </c>
      <c r="N14" s="95">
        <v>-5.4470000000000001</v>
      </c>
      <c r="O14" s="95">
        <v>-5.9031319999999994</v>
      </c>
      <c r="P14" s="95">
        <v>-7.536999999999999</v>
      </c>
      <c r="Q14" s="95">
        <v>-7.0109999999999992</v>
      </c>
      <c r="R14" s="95">
        <f>SUM(N14:Q14)</f>
        <v>-25.898131999999997</v>
      </c>
      <c r="S14" s="95">
        <v>-8.5570000000000004</v>
      </c>
      <c r="T14" s="95">
        <v>-9.1650000000000009</v>
      </c>
      <c r="U14" s="95">
        <v>-15.646999999999998</v>
      </c>
      <c r="V14" s="95">
        <v>-12.579000000000004</v>
      </c>
      <c r="W14" s="95">
        <f>SUM(S14:V14)</f>
        <v>-45.948000000000008</v>
      </c>
      <c r="X14" s="95">
        <v>-13.94901507</v>
      </c>
      <c r="Y14" s="95">
        <v>-17.592744969999998</v>
      </c>
      <c r="Z14" s="95">
        <v>-17.315418629999993</v>
      </c>
      <c r="AA14" s="95">
        <v>-15.253742659999997</v>
      </c>
      <c r="AB14" s="95">
        <f>SUM(X14:AA14)</f>
        <v>-64.110921329999996</v>
      </c>
      <c r="AC14" s="95">
        <v>-18.296992719999999</v>
      </c>
      <c r="AD14" s="95">
        <v>-25.100837740000003</v>
      </c>
      <c r="AE14" s="95">
        <v>-21.893883459999998</v>
      </c>
      <c r="AF14" s="95">
        <v>-17.057635949999995</v>
      </c>
      <c r="AG14" s="95">
        <f>SUM(AC14:AF14)</f>
        <v>-82.349349869999998</v>
      </c>
      <c r="AH14" s="95">
        <v>-12.127898920000002</v>
      </c>
      <c r="AI14" s="95">
        <v>-9.934395860000004</v>
      </c>
      <c r="AJ14" s="95">
        <v>-7.4478299600000017</v>
      </c>
      <c r="AK14" s="95">
        <v>-6.9375033599999911</v>
      </c>
      <c r="AL14" s="95">
        <f>SUM(AH14:AK14)</f>
        <v>-36.447628100000003</v>
      </c>
      <c r="AM14" s="95">
        <v>-7.7290861199999998</v>
      </c>
      <c r="AN14" s="95">
        <v>-4.0833947700000008</v>
      </c>
      <c r="AO14" s="95">
        <v>-9.9638494399999988</v>
      </c>
      <c r="AP14" s="95">
        <v>-11.472194199999999</v>
      </c>
      <c r="AQ14" s="95">
        <v>-33.248524529999997</v>
      </c>
      <c r="AR14" s="95">
        <v>-7.3750131199999993</v>
      </c>
      <c r="AS14" s="95">
        <v>-7.0676364799999991</v>
      </c>
      <c r="AT14" s="95">
        <v>-11.657832030000002</v>
      </c>
      <c r="AU14" s="95">
        <v>-9.9440646600000004</v>
      </c>
      <c r="AV14" s="95">
        <v>-35.387029460000001</v>
      </c>
      <c r="AW14" s="95">
        <v>-11.912125979999999</v>
      </c>
      <c r="AX14" s="95">
        <v>-12.708921299999998</v>
      </c>
      <c r="AY14" s="95">
        <v>-15.318771190002</v>
      </c>
      <c r="AZ14" s="95">
        <v>-3.7547790392641995</v>
      </c>
      <c r="BA14" s="95">
        <v>-43.694597509266195</v>
      </c>
      <c r="BB14" s="95">
        <v>-12.317535440003997</v>
      </c>
      <c r="BC14" s="95">
        <v>-14.734793928844599</v>
      </c>
      <c r="BD14" s="95">
        <v>-11.585605252164999</v>
      </c>
      <c r="BE14" s="95">
        <v>-0.64585882366039871</v>
      </c>
      <c r="BF14" s="95">
        <v>-41.47670469634361</v>
      </c>
      <c r="BG14" s="95">
        <v>-0.64585882366039871</v>
      </c>
      <c r="BH14" s="95">
        <v>-9.6989785099999999</v>
      </c>
      <c r="BI14" s="95">
        <v>-6.5821506000000021</v>
      </c>
      <c r="BJ14" s="95">
        <v>-10.908889540000002</v>
      </c>
      <c r="BK14" s="95">
        <v>-27.835877473660403</v>
      </c>
      <c r="BL14" s="95">
        <v>-15.525953063660401</v>
      </c>
      <c r="BM14" s="229">
        <v>-14.807677010000003</v>
      </c>
      <c r="BN14" s="95">
        <v>-13.04552954</v>
      </c>
      <c r="BO14" s="95">
        <v>-13.04552954</v>
      </c>
      <c r="BP14" s="95">
        <v>-88.36779872000001</v>
      </c>
      <c r="BQ14" s="95">
        <f>SUM(BL14:BP14)</f>
        <v>-144.79248787366043</v>
      </c>
      <c r="BR14" s="95">
        <v>-13.488062340000006</v>
      </c>
      <c r="BS14" s="95">
        <v>-9.3908503700000008</v>
      </c>
      <c r="BT14" s="95">
        <v>-20.474798789999998</v>
      </c>
    </row>
    <row r="15" spans="1:72" x14ac:dyDescent="0.35">
      <c r="B15" s="97" t="str">
        <f>IF('Índice - Index'!$D$14="Português","Margem de Contribuição - EP","SAX Operating Result")</f>
        <v>Margem de Contribuição - EP</v>
      </c>
      <c r="C15" s="98">
        <f t="shared" ref="C15:AJ15" si="7">SUM(C13:C14)</f>
        <v>4.8780000000000001</v>
      </c>
      <c r="D15" s="99">
        <f t="shared" si="7"/>
        <v>1.93</v>
      </c>
      <c r="E15" s="99">
        <f t="shared" si="7"/>
        <v>2.6230000000000002</v>
      </c>
      <c r="F15" s="99">
        <f t="shared" si="7"/>
        <v>3.6120000000000001</v>
      </c>
      <c r="G15" s="99">
        <f t="shared" si="7"/>
        <v>4.6070000000000002</v>
      </c>
      <c r="H15" s="99">
        <f t="shared" si="7"/>
        <v>12.771999999999998</v>
      </c>
      <c r="I15" s="99">
        <f t="shared" si="7"/>
        <v>6.5690000000000008</v>
      </c>
      <c r="J15" s="99">
        <f t="shared" si="7"/>
        <v>6.6833000000000027</v>
      </c>
      <c r="K15" s="99">
        <f t="shared" si="7"/>
        <v>7.0380000000000038</v>
      </c>
      <c r="L15" s="99">
        <f t="shared" si="7"/>
        <v>7.3888869499999998</v>
      </c>
      <c r="M15" s="98">
        <f t="shared" si="7"/>
        <v>27.679186950000005</v>
      </c>
      <c r="N15" s="99">
        <f t="shared" si="7"/>
        <v>9.5990000000000002</v>
      </c>
      <c r="O15" s="99">
        <f t="shared" si="7"/>
        <v>11.728868000000002</v>
      </c>
      <c r="P15" s="99">
        <f t="shared" si="7"/>
        <v>15.536999999999995</v>
      </c>
      <c r="Q15" s="99">
        <f t="shared" si="7"/>
        <v>16.74928881999999</v>
      </c>
      <c r="R15" s="98">
        <f t="shared" si="7"/>
        <v>53.614156819999984</v>
      </c>
      <c r="S15" s="99">
        <f t="shared" si="7"/>
        <v>21.256999999999998</v>
      </c>
      <c r="T15" s="99">
        <f t="shared" si="7"/>
        <v>26.000999999999998</v>
      </c>
      <c r="U15" s="99">
        <f t="shared" si="7"/>
        <v>26.907000000000004</v>
      </c>
      <c r="V15" s="99">
        <f t="shared" si="7"/>
        <v>27.537000000000017</v>
      </c>
      <c r="W15" s="99">
        <f t="shared" si="7"/>
        <v>101.702</v>
      </c>
      <c r="X15" s="99">
        <f t="shared" si="7"/>
        <v>29.201492449999996</v>
      </c>
      <c r="Y15" s="99">
        <f t="shared" si="7"/>
        <v>29.59337021999999</v>
      </c>
      <c r="Z15" s="99">
        <f t="shared" si="7"/>
        <v>31.253976540000021</v>
      </c>
      <c r="AA15" s="99">
        <f t="shared" si="7"/>
        <v>34.024114890000007</v>
      </c>
      <c r="AB15" s="99">
        <f t="shared" si="7"/>
        <v>124.0729541</v>
      </c>
      <c r="AC15" s="99">
        <f t="shared" si="7"/>
        <v>32.620161229999994</v>
      </c>
      <c r="AD15" s="99">
        <f t="shared" si="7"/>
        <v>23.65980519999998</v>
      </c>
      <c r="AE15" s="99">
        <f t="shared" si="7"/>
        <v>23.34472061999999</v>
      </c>
      <c r="AF15" s="99">
        <f t="shared" si="7"/>
        <v>22.575727910000008</v>
      </c>
      <c r="AG15" s="98">
        <f t="shared" si="7"/>
        <v>102.20041495999996</v>
      </c>
      <c r="AH15" s="99">
        <f t="shared" si="7"/>
        <v>21.148182049999996</v>
      </c>
      <c r="AI15" s="99">
        <f t="shared" si="7"/>
        <v>22.508074249999993</v>
      </c>
      <c r="AJ15" s="99">
        <f t="shared" si="7"/>
        <v>27.485258200000011</v>
      </c>
      <c r="AK15" s="99">
        <v>28.957915060000001</v>
      </c>
      <c r="AL15" s="99">
        <v>100.09942955999998</v>
      </c>
      <c r="AM15" s="99">
        <v>28.649889500000008</v>
      </c>
      <c r="AN15" s="99">
        <v>31.853593409999998</v>
      </c>
      <c r="AO15" s="99">
        <v>30.175062769999982</v>
      </c>
      <c r="AP15" s="99">
        <v>28.595699150000002</v>
      </c>
      <c r="AQ15" s="99">
        <v>119.27424483000001</v>
      </c>
      <c r="AR15" s="99">
        <v>32.218897210000016</v>
      </c>
      <c r="AS15" s="99">
        <v>31.298675889999998</v>
      </c>
      <c r="AT15" s="99">
        <v>22.327603674500004</v>
      </c>
      <c r="AU15" s="99">
        <v>22.479542306500015</v>
      </c>
      <c r="AV15" s="99">
        <v>108.98223591100003</v>
      </c>
      <c r="AW15" s="99">
        <v>15.648391959999998</v>
      </c>
      <c r="AX15" s="99">
        <v>20.660531511271493</v>
      </c>
      <c r="AY15" s="99">
        <v>21.001919351691054</v>
      </c>
      <c r="AZ15" s="99">
        <v>35.196896335634747</v>
      </c>
      <c r="BA15" s="99">
        <v>92.70773915859732</v>
      </c>
      <c r="BB15" s="99">
        <v>27.695667654254922</v>
      </c>
      <c r="BC15" s="99">
        <v>10.10253064111005</v>
      </c>
      <c r="BD15" s="99">
        <v>6.695099094555502</v>
      </c>
      <c r="BE15" s="99">
        <f>SUM(BE13:BE14)</f>
        <v>26.667863098231702</v>
      </c>
      <c r="BF15" s="99">
        <v>62.803309799187126</v>
      </c>
      <c r="BG15" s="99">
        <v>26.667863098231702</v>
      </c>
      <c r="BH15" s="99">
        <f t="shared" ref="BH15:BR15" si="8">SUM(BH13:BH14)</f>
        <v>15.191437268317756</v>
      </c>
      <c r="BI15" s="99">
        <f t="shared" si="8"/>
        <v>23.813098636096601</v>
      </c>
      <c r="BJ15" s="99">
        <f t="shared" ref="BJ15" si="9">SUM(BJ13:BJ14)</f>
        <v>29.481515339994303</v>
      </c>
      <c r="BK15" s="99">
        <f t="shared" si="8"/>
        <v>94.437477544255657</v>
      </c>
      <c r="BL15" s="99">
        <f t="shared" ref="BL15" si="10">SUM(BL13:BL14)</f>
        <v>22.196726431212177</v>
      </c>
      <c r="BM15" s="230">
        <f t="shared" si="8"/>
        <v>15.024719510401241</v>
      </c>
      <c r="BN15" s="99">
        <f t="shared" si="8"/>
        <v>16.641966354698841</v>
      </c>
      <c r="BO15" s="99">
        <f t="shared" si="8"/>
        <v>16.641966354698845</v>
      </c>
      <c r="BP15" s="99">
        <f t="shared" si="8"/>
        <v>-55.376795513836043</v>
      </c>
      <c r="BQ15" s="99">
        <f t="shared" ref="BQ15" si="11">SUM(BQ13:BQ14)</f>
        <v>15.128583137175042</v>
      </c>
      <c r="BR15" s="99">
        <f t="shared" si="8"/>
        <v>10.483736292883673</v>
      </c>
      <c r="BS15" s="99">
        <f t="shared" ref="BS15:BT15" si="12">SUM(BS13:BS14)</f>
        <v>2.8605856320379708</v>
      </c>
      <c r="BT15" s="99">
        <f t="shared" si="12"/>
        <v>-15.983825892752453</v>
      </c>
    </row>
    <row r="16" spans="1:72" x14ac:dyDescent="0.35">
      <c r="B16" s="96"/>
      <c r="C16" s="91"/>
      <c r="R16" s="91"/>
      <c r="AG16" s="91"/>
    </row>
    <row r="17" spans="2:72" x14ac:dyDescent="0.35">
      <c r="B17" s="97" t="str">
        <f>IF('Índice - Index'!$D$14="Português","Margem de Contribuição - Co-Branded","Co-Branded Card Operating Results")</f>
        <v>Margem de Contribuição - Co-Branded</v>
      </c>
      <c r="C17" s="98">
        <v>18.899999999999999</v>
      </c>
      <c r="D17" s="99">
        <v>6.8</v>
      </c>
      <c r="E17" s="99">
        <v>6.6280000000000001</v>
      </c>
      <c r="F17" s="99">
        <v>8.9359999999999999</v>
      </c>
      <c r="G17" s="99">
        <v>9.8499379999999999</v>
      </c>
      <c r="H17" s="99">
        <f>SUM(D17:G17)</f>
        <v>32.213937999999999</v>
      </c>
      <c r="I17" s="99">
        <v>14.08</v>
      </c>
      <c r="J17" s="99">
        <v>12.548999999999999</v>
      </c>
      <c r="K17" s="99">
        <v>9.3450000000000006</v>
      </c>
      <c r="L17" s="99">
        <v>14.799999999999999</v>
      </c>
      <c r="M17" s="98">
        <f>SUM(I17:L17)</f>
        <v>50.773999999999994</v>
      </c>
      <c r="N17" s="99">
        <v>13.131</v>
      </c>
      <c r="O17" s="99">
        <v>14.461999999999998</v>
      </c>
      <c r="P17" s="99">
        <v>11.940000000000003</v>
      </c>
      <c r="Q17" s="99">
        <v>17.094999999999999</v>
      </c>
      <c r="R17" s="98">
        <f>SUM(N17:Q17)</f>
        <v>56.628</v>
      </c>
      <c r="S17" s="99">
        <v>17.399000000000001</v>
      </c>
      <c r="T17" s="99">
        <v>18.491</v>
      </c>
      <c r="U17" s="99">
        <v>11.655000000000005</v>
      </c>
      <c r="V17" s="99">
        <v>17.200999999999997</v>
      </c>
      <c r="W17" s="99">
        <f>SUM(S17:V17)</f>
        <v>64.745999999999995</v>
      </c>
      <c r="X17" s="99">
        <v>23.989711249999999</v>
      </c>
      <c r="Y17" s="99">
        <v>23.353590060000005</v>
      </c>
      <c r="Z17" s="99">
        <v>22.870126869999996</v>
      </c>
      <c r="AA17" s="99">
        <v>26.254217940000007</v>
      </c>
      <c r="AB17" s="99">
        <f>SUM(X17:AA17)</f>
        <v>96.467646119999998</v>
      </c>
      <c r="AC17" s="99">
        <v>26.503551220000002</v>
      </c>
      <c r="AD17" s="99">
        <v>27.758503839999996</v>
      </c>
      <c r="AE17" s="99">
        <v>21.650759150000003</v>
      </c>
      <c r="AF17" s="99">
        <v>19.695759639999995</v>
      </c>
      <c r="AG17" s="98">
        <f>SUM(AC17:AF17)</f>
        <v>95.608573849999985</v>
      </c>
      <c r="AH17" s="99">
        <v>23.211370859999999</v>
      </c>
      <c r="AI17" s="99">
        <v>24.126899569999999</v>
      </c>
      <c r="AJ17" s="99">
        <v>20.772242140000003</v>
      </c>
      <c r="AK17" s="99">
        <v>22.0428192</v>
      </c>
      <c r="AL17" s="99">
        <v>90.153331769999994</v>
      </c>
      <c r="AM17" s="99">
        <v>24.748096279999999</v>
      </c>
      <c r="AN17" s="99">
        <v>24.059806339999994</v>
      </c>
      <c r="AO17" s="99">
        <v>17.651560850000006</v>
      </c>
      <c r="AP17" s="99">
        <v>20.311833930000002</v>
      </c>
      <c r="AQ17" s="99">
        <v>86.771297399999995</v>
      </c>
      <c r="AR17" s="99">
        <v>25.782659959999997</v>
      </c>
      <c r="AS17" s="99">
        <v>22.950934389999997</v>
      </c>
      <c r="AT17" s="99">
        <v>22.007611510000007</v>
      </c>
      <c r="AU17" s="99">
        <v>13.347018189999988</v>
      </c>
      <c r="AV17" s="99">
        <v>84.088224049999994</v>
      </c>
      <c r="AW17" s="99">
        <v>25.393834479999999</v>
      </c>
      <c r="AX17" s="99">
        <v>24.274602530000003</v>
      </c>
      <c r="AY17" s="99">
        <v>24.122684639999999</v>
      </c>
      <c r="AZ17" s="99">
        <v>26.609080809999998</v>
      </c>
      <c r="BA17" s="99">
        <v>100.40020246</v>
      </c>
      <c r="BB17" s="99">
        <v>25.378279539999998</v>
      </c>
      <c r="BC17" s="99">
        <v>17.251486540000002</v>
      </c>
      <c r="BD17" s="99">
        <v>13.278261780000001</v>
      </c>
      <c r="BE17" s="99">
        <v>20.621952780000001</v>
      </c>
      <c r="BF17" s="99">
        <v>76.529980639999991</v>
      </c>
      <c r="BG17" s="99">
        <v>24.971580420000002</v>
      </c>
      <c r="BH17" s="99">
        <v>24.878304009999994</v>
      </c>
      <c r="BI17" s="99">
        <v>21.143572769999999</v>
      </c>
      <c r="BJ17" s="99">
        <v>23.655086060000002</v>
      </c>
      <c r="BK17" s="99">
        <f>SUM(BG17:BJ17)</f>
        <v>94.648543259999997</v>
      </c>
      <c r="BL17" s="99">
        <v>16.89575717</v>
      </c>
      <c r="BM17" s="230">
        <v>17.04004763</v>
      </c>
      <c r="BN17" s="99">
        <v>13.219866779999998</v>
      </c>
      <c r="BO17" s="99"/>
      <c r="BP17" s="99">
        <v>5.3038480999999997</v>
      </c>
      <c r="BQ17" s="99">
        <f>SUM(BL17:BP17)</f>
        <v>52.45951968</v>
      </c>
      <c r="BR17" s="99">
        <v>7.1441894299999964</v>
      </c>
      <c r="BS17" s="99">
        <v>2.9965400000001637E-2</v>
      </c>
      <c r="BT17" s="99">
        <v>0</v>
      </c>
    </row>
    <row r="18" spans="2:72" x14ac:dyDescent="0.35">
      <c r="B18" s="96"/>
      <c r="C18" s="91"/>
      <c r="R18" s="91"/>
      <c r="AG18" s="91"/>
    </row>
    <row r="19" spans="2:72" x14ac:dyDescent="0.35">
      <c r="B19" s="101" t="str">
        <f>IF('Índice - Index'!$D$14="Português","Custos e Despesas Operacionais","OpEx")</f>
        <v>Custos e Despesas Operacionais</v>
      </c>
      <c r="C19" s="95">
        <v>-82.804000000000002</v>
      </c>
      <c r="D19" s="102">
        <v>-18.183</v>
      </c>
      <c r="E19" s="102">
        <v>-46.995999999999995</v>
      </c>
      <c r="F19" s="102">
        <v>-10.645999999999995</v>
      </c>
      <c r="G19" s="102">
        <v>-31.010829819999984</v>
      </c>
      <c r="H19" s="102">
        <f>SUM(D19:G19)</f>
        <v>-106.83582981999999</v>
      </c>
      <c r="I19" s="102">
        <v>-35.720178379999993</v>
      </c>
      <c r="J19" s="102">
        <v>-39.490299999999998</v>
      </c>
      <c r="K19" s="102">
        <v>-21.483000000000008</v>
      </c>
      <c r="L19" s="102">
        <v>-34.310886950000004</v>
      </c>
      <c r="M19" s="95">
        <f>SUM(I19:L19)</f>
        <v>-131.00436532999998</v>
      </c>
      <c r="N19" s="102">
        <v>-30.419249789999999</v>
      </c>
      <c r="O19" s="102">
        <v>-22.014000000000003</v>
      </c>
      <c r="P19" s="102">
        <v>-29.408000000000001</v>
      </c>
      <c r="Q19" s="102">
        <v>-26.445288819999998</v>
      </c>
      <c r="R19" s="95">
        <f>SUM(N19:Q19)</f>
        <v>-108.28653861000001</v>
      </c>
      <c r="S19" s="102">
        <v>-37.450757092437598</v>
      </c>
      <c r="T19" s="102">
        <v>-26.939897743564501</v>
      </c>
      <c r="U19" s="102">
        <v>-32.582345163997935</v>
      </c>
      <c r="V19" s="102">
        <v>-42.599999999999994</v>
      </c>
      <c r="W19" s="102">
        <f>SUM(S19:V19)</f>
        <v>-139.57300000000004</v>
      </c>
      <c r="X19" s="102">
        <v>-67.372111660000002</v>
      </c>
      <c r="Y19" s="102">
        <v>-69.018069420000003</v>
      </c>
      <c r="Z19" s="102">
        <v>-66.296574920000012</v>
      </c>
      <c r="AA19" s="102">
        <v>-71.31063487000003</v>
      </c>
      <c r="AB19" s="102">
        <f>SUM(X19:AA19)</f>
        <v>-273.99739087</v>
      </c>
      <c r="AC19" s="102">
        <v>-71.955046349999989</v>
      </c>
      <c r="AD19" s="102">
        <v>-65.370981760000006</v>
      </c>
      <c r="AE19" s="102">
        <v>-67.863575469999986</v>
      </c>
      <c r="AF19" s="102">
        <v>-51.081047399999996</v>
      </c>
      <c r="AG19" s="95">
        <f>SUM(AC19:AF19)</f>
        <v>-256.27065097999997</v>
      </c>
      <c r="AH19" s="102">
        <v>-51.98551144999999</v>
      </c>
      <c r="AI19" s="102">
        <v>-70.232980840000025</v>
      </c>
      <c r="AJ19" s="102">
        <v>-70.938131689999977</v>
      </c>
      <c r="AK19" s="102">
        <v>-75.773126309999995</v>
      </c>
      <c r="AL19" s="102">
        <f>SUM(AH19:AK19)</f>
        <v>-268.92975029000002</v>
      </c>
      <c r="AM19" s="102">
        <v>-68.940945470000003</v>
      </c>
      <c r="AN19" s="102">
        <f>-74.09897924-0.45649223</f>
        <v>-74.555471470000001</v>
      </c>
      <c r="AO19" s="102">
        <v>-68.863531690000002</v>
      </c>
      <c r="AP19" s="102">
        <v>-72.994808979999988</v>
      </c>
      <c r="AQ19" s="102">
        <v>-285.80762503</v>
      </c>
      <c r="AR19" s="102">
        <v>-69.245544019999997</v>
      </c>
      <c r="AS19" s="102">
        <v>-69.063362220000002</v>
      </c>
      <c r="AT19" s="102">
        <v>-66.091289570000015</v>
      </c>
      <c r="AU19" s="102">
        <v>-75.847267899999991</v>
      </c>
      <c r="AV19" s="102">
        <v>-280.24746370999998</v>
      </c>
      <c r="AW19" s="102">
        <v>-71.088253809999998</v>
      </c>
      <c r="AX19" s="102">
        <v>-61.687871299999998</v>
      </c>
      <c r="AY19" s="102">
        <v>-68.42394929000001</v>
      </c>
      <c r="AZ19" s="102">
        <v>-77.059121679999976</v>
      </c>
      <c r="BA19" s="102">
        <v>-278.25919607999998</v>
      </c>
      <c r="BB19" s="102">
        <v>-64.206888199999995</v>
      </c>
      <c r="BC19" s="102">
        <v>-42.896055139999994</v>
      </c>
      <c r="BD19" s="102">
        <v>-48.989037259999996</v>
      </c>
      <c r="BE19" s="102">
        <v>-57.550320659999976</v>
      </c>
      <c r="BF19" s="102">
        <v>-213.64230125999998</v>
      </c>
      <c r="BG19" s="102">
        <v>-46.415941789999998</v>
      </c>
      <c r="BH19" s="102">
        <v>-61.679653910999996</v>
      </c>
      <c r="BI19" s="102">
        <v>-54.181781010000002</v>
      </c>
      <c r="BJ19" s="102">
        <v>-59.754111134470811</v>
      </c>
      <c r="BK19" s="102">
        <v>-221.14795329100005</v>
      </c>
      <c r="BL19" s="102">
        <v>-54.783161188687913</v>
      </c>
      <c r="BM19" s="268">
        <v>-59.206563039999992</v>
      </c>
      <c r="BN19" s="102">
        <v>-56.257540215701638</v>
      </c>
      <c r="BO19" s="102">
        <v>-18.237823925701633</v>
      </c>
      <c r="BP19" s="102">
        <v>-75.77592235230577</v>
      </c>
      <c r="BQ19" s="102">
        <f>SUM(BL19:BP19)</f>
        <v>-264.26101072239692</v>
      </c>
      <c r="BR19" s="102">
        <v>-56.661167503877152</v>
      </c>
      <c r="BS19" s="102">
        <v>-43.930095144944509</v>
      </c>
      <c r="BT19" s="102">
        <v>-9.4909764199999991</v>
      </c>
    </row>
    <row r="20" spans="2:72" x14ac:dyDescent="0.35">
      <c r="B20" s="100"/>
      <c r="W20" s="103"/>
    </row>
    <row r="21" spans="2:72" x14ac:dyDescent="0.35">
      <c r="B21" s="97" t="str">
        <f>IF('Índice - Index'!$D$14="Português","EBITDA Mbank","EBITDA - Financial Product &amp; Services (Mbank)")</f>
        <v>EBITDA Mbank</v>
      </c>
      <c r="C21" s="98">
        <f>C10+C15+C17+C19</f>
        <v>67.673999999999978</v>
      </c>
      <c r="D21" s="99">
        <f t="shared" ref="D21:AL21" si="13">D10+D15+D17+D19</f>
        <v>37.646999999999998</v>
      </c>
      <c r="E21" s="99">
        <f t="shared" si="13"/>
        <v>14.104000000000006</v>
      </c>
      <c r="F21" s="99">
        <f t="shared" si="13"/>
        <v>32.456000000000003</v>
      </c>
      <c r="G21" s="99">
        <f t="shared" si="13"/>
        <v>36.963800660000004</v>
      </c>
      <c r="H21" s="99">
        <f t="shared" si="13"/>
        <v>121.17080066000003</v>
      </c>
      <c r="I21" s="99">
        <f t="shared" si="13"/>
        <v>49.777821619999997</v>
      </c>
      <c r="J21" s="99">
        <f t="shared" si="13"/>
        <v>21.464000000000006</v>
      </c>
      <c r="K21" s="99">
        <f t="shared" si="13"/>
        <v>34.185999999999993</v>
      </c>
      <c r="L21" s="99">
        <f t="shared" si="13"/>
        <v>26.365999999999978</v>
      </c>
      <c r="M21" s="98">
        <f t="shared" si="13"/>
        <v>131.79382161999996</v>
      </c>
      <c r="N21" s="99">
        <f t="shared" si="13"/>
        <v>42.861750210000011</v>
      </c>
      <c r="O21" s="99">
        <f t="shared" si="13"/>
        <v>38.68186799999998</v>
      </c>
      <c r="P21" s="99">
        <f t="shared" si="13"/>
        <v>39.736000000000004</v>
      </c>
      <c r="Q21" s="99">
        <f t="shared" si="13"/>
        <v>57.215999999999994</v>
      </c>
      <c r="R21" s="98">
        <f t="shared" si="13"/>
        <v>178.49561820999995</v>
      </c>
      <c r="S21" s="99">
        <f t="shared" si="13"/>
        <v>54.375242907562409</v>
      </c>
      <c r="T21" s="99">
        <f t="shared" si="13"/>
        <v>58.219102256435505</v>
      </c>
      <c r="U21" s="99">
        <f t="shared" si="13"/>
        <v>54.559654836002061</v>
      </c>
      <c r="V21" s="99">
        <f t="shared" si="13"/>
        <v>43.434000000000026</v>
      </c>
      <c r="W21" s="99">
        <f t="shared" si="13"/>
        <v>210.58799999999991</v>
      </c>
      <c r="X21" s="99">
        <f t="shared" si="13"/>
        <v>69.612481860000003</v>
      </c>
      <c r="Y21" s="99">
        <f t="shared" si="13"/>
        <v>24.032969520000023</v>
      </c>
      <c r="Z21" s="99">
        <f t="shared" si="13"/>
        <v>40.365075369999971</v>
      </c>
      <c r="AA21" s="99">
        <f t="shared" si="13"/>
        <v>48.855731919999968</v>
      </c>
      <c r="AB21" s="99">
        <f t="shared" si="13"/>
        <v>182.86625866999992</v>
      </c>
      <c r="AC21" s="99">
        <f t="shared" si="13"/>
        <v>58.701599889999997</v>
      </c>
      <c r="AD21" s="99">
        <f t="shared" si="13"/>
        <v>16.448529939999972</v>
      </c>
      <c r="AE21" s="99">
        <f t="shared" si="13"/>
        <v>35.111663440000015</v>
      </c>
      <c r="AF21" s="99">
        <f t="shared" si="13"/>
        <v>53.382881640000015</v>
      </c>
      <c r="AG21" s="98">
        <f t="shared" si="13"/>
        <v>163.64467490999999</v>
      </c>
      <c r="AH21" s="99">
        <f t="shared" si="13"/>
        <v>59.096693290000033</v>
      </c>
      <c r="AI21" s="99">
        <f t="shared" si="13"/>
        <v>30.591229269999943</v>
      </c>
      <c r="AJ21" s="99">
        <f t="shared" si="13"/>
        <v>46.559631370000034</v>
      </c>
      <c r="AK21" s="99">
        <f t="shared" si="13"/>
        <v>42.714725529999967</v>
      </c>
      <c r="AL21" s="99">
        <f t="shared" si="13"/>
        <v>178.96227945999999</v>
      </c>
      <c r="AM21" s="99">
        <v>77.476332289999988</v>
      </c>
      <c r="AN21" s="99">
        <v>31.571270509999991</v>
      </c>
      <c r="AO21" s="99">
        <v>46.513511860000008</v>
      </c>
      <c r="AP21" s="99">
        <v>40.260586149999995</v>
      </c>
      <c r="AQ21" s="99">
        <v>195.72170103999991</v>
      </c>
      <c r="AR21" s="99">
        <v>73.341789520000006</v>
      </c>
      <c r="AS21" s="99">
        <v>34.164578849999984</v>
      </c>
      <c r="AT21" s="99">
        <v>28.613192493682998</v>
      </c>
      <c r="AU21" s="99">
        <v>19.870712377092836</v>
      </c>
      <c r="AV21" s="99">
        <v>156.02002421692816</v>
      </c>
      <c r="AW21" s="99">
        <v>54.964052278099999</v>
      </c>
      <c r="AX21" s="99">
        <v>39.710267021999826</v>
      </c>
      <c r="AY21" s="99">
        <v>24.515733809095998</v>
      </c>
      <c r="AZ21" s="99">
        <v>54.447832637015551</v>
      </c>
      <c r="BA21" s="99">
        <v>173.73788574621142</v>
      </c>
      <c r="BB21" s="99">
        <v>40.313254231967008</v>
      </c>
      <c r="BC21" s="99">
        <v>-7.8502222648696023</v>
      </c>
      <c r="BD21" s="99">
        <v>4.1116017859984311E-2</v>
      </c>
      <c r="BE21" s="99">
        <v>17.665207239019999</v>
      </c>
      <c r="BF21" s="99">
        <v>50.069355223977396</v>
      </c>
      <c r="BG21" s="99">
        <v>99.5359259535646</v>
      </c>
      <c r="BH21" s="99">
        <v>-1.3427582429500604</v>
      </c>
      <c r="BI21" s="99">
        <v>42.302431858850007</v>
      </c>
      <c r="BJ21" s="98">
        <f>BJ10+BJ15+BJ17+BJ19</f>
        <v>22.356690089925017</v>
      </c>
      <c r="BK21" s="99">
        <f>SUM(BG21:BJ21)</f>
        <v>162.85228965938958</v>
      </c>
      <c r="BL21" s="98">
        <f t="shared" ref="BL21" si="14">BL10+BL15+BL17+BL19</f>
        <v>17.922035419614588</v>
      </c>
      <c r="BM21" s="269">
        <f t="shared" ref="BM21:BR21" si="15">BM10+BM15+BM17+BM19</f>
        <v>-14.616689031221895</v>
      </c>
      <c r="BN21" s="98">
        <f t="shared" si="15"/>
        <v>-10.300237341574977</v>
      </c>
      <c r="BO21" s="269">
        <f t="shared" si="15"/>
        <v>-7.21408018999999</v>
      </c>
      <c r="BP21" s="98">
        <f t="shared" si="15"/>
        <v>-115.21555632797501</v>
      </c>
      <c r="BQ21" s="98">
        <f t="shared" si="15"/>
        <v>-129.42452747115723</v>
      </c>
      <c r="BR21" s="98">
        <f t="shared" si="15"/>
        <v>-14.431596165000002</v>
      </c>
      <c r="BS21" s="98">
        <f t="shared" ref="BS21:BT21" si="16">BS10+BS15+BS17+BS19</f>
        <v>-29.588161430344602</v>
      </c>
      <c r="BT21" s="98">
        <f t="shared" si="16"/>
        <v>-24.868917742680399</v>
      </c>
    </row>
    <row r="22" spans="2:72" x14ac:dyDescent="0.35">
      <c r="B22" s="258" t="str">
        <f>IF('Índice - Index'!$D$14="Português","*Inclusão das despesas com o Programa de Fidelidade para Custos e Despesas Operacionais devido a seu atual montante de despesas","*Inclusion of Loyalty Program expenses for Operating Costs and Expenses due to your current expense amount")</f>
        <v>*Inclusão das despesas com o Programa de Fidelidade para Custos e Despesas Operacionais devido a seu atual montante de despesas</v>
      </c>
    </row>
    <row r="23" spans="2:72" x14ac:dyDescent="0.35">
      <c r="B23" s="258" t="str">
        <f>IF('Índice - Index'!$D$14="Português","**Resultado reapresentado não incluí margem de contribuição do co-branded para melhor comparação com o modelo atual de negócio","**Restated result does not include co-branded contribution margin for better comparison with the current business model")</f>
        <v>**Resultado reapresentado não incluí margem de contribuição do co-branded para melhor comparação com o modelo atual de negócio</v>
      </c>
      <c r="C23" s="104"/>
      <c r="D23" s="103"/>
      <c r="E23" s="103"/>
      <c r="F23" s="103"/>
      <c r="G23" s="103"/>
      <c r="H23" s="103"/>
      <c r="I23" s="103"/>
      <c r="J23" s="103"/>
      <c r="K23" s="103"/>
      <c r="L23" s="103"/>
      <c r="M23" s="105"/>
      <c r="N23" s="103"/>
      <c r="O23" s="103"/>
      <c r="P23" s="105"/>
      <c r="Q23" s="103"/>
      <c r="R23" s="106"/>
      <c r="S23" s="106"/>
      <c r="T23" s="106"/>
      <c r="U23" s="106"/>
      <c r="V23" s="105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Q23" s="103"/>
      <c r="AR23" s="103"/>
      <c r="AS23" s="117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</row>
    <row r="24" spans="2:72" x14ac:dyDescent="0.35">
      <c r="S24" s="103"/>
      <c r="T24" s="103"/>
      <c r="U24" s="103"/>
      <c r="V24" s="103"/>
    </row>
    <row r="25" spans="2:72" x14ac:dyDescent="0.35">
      <c r="B25" s="107"/>
      <c r="S25" s="108"/>
      <c r="T25" s="108"/>
      <c r="U25" s="108"/>
      <c r="V25" s="108"/>
      <c r="AF25" s="109"/>
      <c r="AG25" s="103"/>
    </row>
    <row r="26" spans="2:72" x14ac:dyDescent="0.35">
      <c r="B26" s="107"/>
      <c r="AF26" s="109"/>
      <c r="AG26" s="103"/>
    </row>
    <row r="27" spans="2:72" x14ac:dyDescent="0.35">
      <c r="S27" s="103"/>
      <c r="T27" s="103"/>
      <c r="U27" s="103"/>
      <c r="V27" s="103"/>
      <c r="AF27" s="109"/>
      <c r="AG27" s="103"/>
    </row>
    <row r="29" spans="2:72" x14ac:dyDescent="0.35">
      <c r="S29" s="110"/>
      <c r="T29" s="110"/>
      <c r="U29" s="110"/>
      <c r="V29" s="110"/>
    </row>
    <row r="30" spans="2:72" x14ac:dyDescent="0.35">
      <c r="AF30" s="109"/>
      <c r="AG30" s="103"/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H6:H16 H17:H19 BK8" formulaRange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FA41"/>
  <sheetViews>
    <sheetView showGridLines="0" zoomScale="110" zoomScaleNormal="110" zoomScaleSheetLayoutView="52" workbookViewId="0">
      <pane xSplit="2" ySplit="1" topLeftCell="BJ2" activePane="bottomRight" state="frozen"/>
      <selection activeCell="B1" sqref="B1"/>
      <selection pane="topRight" activeCell="B1" sqref="B1"/>
      <selection pane="bottomLeft" activeCell="B1" sqref="B1"/>
      <selection pane="bottomRight" activeCell="BW32" sqref="BW32"/>
    </sheetView>
  </sheetViews>
  <sheetFormatPr defaultColWidth="9.1796875" defaultRowHeight="13.5" outlineLevelCol="1" x14ac:dyDescent="0.35"/>
  <cols>
    <col min="1" max="1" width="10.7265625" style="25" customWidth="1"/>
    <col min="2" max="2" width="33.54296875" style="25" bestFit="1" customWidth="1"/>
    <col min="3" max="3" width="12.453125" style="25" hidden="1" customWidth="1" outlineLevel="1"/>
    <col min="4" max="4" width="12.1796875" style="25" hidden="1" customWidth="1" outlineLevel="1"/>
    <col min="5" max="6" width="12.453125" style="25" hidden="1" customWidth="1" outlineLevel="1"/>
    <col min="7" max="7" width="12.453125" style="25" bestFit="1" customWidth="1" collapsed="1"/>
    <col min="8" max="8" width="12.453125" style="25" hidden="1" customWidth="1" outlineLevel="1"/>
    <col min="9" max="9" width="12" style="25" hidden="1" customWidth="1" outlineLevel="1"/>
    <col min="10" max="10" width="12.54296875" style="25" hidden="1" customWidth="1" outlineLevel="1"/>
    <col min="11" max="11" width="12" style="25" hidden="1" customWidth="1" outlineLevel="1"/>
    <col min="12" max="12" width="12" style="25" bestFit="1" customWidth="1" collapsed="1"/>
    <col min="13" max="15" width="12.1796875" style="25" hidden="1" customWidth="1" outlineLevel="1"/>
    <col min="16" max="16" width="11.81640625" style="25" hidden="1" customWidth="1" outlineLevel="1"/>
    <col min="17" max="17" width="11.81640625" style="25" bestFit="1" customWidth="1" collapsed="1"/>
    <col min="18" max="18" width="11.54296875" style="25" hidden="1" customWidth="1" outlineLevel="1"/>
    <col min="19" max="19" width="12.453125" style="25" hidden="1" customWidth="1" outlineLevel="1"/>
    <col min="20" max="20" width="12.54296875" style="25" hidden="1" customWidth="1" outlineLevel="1"/>
    <col min="21" max="21" width="12.453125" style="25" hidden="1" customWidth="1" outlineLevel="1"/>
    <col min="22" max="22" width="12.453125" style="25" bestFit="1" customWidth="1" collapsed="1"/>
    <col min="23" max="24" width="12.1796875" style="25" hidden="1" customWidth="1" outlineLevel="1"/>
    <col min="25" max="25" width="12.453125" style="25" hidden="1" customWidth="1" outlineLevel="1"/>
    <col min="26" max="26" width="11.81640625" style="25" hidden="1" customWidth="1" outlineLevel="1"/>
    <col min="27" max="27" width="12.453125" style="25" bestFit="1" customWidth="1" collapsed="1"/>
    <col min="28" max="29" width="12.453125" style="25" hidden="1" customWidth="1" outlineLevel="1"/>
    <col min="30" max="30" width="12.54296875" style="25" hidden="1" customWidth="1" outlineLevel="1"/>
    <col min="31" max="31" width="12.1796875" style="25" hidden="1" customWidth="1" outlineLevel="1"/>
    <col min="32" max="32" width="12.1796875" style="25" bestFit="1" customWidth="1" collapsed="1"/>
    <col min="33" max="33" width="12.54296875" style="25" hidden="1" customWidth="1" outlineLevel="1"/>
    <col min="34" max="34" width="11.54296875" style="25" hidden="1" customWidth="1" outlineLevel="1"/>
    <col min="35" max="35" width="12.453125" style="25" hidden="1" customWidth="1" outlineLevel="1"/>
    <col min="36" max="36" width="12.1796875" style="25" hidden="1" customWidth="1" outlineLevel="1"/>
    <col min="37" max="37" width="12.1796875" style="25" bestFit="1" customWidth="1" collapsed="1"/>
    <col min="38" max="39" width="12.453125" style="25" hidden="1" customWidth="1" outlineLevel="1"/>
    <col min="40" max="40" width="12.1796875" style="25" hidden="1" customWidth="1" outlineLevel="1"/>
    <col min="41" max="41" width="12.453125" style="25" hidden="1" customWidth="1" outlineLevel="1"/>
    <col min="42" max="42" width="12.453125" style="25" bestFit="1" customWidth="1" collapsed="1"/>
    <col min="43" max="43" width="12.54296875" style="25" hidden="1" customWidth="1" outlineLevel="1"/>
    <col min="44" max="44" width="12.453125" style="25" hidden="1" customWidth="1" outlineLevel="1"/>
    <col min="45" max="45" width="11.54296875" style="25" hidden="1" customWidth="1" outlineLevel="1"/>
    <col min="46" max="46" width="12.54296875" style="25" hidden="1" customWidth="1" outlineLevel="1"/>
    <col min="47" max="47" width="12.54296875" style="25" customWidth="1" collapsed="1"/>
    <col min="48" max="51" width="12.54296875" style="25" hidden="1" customWidth="1" outlineLevel="1"/>
    <col min="52" max="52" width="12.54296875" style="25" customWidth="1" collapsed="1"/>
    <col min="53" max="56" width="12.54296875" style="25" hidden="1" customWidth="1" outlineLevel="1"/>
    <col min="57" max="57" width="12.54296875" style="25" customWidth="1" collapsed="1"/>
    <col min="58" max="61" width="12.54296875" style="25" hidden="1" customWidth="1" outlineLevel="1"/>
    <col min="62" max="62" width="12.54296875" style="25" customWidth="1" collapsed="1"/>
    <col min="63" max="63" width="12.54296875" style="25" hidden="1" customWidth="1" outlineLevel="1"/>
    <col min="64" max="64" width="12" style="25" hidden="1" customWidth="1" outlineLevel="1"/>
    <col min="65" max="65" width="12.1796875" style="25" hidden="1" customWidth="1" outlineLevel="1"/>
    <col min="66" max="66" width="12.54296875" style="25" hidden="1" customWidth="1" outlineLevel="1"/>
    <col min="67" max="67" width="12.54296875" style="25" customWidth="1" collapsed="1"/>
    <col min="68" max="71" width="12.54296875" style="25" hidden="1" customWidth="1" outlineLevel="1"/>
    <col min="72" max="72" width="12.54296875" style="25" customWidth="1" collapsed="1"/>
    <col min="73" max="75" width="12.54296875" style="25" customWidth="1"/>
    <col min="76" max="16384" width="9.1796875" style="25"/>
  </cols>
  <sheetData>
    <row r="1" spans="2:157" x14ac:dyDescent="0.35">
      <c r="B1" s="89" t="str">
        <f>IF('Índice - Index'!$D$14="Português","Destaques Operacionais","Operating Highlights")</f>
        <v>Destaques Operacionais</v>
      </c>
      <c r="C1" s="89" t="str">
        <f>IF('Índice - Index'!$D$14="Português","1T09","1Q09")</f>
        <v>1T09</v>
      </c>
      <c r="D1" s="89" t="str">
        <f>IF('Índice - Index'!$D$14="Português","2T09","2Q09")</f>
        <v>2T09</v>
      </c>
      <c r="E1" s="89" t="str">
        <f>IF('Índice - Index'!$D$14="Português","3T09","3Q09")</f>
        <v>3T09</v>
      </c>
      <c r="F1" s="89" t="str">
        <f>IF('Índice - Index'!$D$14="Português","4T09","4Q09")</f>
        <v>4T09</v>
      </c>
      <c r="G1" s="111">
        <v>2009</v>
      </c>
      <c r="H1" s="89" t="str">
        <f>IF('Índice - Index'!$D$14="Português","1T10","1Q10")</f>
        <v>1T10</v>
      </c>
      <c r="I1" s="89" t="str">
        <f>IF('Índice - Index'!$D$14="Português","2T10","2Q10")</f>
        <v>2T10</v>
      </c>
      <c r="J1" s="89" t="str">
        <f>IF('Índice - Index'!$D$14="Português","3T10","3Q10")</f>
        <v>3T10</v>
      </c>
      <c r="K1" s="89" t="str">
        <f>IF('Índice - Index'!$D$14="Português","4T10","4Q10")</f>
        <v>4T10</v>
      </c>
      <c r="L1" s="111">
        <v>2010</v>
      </c>
      <c r="M1" s="89" t="str">
        <f>IF('Índice - Index'!$D$14="Português","1T11","1Q11")</f>
        <v>1T11</v>
      </c>
      <c r="N1" s="89" t="str">
        <f>IF('Índice - Index'!$D$14="Português","2T11","2Q11")</f>
        <v>2T11</v>
      </c>
      <c r="O1" s="89" t="str">
        <f>IF('Índice - Index'!$D$14="Português","3T11","3Q11")</f>
        <v>3T11</v>
      </c>
      <c r="P1" s="89" t="str">
        <f>IF('Índice - Index'!$D$14="Português","4T11","4Q11")</f>
        <v>4T11</v>
      </c>
      <c r="Q1" s="111">
        <v>2011</v>
      </c>
      <c r="R1" s="89" t="str">
        <f>IF('Índice - Index'!$D$14="Português","1T12","1Q12")</f>
        <v>1T12</v>
      </c>
      <c r="S1" s="89" t="str">
        <f>IF('Índice - Index'!$D$14="Português","2T12","2Q12")</f>
        <v>2T12</v>
      </c>
      <c r="T1" s="89" t="str">
        <f>IF('Índice - Index'!$D$14="Português","3T12","3Q12")</f>
        <v>3T12</v>
      </c>
      <c r="U1" s="89" t="str">
        <f>IF('Índice - Index'!$D$14="Português","4T12","4Q12")</f>
        <v>4T12</v>
      </c>
      <c r="V1" s="111">
        <v>2012</v>
      </c>
      <c r="W1" s="89" t="str">
        <f>IF('Índice - Index'!$D$14="Português","1T13","1Q13")</f>
        <v>1T13</v>
      </c>
      <c r="X1" s="89" t="str">
        <f>IF('Índice - Index'!$D$14="Português","2T13","2Q13")</f>
        <v>2T13</v>
      </c>
      <c r="Y1" s="89" t="str">
        <f>IF('Índice - Index'!$D$14="Português","3T13","3Q13")</f>
        <v>3T13</v>
      </c>
      <c r="Z1" s="112" t="str">
        <f>IF('Índice - Index'!$D$14="Português","4T13","4Q13")</f>
        <v>4T13</v>
      </c>
      <c r="AA1" s="111">
        <v>2013</v>
      </c>
      <c r="AB1" s="89" t="str">
        <f>IF('Índice - Index'!$D$14="Português","1T14","1Q14")</f>
        <v>1T14</v>
      </c>
      <c r="AC1" s="89" t="str">
        <f>IF('Índice - Index'!$D$14="Português","2T14","2Q14")</f>
        <v>2T14</v>
      </c>
      <c r="AD1" s="89" t="str">
        <f>IF('Índice - Index'!$D$14="Português","3T14","3Q14")</f>
        <v>3T14</v>
      </c>
      <c r="AE1" s="89" t="str">
        <f>IF('Índice - Index'!$D$14="Português","4T14","4Q14")</f>
        <v>4T14</v>
      </c>
      <c r="AF1" s="111">
        <v>2014</v>
      </c>
      <c r="AG1" s="89" t="str">
        <f>IF('Índice - Index'!$D$14="Português","1T15","1Q15")</f>
        <v>1T15</v>
      </c>
      <c r="AH1" s="89" t="str">
        <f>IF('Índice - Index'!$D$14="Português","2T15","2Q15")</f>
        <v>2T15</v>
      </c>
      <c r="AI1" s="89" t="str">
        <f>IF('Índice - Index'!$D$14="Português","3T15","3Q15")</f>
        <v>3T15</v>
      </c>
      <c r="AJ1" s="89" t="str">
        <f>IF('Índice - Index'!$D$14="Português","4T15","4Q15")</f>
        <v>4T15</v>
      </c>
      <c r="AK1" s="111">
        <v>2015</v>
      </c>
      <c r="AL1" s="111" t="str">
        <f>IF('Índice - Index'!$D$14="Português","1T16","1Q16")</f>
        <v>1T16</v>
      </c>
      <c r="AM1" s="111" t="str">
        <f>IF('Índice - Index'!$D$14="Português","2T16","2Q16")</f>
        <v>2T16</v>
      </c>
      <c r="AN1" s="111" t="str">
        <f>IF('Índice - Index'!$D$14="Português","3T16","3Q16")</f>
        <v>3T16</v>
      </c>
      <c r="AO1" s="111" t="s">
        <v>20</v>
      </c>
      <c r="AP1" s="111">
        <v>2016</v>
      </c>
      <c r="AQ1" s="111" t="str">
        <f>IF('Índice - Index'!$D$14="Português","1T17","1Q17")</f>
        <v>1T17</v>
      </c>
      <c r="AR1" s="111" t="str">
        <f>IF('Índice - Index'!$D$14="Português","2T17","2Q17")</f>
        <v>2T17</v>
      </c>
      <c r="AS1" s="111" t="str">
        <f>IF('Índice - Index'!$D$14="Português","3T17","3Q17")</f>
        <v>3T17</v>
      </c>
      <c r="AT1" s="111" t="str">
        <f>IF('Índice - Index'!$D$14="Português","4T17","4Q17")</f>
        <v>4T17</v>
      </c>
      <c r="AU1" s="111">
        <v>2017</v>
      </c>
      <c r="AV1" s="28" t="str">
        <f>IF('Índice - Index'!$D$14="Português","1T18","1Q18")</f>
        <v>1T18</v>
      </c>
      <c r="AW1" s="28" t="str">
        <f>IF('Índice - Index'!$D$14="Português","2T18","2Q18")</f>
        <v>2T18</v>
      </c>
      <c r="AX1" s="28" t="str">
        <f>IF('Índice - Index'!$D$14="Português","3T18","3Q18")</f>
        <v>3T18</v>
      </c>
      <c r="AY1" s="28" t="str">
        <f>IF('Índice - Index'!$D$14="Português","4T18","4Q18")</f>
        <v>4T18</v>
      </c>
      <c r="AZ1" s="111" t="str">
        <f>IF('Índice - Index'!$D$14="Português","2018","2018")</f>
        <v>2018</v>
      </c>
      <c r="BA1" s="28" t="str">
        <f>IF('Índice - Index'!$D$14="Português","1T19","1Q19")</f>
        <v>1T19</v>
      </c>
      <c r="BB1" s="28" t="str">
        <f>IF('Índice - Index'!$D$14="Português","2T19","2Q19")</f>
        <v>2T19</v>
      </c>
      <c r="BC1" s="28" t="str">
        <f>IF('Índice - Index'!$D$14="Português","3T19","3Q19")</f>
        <v>3T19</v>
      </c>
      <c r="BD1" s="28" t="str">
        <f>IF('Índice - Index'!$D$14="Português","4T19","4Q19")</f>
        <v>4T19</v>
      </c>
      <c r="BE1" s="111">
        <v>2019</v>
      </c>
      <c r="BF1" s="28" t="str">
        <f>IF('Índice - Index'!$D$14="Português","1T20","1Q20")</f>
        <v>1T20</v>
      </c>
      <c r="BG1" s="28" t="str">
        <f>IF('Índice - Index'!$D$14="Português","2T20","2Q20")</f>
        <v>2T20</v>
      </c>
      <c r="BH1" s="28" t="str">
        <f>IF('Índice - Index'!$D$14="Português","3T20","3Q20")</f>
        <v>3T20</v>
      </c>
      <c r="BI1" s="28" t="str">
        <f>IF('Índice - Index'!$D$14="Português","4T20","4Q20")</f>
        <v>4T20</v>
      </c>
      <c r="BJ1" s="111">
        <v>2020</v>
      </c>
      <c r="BK1" s="28" t="str">
        <f>IF('Índice - Index'!$D$14="Português","1T21","1Q21")</f>
        <v>1T21</v>
      </c>
      <c r="BL1" s="28" t="str">
        <f>IF('Índice - Index'!$D$14="Português","2T21","2Q21")</f>
        <v>2T21</v>
      </c>
      <c r="BM1" s="28" t="str">
        <f>IF('Índice - Index'!$D$14="Português","3T21","3Q21")</f>
        <v>3T21</v>
      </c>
      <c r="BN1" s="28" t="str">
        <f>IF('Índice - Index'!$D$14="Português","4T21","4Q21")</f>
        <v>4T21</v>
      </c>
      <c r="BO1" s="28" t="str">
        <f>IF('Índice - Index'!$D$14="Português","2021","2021")</f>
        <v>2021</v>
      </c>
      <c r="BP1" s="26" t="str">
        <f>IF('Índice - Index'!$D$14="Português","1T22","1Q22")</f>
        <v>1T22</v>
      </c>
      <c r="BQ1" s="26" t="str">
        <f>IF('Índice - Index'!$D$14="Português","2T22","2Q22")</f>
        <v>2T22</v>
      </c>
      <c r="BR1" s="26" t="str">
        <f>IF('Índice - Index'!$D$14="Português","3T22","3Q22")</f>
        <v>3T22</v>
      </c>
      <c r="BS1" s="26" t="str">
        <f>IF('Índice - Index'!$D$14="Português","4T22","4Q22")</f>
        <v>4T22</v>
      </c>
      <c r="BT1" s="28" t="str">
        <f>IF('Índice - Index'!$D$14="Português","2022","2022")</f>
        <v>2022</v>
      </c>
      <c r="BU1" s="26" t="str">
        <f>IF('Índice - Index'!$D$14="Português","1T23","1Q23")</f>
        <v>1T23</v>
      </c>
      <c r="BV1" s="26" t="str">
        <f>IF('Índice - Index'!$D$14="Português","2T23","2Q23")</f>
        <v>2T23</v>
      </c>
      <c r="BW1" s="26" t="str">
        <f>IF('Índice - Index'!$D$14="Português","3T23","3Q23")</f>
        <v>3T23</v>
      </c>
    </row>
    <row r="2" spans="2:157" x14ac:dyDescent="0.35">
      <c r="B2" s="72"/>
      <c r="AO2" s="113"/>
      <c r="AP2" s="113"/>
      <c r="AQ2" s="113"/>
      <c r="AR2" s="113"/>
      <c r="AT2" s="185"/>
      <c r="AU2" s="38"/>
      <c r="AY2" s="185"/>
      <c r="AZ2" s="185"/>
      <c r="BA2" s="185"/>
      <c r="BB2" s="185"/>
      <c r="BF2" s="188"/>
      <c r="BG2" s="188"/>
      <c r="BH2" s="188"/>
      <c r="BK2" s="188"/>
    </row>
    <row r="3" spans="2:157" x14ac:dyDescent="0.35">
      <c r="B3" s="114" t="str">
        <f>IF('Índice - Index'!$D$14="Português","Receita por m2 (Varejo)","Revenue per m² (retail)")</f>
        <v>Receita por m2 (Varejo)</v>
      </c>
      <c r="C3" s="115">
        <v>1024.9162657054933</v>
      </c>
      <c r="D3" s="115">
        <v>1477.6062960364047</v>
      </c>
      <c r="E3" s="115">
        <v>1358.0044041193419</v>
      </c>
      <c r="F3" s="115">
        <v>2087.1570256664459</v>
      </c>
      <c r="G3" s="116">
        <v>5828.7251289010601</v>
      </c>
      <c r="H3" s="115">
        <v>1185.0310434608452</v>
      </c>
      <c r="I3" s="115">
        <v>1647.4012638230647</v>
      </c>
      <c r="J3" s="115">
        <v>1494.4196771714064</v>
      </c>
      <c r="K3" s="115">
        <v>2150.858983536149</v>
      </c>
      <c r="L3" s="116">
        <v>6094.3521832498218</v>
      </c>
      <c r="M3" s="115">
        <v>1258.1986220803226</v>
      </c>
      <c r="N3" s="115">
        <v>1680.0558659217877</v>
      </c>
      <c r="O3" s="115">
        <v>1449.1661341853035</v>
      </c>
      <c r="P3" s="115">
        <v>1962.785649683449</v>
      </c>
      <c r="Q3" s="116">
        <v>6000.1899306602354</v>
      </c>
      <c r="R3" s="115">
        <v>1171.8620092378753</v>
      </c>
      <c r="S3" s="115">
        <v>1661.7838613770127</v>
      </c>
      <c r="T3" s="115">
        <v>1729.8532317245272</v>
      </c>
      <c r="U3" s="115">
        <v>2174.7958790509347</v>
      </c>
      <c r="V3" s="116">
        <v>6736.0885110263926</v>
      </c>
      <c r="W3" s="115">
        <v>1270.1239248718184</v>
      </c>
      <c r="X3" s="115">
        <v>1541.5426939387223</v>
      </c>
      <c r="Y3" s="115">
        <v>1471.8892130508455</v>
      </c>
      <c r="Z3" s="115">
        <v>2127.1604526983006</v>
      </c>
      <c r="AA3" s="116">
        <v>6353.3060363695286</v>
      </c>
      <c r="AB3" s="115">
        <v>1234.5986068266843</v>
      </c>
      <c r="AC3" s="115">
        <v>1508.217589280493</v>
      </c>
      <c r="AD3" s="115">
        <v>1409.6554728025285</v>
      </c>
      <c r="AE3" s="115">
        <v>2055.8014435933665</v>
      </c>
      <c r="AF3" s="116">
        <v>6213.4808862536611</v>
      </c>
      <c r="AG3" s="115">
        <v>1162.557045401082</v>
      </c>
      <c r="AH3" s="115">
        <v>1443.6940861376136</v>
      </c>
      <c r="AI3" s="115">
        <v>1375.7212118243301</v>
      </c>
      <c r="AJ3" s="115">
        <v>1867.7811734161314</v>
      </c>
      <c r="AK3" s="116">
        <v>5861.5021927623548</v>
      </c>
      <c r="AL3" s="115">
        <v>1088.9004310530813</v>
      </c>
      <c r="AM3" s="115">
        <v>1499.2302147757064</v>
      </c>
      <c r="AN3" s="115">
        <v>1136.1577228027859</v>
      </c>
      <c r="AO3" s="115">
        <v>1622.0446283470669</v>
      </c>
      <c r="AP3" s="116">
        <v>5354.0879961531145</v>
      </c>
      <c r="AQ3" s="115">
        <v>1107.6748886061689</v>
      </c>
      <c r="AR3" s="115">
        <v>1350.6268927473848</v>
      </c>
      <c r="AS3" s="115">
        <v>1371.7651012400975</v>
      </c>
      <c r="AT3" s="115">
        <v>1668.83268855953</v>
      </c>
      <c r="AU3" s="116">
        <v>5500.908193484699</v>
      </c>
      <c r="AV3" s="185">
        <v>1060.0088572647678</v>
      </c>
      <c r="AW3" s="185">
        <v>1313.4186559337293</v>
      </c>
      <c r="AX3" s="185">
        <v>1355.9730813072399</v>
      </c>
      <c r="AY3" s="185">
        <v>1671.3855984216639</v>
      </c>
      <c r="AZ3" s="116">
        <v>5466.0815632403655</v>
      </c>
      <c r="BA3" s="185">
        <v>1177.2488839519101</v>
      </c>
      <c r="BB3" s="185">
        <v>1402.502543372324</v>
      </c>
      <c r="BC3" s="185">
        <v>1431.7113070907585</v>
      </c>
      <c r="BD3" s="185">
        <v>1845.8519319377672</v>
      </c>
      <c r="BE3" s="207">
        <v>5882.0502973050261</v>
      </c>
      <c r="BF3" s="185">
        <v>1087.3334555006725</v>
      </c>
      <c r="BG3" s="185">
        <v>389.58376759430689</v>
      </c>
      <c r="BH3" s="185">
        <v>1167.0581024218322</v>
      </c>
      <c r="BI3" s="185">
        <f>'DRE Varejo - Retail P&amp;L'!BF10/BI6</f>
        <v>1726.9834006104127</v>
      </c>
      <c r="BJ3" s="207">
        <f>'DRE Varejo - Retail P&amp;L'!BG10/BJ6</f>
        <v>4384.9916220047389</v>
      </c>
      <c r="BK3" s="185">
        <f>'DRE Varejo - Retail P&amp;L'!BH10/BK6</f>
        <v>768.54653238021865</v>
      </c>
      <c r="BL3" s="185">
        <f>'DRE Varejo - Retail P&amp;L'!BI10/BL6</f>
        <v>1306.4091939003004</v>
      </c>
      <c r="BM3" s="185">
        <f>'DRE Varejo - Retail P&amp;L'!BJ10/'Destaques - Highlights'!BM6</f>
        <v>1407.157247769597</v>
      </c>
      <c r="BN3" s="185">
        <f>'DRE Varejo - Retail P&amp;L'!BK10/'Destaques - Highlights'!BN6</f>
        <v>1863.8845002025932</v>
      </c>
      <c r="BO3" s="207">
        <v>5345.0678066595719</v>
      </c>
      <c r="BP3" s="185">
        <v>1154.1018023271035</v>
      </c>
      <c r="BQ3" s="185">
        <f>'DRE Varejo - Retail P&amp;L'!BN10/'Destaques - Highlights'!BQ6</f>
        <v>1590.7099785128321</v>
      </c>
      <c r="BR3" s="185">
        <f>'DRE Varejo - Retail P&amp;L'!BO10/'Destaques - Highlights'!BR6</f>
        <v>1362.6816300110106</v>
      </c>
      <c r="BS3" s="185">
        <v>1867.4866894087036</v>
      </c>
      <c r="BT3" s="207">
        <v>5951.2911071181652</v>
      </c>
      <c r="BU3" s="185">
        <v>1196.2046759983436</v>
      </c>
      <c r="BV3" s="185">
        <f>'DRE Varejo - Retail P&amp;L'!BS10/'Destaques - Highlights'!BV6</f>
        <v>1444.9241265404178</v>
      </c>
      <c r="BW3" s="185">
        <f>'DRE Varejo - Retail P&amp;L'!BT10/'Destaques - Highlights'!BW6</f>
        <v>917.88252045371019</v>
      </c>
    </row>
    <row r="4" spans="2:157" x14ac:dyDescent="0.35">
      <c r="B4" s="114" t="s">
        <v>1</v>
      </c>
      <c r="C4" s="117">
        <v>-3.7999999999999999E-2</v>
      </c>
      <c r="D4" s="117">
        <v>-7.0000000000000001E-3</v>
      </c>
      <c r="E4" s="117">
        <v>-3.0000000000000001E-3</v>
      </c>
      <c r="F4" s="117">
        <v>0.13300000000000001</v>
      </c>
      <c r="G4" s="118">
        <v>3.4000000000000002E-2</v>
      </c>
      <c r="H4" s="117">
        <v>0.192</v>
      </c>
      <c r="I4" s="117">
        <v>0.151</v>
      </c>
      <c r="J4" s="117">
        <v>0.13700000000000001</v>
      </c>
      <c r="K4" s="117">
        <v>8.7999999999999995E-2</v>
      </c>
      <c r="L4" s="118">
        <v>0.13200000000000001</v>
      </c>
      <c r="M4" s="117">
        <v>0.127</v>
      </c>
      <c r="N4" s="117">
        <v>0.108</v>
      </c>
      <c r="O4" s="117">
        <v>6.93E-2</v>
      </c>
      <c r="P4" s="117">
        <v>2.3300000000000001E-2</v>
      </c>
      <c r="Q4" s="118">
        <v>7.2999999999999995E-2</v>
      </c>
      <c r="R4" s="117">
        <v>0.02</v>
      </c>
      <c r="S4" s="117">
        <v>4.4999999999999998E-2</v>
      </c>
      <c r="T4" s="117">
        <v>0.17199999999999999</v>
      </c>
      <c r="U4" s="117">
        <v>0.14099999999999999</v>
      </c>
      <c r="V4" s="118">
        <v>0.10100000000000001</v>
      </c>
      <c r="W4" s="117">
        <v>0.128</v>
      </c>
      <c r="X4" s="117">
        <v>5.5999999999999999E-3</v>
      </c>
      <c r="Y4" s="117">
        <v>-7.4999999999999997E-2</v>
      </c>
      <c r="Z4" s="117">
        <v>3.2000000000000001E-2</v>
      </c>
      <c r="AA4" s="118">
        <v>1.4999999999999999E-2</v>
      </c>
      <c r="AB4" s="117">
        <v>1.04E-2</v>
      </c>
      <c r="AC4" s="117">
        <v>2.3E-2</v>
      </c>
      <c r="AD4" s="117">
        <v>-1.465E-2</v>
      </c>
      <c r="AE4" s="117">
        <v>-5.0000000000000001E-3</v>
      </c>
      <c r="AF4" s="118">
        <v>2E-3</v>
      </c>
      <c r="AG4" s="117">
        <v>-4.8000000000000001E-2</v>
      </c>
      <c r="AH4" s="117">
        <v>-4.2000000000000003E-2</v>
      </c>
      <c r="AI4" s="117">
        <v>-2.4E-2</v>
      </c>
      <c r="AJ4" s="117">
        <v>-8.5999999999999993E-2</v>
      </c>
      <c r="AK4" s="118">
        <v>-5.2999999999999999E-2</v>
      </c>
      <c r="AL4" s="117">
        <v>-7.1099306936824203E-2</v>
      </c>
      <c r="AM4" s="117">
        <v>3.2000000000000001E-2</v>
      </c>
      <c r="AN4" s="117">
        <v>-0.185</v>
      </c>
      <c r="AO4" s="117">
        <v>-0.14800000000000002</v>
      </c>
      <c r="AP4" s="118">
        <v>-9.6999999999999989E-2</v>
      </c>
      <c r="AQ4" s="117">
        <v>-1.2999999999999999E-2</v>
      </c>
      <c r="AR4" s="117">
        <v>-0.13500000000000001</v>
      </c>
      <c r="AS4" s="117">
        <v>0.16900000000000001</v>
      </c>
      <c r="AT4" s="117">
        <v>-1.002751178919362E-2</v>
      </c>
      <c r="AU4" s="118">
        <v>-8.0000000000000002E-3</v>
      </c>
      <c r="AV4" s="117">
        <v>-3.9E-2</v>
      </c>
      <c r="AW4" s="117">
        <v>-2.5999999999999999E-2</v>
      </c>
      <c r="AX4" s="117">
        <v>-2.3E-2</v>
      </c>
      <c r="AY4" s="117">
        <v>-5.0000000000000001E-3</v>
      </c>
      <c r="AZ4" s="118">
        <v>-2.1999999999999999E-2</v>
      </c>
      <c r="BA4" s="117">
        <v>7.5999999999999998E-2</v>
      </c>
      <c r="BB4" s="117">
        <v>5.0999999999999997E-2</v>
      </c>
      <c r="BC4" s="117">
        <v>5.5918358697629733E-2</v>
      </c>
      <c r="BD4" s="117">
        <v>9.4833738734942052E-2</v>
      </c>
      <c r="BE4" s="118">
        <v>7.0215798052363221E-2</v>
      </c>
      <c r="BF4" s="117">
        <v>-4.3937714867830491E-2</v>
      </c>
      <c r="BG4" s="117">
        <v>-9.728681618326207E-2</v>
      </c>
      <c r="BH4" s="117">
        <v>-6.3E-2</v>
      </c>
      <c r="BI4" s="117">
        <v>-5.5573207059301355E-2</v>
      </c>
      <c r="BJ4" s="118">
        <v>-6.296217809942628E-2</v>
      </c>
      <c r="BK4" s="117">
        <v>-0.29599999999999999</v>
      </c>
      <c r="BL4" s="131">
        <v>2.3576116657990536</v>
      </c>
      <c r="BM4" s="131">
        <v>-7.7992839469709363E-3</v>
      </c>
      <c r="BN4" s="117">
        <v>3.5999999999999997E-2</v>
      </c>
      <c r="BO4" s="118">
        <v>-7.0000000000000007E-2</v>
      </c>
      <c r="BP4" s="223">
        <v>0.48018816390112073</v>
      </c>
      <c r="BQ4" s="223">
        <v>0.21271704356782695</v>
      </c>
      <c r="BR4" s="223">
        <v>-4.9383535484173846E-2</v>
      </c>
      <c r="BS4" s="223">
        <v>1.1348769873748665E-2</v>
      </c>
      <c r="BT4" s="118">
        <v>0.11249322163615671</v>
      </c>
      <c r="BU4" s="223">
        <v>2.4371981293856537E-2</v>
      </c>
      <c r="BV4" s="223">
        <v>-0.16435418500749233</v>
      </c>
      <c r="BW4" s="223">
        <v>-0.36199999999999999</v>
      </c>
    </row>
    <row r="5" spans="2:157" x14ac:dyDescent="0.35">
      <c r="B5" s="119" t="str">
        <f>IF('Índice - Index'!$D$14="Português","Área de Vendas","Sales Area")</f>
        <v>Área de Vendas</v>
      </c>
      <c r="C5" s="120">
        <v>235.036</v>
      </c>
      <c r="D5" s="120">
        <v>240.946</v>
      </c>
      <c r="E5" s="120">
        <v>242.238</v>
      </c>
      <c r="F5" s="120">
        <v>250</v>
      </c>
      <c r="G5" s="121">
        <v>250</v>
      </c>
      <c r="H5" s="120">
        <v>249.3</v>
      </c>
      <c r="I5" s="120">
        <v>257.10000000000002</v>
      </c>
      <c r="J5" s="120">
        <v>263.3</v>
      </c>
      <c r="K5" s="120">
        <v>295.5</v>
      </c>
      <c r="L5" s="121">
        <v>295.5</v>
      </c>
      <c r="M5" s="120">
        <v>299.60000000000002</v>
      </c>
      <c r="N5" s="120">
        <v>309</v>
      </c>
      <c r="O5" s="120">
        <v>317</v>
      </c>
      <c r="P5" s="120">
        <v>346.4</v>
      </c>
      <c r="Q5" s="121">
        <v>346.4</v>
      </c>
      <c r="R5" s="120">
        <v>346.4</v>
      </c>
      <c r="S5" s="120">
        <v>353.36849999999987</v>
      </c>
      <c r="T5" s="120">
        <v>355.3</v>
      </c>
      <c r="U5" s="120">
        <v>379.19099999999997</v>
      </c>
      <c r="V5" s="121">
        <v>379.19099999999997</v>
      </c>
      <c r="W5" s="120">
        <v>382.1</v>
      </c>
      <c r="X5" s="120">
        <v>389.27199999999999</v>
      </c>
      <c r="Y5" s="120">
        <v>395.65726000000001</v>
      </c>
      <c r="Z5" s="120">
        <v>412.07212300000043</v>
      </c>
      <c r="AA5" s="121">
        <v>412.07212300000043</v>
      </c>
      <c r="AB5" s="120">
        <v>414.5155585000004</v>
      </c>
      <c r="AC5" s="120">
        <v>420.28176050000042</v>
      </c>
      <c r="AD5" s="120">
        <v>420.86277650000045</v>
      </c>
      <c r="AE5" s="120">
        <v>425.74038424000014</v>
      </c>
      <c r="AF5" s="121">
        <v>425.74038424000014</v>
      </c>
      <c r="AG5" s="120">
        <v>424.47307494000017</v>
      </c>
      <c r="AH5" s="120">
        <v>424.70959594000021</v>
      </c>
      <c r="AI5" s="120">
        <v>424.70959594000021</v>
      </c>
      <c r="AJ5" s="120">
        <v>423.53141324000018</v>
      </c>
      <c r="AK5" s="121">
        <v>423.53141324000018</v>
      </c>
      <c r="AL5" s="120">
        <v>417.15292514000021</v>
      </c>
      <c r="AM5" s="120">
        <v>415.40100000000001</v>
      </c>
      <c r="AN5" s="120">
        <v>415.40100000000001</v>
      </c>
      <c r="AO5" s="120">
        <v>415.40100000000001</v>
      </c>
      <c r="AP5" s="121">
        <v>415.40100000000001</v>
      </c>
      <c r="AQ5" s="120">
        <v>405.78513120000031</v>
      </c>
      <c r="AR5" s="120">
        <v>405.23774770000028</v>
      </c>
      <c r="AS5" s="120">
        <v>405.23774770000028</v>
      </c>
      <c r="AT5" s="120">
        <v>405.23774770000028</v>
      </c>
      <c r="AU5" s="121">
        <v>405.2</v>
      </c>
      <c r="AV5" s="120">
        <v>405.0277477000003</v>
      </c>
      <c r="AW5" s="120">
        <v>405.0277477000003</v>
      </c>
      <c r="AX5" s="120">
        <v>398.46548940000031</v>
      </c>
      <c r="AY5" s="120">
        <v>395.7135147000003</v>
      </c>
      <c r="AZ5" s="121">
        <v>395.7135147000003</v>
      </c>
      <c r="BA5" s="120">
        <v>386.69718160000031</v>
      </c>
      <c r="BB5" s="120">
        <v>386.45311180000033</v>
      </c>
      <c r="BC5" s="120">
        <v>384.64495090000031</v>
      </c>
      <c r="BD5" s="120">
        <v>383.51459960000028</v>
      </c>
      <c r="BE5" s="121">
        <v>383.51459960000028</v>
      </c>
      <c r="BF5" s="120">
        <v>383.51459960000028</v>
      </c>
      <c r="BG5" s="120">
        <v>382.68651070000033</v>
      </c>
      <c r="BH5" s="120">
        <v>382.68651070000033</v>
      </c>
      <c r="BI5" s="120">
        <v>377.95712530000031</v>
      </c>
      <c r="BJ5" s="121">
        <v>377.95712530000031</v>
      </c>
      <c r="BK5" s="120">
        <v>376.7233227000001</v>
      </c>
      <c r="BL5" s="216">
        <f t="shared" ref="BL5:BN6" si="0">BK5</f>
        <v>376.7233227000001</v>
      </c>
      <c r="BM5" s="216">
        <f t="shared" si="0"/>
        <v>376.7233227000001</v>
      </c>
      <c r="BN5" s="120">
        <f t="shared" si="0"/>
        <v>376.7233227000001</v>
      </c>
      <c r="BO5" s="121">
        <f>BN5</f>
        <v>376.7233227000001</v>
      </c>
      <c r="BP5" s="120">
        <v>376.7233227000001</v>
      </c>
      <c r="BQ5" s="120">
        <v>376.72332190000031</v>
      </c>
      <c r="BR5" s="120">
        <v>376.72332190000031</v>
      </c>
      <c r="BS5" s="120">
        <v>370.37226190000024</v>
      </c>
      <c r="BT5" s="121">
        <v>370.37226190000024</v>
      </c>
      <c r="BU5" s="120">
        <v>366.07151470000025</v>
      </c>
      <c r="BV5" s="120">
        <v>284.35288300000002</v>
      </c>
      <c r="BW5" s="120">
        <v>279.54465739999995</v>
      </c>
    </row>
    <row r="6" spans="2:157" x14ac:dyDescent="0.35">
      <c r="B6" s="119" t="str">
        <f>IF('Índice - Index'!$D$14="Português","Área de Vendas Média","Average sales area")</f>
        <v>Área de Vendas Média</v>
      </c>
      <c r="C6" s="120">
        <v>235.268</v>
      </c>
      <c r="D6" s="120">
        <v>237.99099999999999</v>
      </c>
      <c r="E6" s="120">
        <v>241.59199999999998</v>
      </c>
      <c r="F6" s="120">
        <v>246.119</v>
      </c>
      <c r="G6" s="121">
        <v>246.119</v>
      </c>
      <c r="H6" s="120">
        <v>249.65</v>
      </c>
      <c r="I6" s="120">
        <v>253.20000000000002</v>
      </c>
      <c r="J6" s="120">
        <v>260.20000000000005</v>
      </c>
      <c r="K6" s="120">
        <v>279.39999999999998</v>
      </c>
      <c r="L6" s="121">
        <v>279.39999999999998</v>
      </c>
      <c r="M6" s="120">
        <v>297.55</v>
      </c>
      <c r="N6" s="120">
        <v>304.3</v>
      </c>
      <c r="O6" s="120">
        <v>313</v>
      </c>
      <c r="P6" s="120">
        <v>331.7</v>
      </c>
      <c r="Q6" s="121">
        <v>331.7</v>
      </c>
      <c r="R6" s="120">
        <v>346.4</v>
      </c>
      <c r="S6" s="120">
        <v>349.88424999999995</v>
      </c>
      <c r="T6" s="120">
        <v>354.3</v>
      </c>
      <c r="U6" s="120">
        <v>367.24549999999999</v>
      </c>
      <c r="V6" s="121">
        <v>356.13189999999997</v>
      </c>
      <c r="W6" s="120">
        <v>380.85574999999994</v>
      </c>
      <c r="X6" s="120">
        <v>385.66949999999997</v>
      </c>
      <c r="Y6" s="120">
        <v>392.46499999999997</v>
      </c>
      <c r="Z6" s="120">
        <v>403.86469150000022</v>
      </c>
      <c r="AA6" s="121">
        <v>395.85831150000013</v>
      </c>
      <c r="AB6" s="120">
        <v>413.29384075000041</v>
      </c>
      <c r="AC6" s="120">
        <v>417.39865950000041</v>
      </c>
      <c r="AD6" s="120">
        <v>420.5722685000004</v>
      </c>
      <c r="AE6" s="120">
        <v>423.30158037000029</v>
      </c>
      <c r="AF6" s="121">
        <v>418.90625362000026</v>
      </c>
      <c r="AG6" s="120">
        <v>425.1</v>
      </c>
      <c r="AH6" s="120">
        <v>424.59133544000019</v>
      </c>
      <c r="AI6" s="120">
        <v>424.70959594000021</v>
      </c>
      <c r="AJ6" s="120">
        <v>424.12050459000022</v>
      </c>
      <c r="AK6" s="121">
        <v>423.85109487000028</v>
      </c>
      <c r="AL6" s="120">
        <v>420.34216919000016</v>
      </c>
      <c r="AM6" s="120">
        <v>416.27696257000014</v>
      </c>
      <c r="AN6" s="120">
        <v>415.40100000000001</v>
      </c>
      <c r="AO6" s="120">
        <v>415.40100000000001</v>
      </c>
      <c r="AP6" s="121">
        <v>419.46620662000009</v>
      </c>
      <c r="AQ6" s="120">
        <v>410.59306560000016</v>
      </c>
      <c r="AR6" s="122">
        <v>405.5114394500003</v>
      </c>
      <c r="AS6" s="122">
        <v>405.2</v>
      </c>
      <c r="AT6" s="122">
        <v>405.2</v>
      </c>
      <c r="AU6" s="121">
        <v>410.3005</v>
      </c>
      <c r="AV6" s="122">
        <v>405.13274770000032</v>
      </c>
      <c r="AW6" s="122">
        <v>405.0277477000003</v>
      </c>
      <c r="AX6" s="122">
        <v>401.74661855000033</v>
      </c>
      <c r="AY6" s="122">
        <v>397.08950205000031</v>
      </c>
      <c r="AZ6" s="121">
        <v>400.45675735000015</v>
      </c>
      <c r="BA6" s="122">
        <v>391.2053481500003</v>
      </c>
      <c r="BB6" s="122">
        <v>386.57514670000035</v>
      </c>
      <c r="BC6" s="122">
        <v>385.54903135000029</v>
      </c>
      <c r="BD6" s="122">
        <v>384.0797752500003</v>
      </c>
      <c r="BE6" s="121">
        <v>389.61405715000029</v>
      </c>
      <c r="BF6" s="120">
        <v>383.51459960000028</v>
      </c>
      <c r="BG6" s="120">
        <v>383.10055515000033</v>
      </c>
      <c r="BH6" s="120">
        <v>382.68651070000033</v>
      </c>
      <c r="BI6" s="120">
        <v>380.32181800000035</v>
      </c>
      <c r="BJ6" s="121">
        <v>380.7358624500003</v>
      </c>
      <c r="BK6" s="120">
        <f>AVERAGE(BK5,BI5)</f>
        <v>377.34022400000021</v>
      </c>
      <c r="BL6" s="216">
        <f>BL5</f>
        <v>376.7233227000001</v>
      </c>
      <c r="BM6" s="216">
        <f t="shared" si="0"/>
        <v>376.7233227000001</v>
      </c>
      <c r="BN6" s="120">
        <f t="shared" si="0"/>
        <v>376.7233227000001</v>
      </c>
      <c r="BO6" s="121">
        <f>AVERAGE(BK6:BN6)</f>
        <v>376.87754802500012</v>
      </c>
      <c r="BP6" s="120">
        <v>376.7233227000001</v>
      </c>
      <c r="BQ6" s="120">
        <v>376.7233227000001</v>
      </c>
      <c r="BR6" s="120">
        <v>376.7233227000001</v>
      </c>
      <c r="BS6" s="120">
        <v>373.85624275000026</v>
      </c>
      <c r="BT6" s="121">
        <v>375.5982331750003</v>
      </c>
      <c r="BU6" s="120">
        <v>368.22188830000027</v>
      </c>
      <c r="BV6" s="120">
        <v>325.21219885000016</v>
      </c>
      <c r="BW6" s="120">
        <v>281.94877020000001</v>
      </c>
    </row>
    <row r="7" spans="2:157" x14ac:dyDescent="0.35">
      <c r="B7" s="119" t="str">
        <f>IF('Índice - Index'!$D$14="Português","Número de lojas","Number of Stores")</f>
        <v>Número de lojas</v>
      </c>
      <c r="C7" s="123">
        <v>216</v>
      </c>
      <c r="D7" s="123">
        <v>221</v>
      </c>
      <c r="E7" s="123">
        <v>222</v>
      </c>
      <c r="F7" s="123">
        <v>227</v>
      </c>
      <c r="G7" s="124">
        <v>227</v>
      </c>
      <c r="H7" s="123">
        <v>225</v>
      </c>
      <c r="I7" s="123">
        <v>233</v>
      </c>
      <c r="J7" s="123">
        <v>240</v>
      </c>
      <c r="K7" s="123">
        <v>277</v>
      </c>
      <c r="L7" s="124">
        <v>277</v>
      </c>
      <c r="M7" s="123">
        <v>281</v>
      </c>
      <c r="N7" s="123">
        <v>290</v>
      </c>
      <c r="O7" s="123">
        <v>302</v>
      </c>
      <c r="P7" s="123">
        <v>336</v>
      </c>
      <c r="Q7" s="124">
        <v>336</v>
      </c>
      <c r="R7" s="123">
        <v>336</v>
      </c>
      <c r="S7" s="123">
        <v>341</v>
      </c>
      <c r="T7" s="123">
        <v>343</v>
      </c>
      <c r="U7" s="123">
        <v>368</v>
      </c>
      <c r="V7" s="124">
        <v>368</v>
      </c>
      <c r="W7" s="123">
        <v>371</v>
      </c>
      <c r="X7" s="123">
        <v>380</v>
      </c>
      <c r="Y7" s="123">
        <v>389</v>
      </c>
      <c r="Z7" s="123">
        <v>407</v>
      </c>
      <c r="AA7" s="124">
        <v>407</v>
      </c>
      <c r="AB7" s="123">
        <v>407</v>
      </c>
      <c r="AC7" s="123">
        <v>413</v>
      </c>
      <c r="AD7" s="123">
        <v>413</v>
      </c>
      <c r="AE7" s="123">
        <v>416</v>
      </c>
      <c r="AF7" s="124">
        <v>416</v>
      </c>
      <c r="AG7" s="123">
        <v>413</v>
      </c>
      <c r="AH7" s="123">
        <v>413</v>
      </c>
      <c r="AI7" s="123">
        <v>413</v>
      </c>
      <c r="AJ7" s="123">
        <v>409</v>
      </c>
      <c r="AK7" s="124">
        <v>409</v>
      </c>
      <c r="AL7" s="123">
        <v>401</v>
      </c>
      <c r="AM7" s="123">
        <v>398</v>
      </c>
      <c r="AN7" s="123">
        <v>398</v>
      </c>
      <c r="AO7" s="123">
        <v>398</v>
      </c>
      <c r="AP7" s="124">
        <v>398</v>
      </c>
      <c r="AQ7" s="123">
        <v>389</v>
      </c>
      <c r="AR7" s="123">
        <v>388</v>
      </c>
      <c r="AS7" s="123">
        <v>388</v>
      </c>
      <c r="AT7" s="123">
        <v>388</v>
      </c>
      <c r="AU7" s="124">
        <v>388</v>
      </c>
      <c r="AV7" s="123">
        <v>387</v>
      </c>
      <c r="AW7" s="123">
        <v>387</v>
      </c>
      <c r="AX7" s="123">
        <v>375</v>
      </c>
      <c r="AY7" s="123">
        <v>371</v>
      </c>
      <c r="AZ7" s="124">
        <v>371</v>
      </c>
      <c r="BA7" s="123">
        <v>359</v>
      </c>
      <c r="BB7" s="123">
        <v>358</v>
      </c>
      <c r="BC7" s="123">
        <v>355</v>
      </c>
      <c r="BD7" s="123">
        <v>354</v>
      </c>
      <c r="BE7" s="124">
        <v>354</v>
      </c>
      <c r="BF7" s="123">
        <v>354</v>
      </c>
      <c r="BG7" s="123">
        <v>353</v>
      </c>
      <c r="BH7" s="123">
        <v>353</v>
      </c>
      <c r="BI7" s="123">
        <v>345</v>
      </c>
      <c r="BJ7" s="124">
        <v>345</v>
      </c>
      <c r="BK7" s="123">
        <v>344</v>
      </c>
      <c r="BL7" s="123">
        <v>344</v>
      </c>
      <c r="BM7" s="123">
        <v>344</v>
      </c>
      <c r="BN7" s="123">
        <v>344</v>
      </c>
      <c r="BO7" s="124">
        <v>344</v>
      </c>
      <c r="BP7" s="123">
        <v>344</v>
      </c>
      <c r="BQ7" s="123">
        <v>344</v>
      </c>
      <c r="BR7" s="123">
        <f>BQ7</f>
        <v>344</v>
      </c>
      <c r="BS7" s="123">
        <v>334</v>
      </c>
      <c r="BT7" s="124">
        <v>334</v>
      </c>
      <c r="BU7" s="123">
        <v>330</v>
      </c>
      <c r="BV7" s="123">
        <v>248</v>
      </c>
      <c r="BW7" s="123">
        <v>245</v>
      </c>
    </row>
    <row r="8" spans="2:157" x14ac:dyDescent="0.35">
      <c r="B8" s="119" t="str">
        <f>IF('Índice - Index'!$D$14="Português","Área média de Vendas por loja (m2)","Average sales area per store (m2)")</f>
        <v>Área média de Vendas por loja (m2)</v>
      </c>
      <c r="C8" s="123">
        <v>1089.2037037037037</v>
      </c>
      <c r="D8" s="123">
        <v>1076.8823529411766</v>
      </c>
      <c r="E8" s="123">
        <v>1088.2522522522522</v>
      </c>
      <c r="F8" s="123">
        <v>1084.2246696035243</v>
      </c>
      <c r="G8" s="124">
        <v>1084.2246696035243</v>
      </c>
      <c r="H8" s="123">
        <v>1109.5555555555557</v>
      </c>
      <c r="I8" s="123">
        <v>1086.6952789699571</v>
      </c>
      <c r="J8" s="123">
        <v>1084.166666666667</v>
      </c>
      <c r="K8" s="123">
        <v>1008.6642599277978</v>
      </c>
      <c r="L8" s="124">
        <v>1008.6642599277978</v>
      </c>
      <c r="M8" s="123">
        <v>1058.8967971530249</v>
      </c>
      <c r="N8" s="123">
        <v>1049.3103448275863</v>
      </c>
      <c r="O8" s="123">
        <v>1036.4238410596026</v>
      </c>
      <c r="P8" s="123">
        <v>987.20238095238096</v>
      </c>
      <c r="Q8" s="124">
        <v>987.20238095238096</v>
      </c>
      <c r="R8" s="123">
        <v>1030.952380952381</v>
      </c>
      <c r="S8" s="123">
        <v>1026.0535190615833</v>
      </c>
      <c r="T8" s="123">
        <v>1032.9446064139943</v>
      </c>
      <c r="U8" s="123">
        <v>997.94972826086962</v>
      </c>
      <c r="V8" s="124">
        <v>967.74972826086946</v>
      </c>
      <c r="W8" s="123">
        <v>1026.5653638814015</v>
      </c>
      <c r="X8" s="123">
        <v>1014.9197368421053</v>
      </c>
      <c r="Y8" s="123">
        <v>1008.9074550128535</v>
      </c>
      <c r="Z8" s="123">
        <v>992.29653931203995</v>
      </c>
      <c r="AA8" s="124">
        <v>972.62484398034428</v>
      </c>
      <c r="AB8" s="123">
        <v>1015.4639821867332</v>
      </c>
      <c r="AC8" s="123">
        <v>1010.6505072639235</v>
      </c>
      <c r="AD8" s="123">
        <v>1018.3347905569017</v>
      </c>
      <c r="AE8" s="123">
        <v>1017.5518758894237</v>
      </c>
      <c r="AF8" s="124">
        <v>1006.9861865865391</v>
      </c>
      <c r="AG8" s="123">
        <v>1029.2978208232446</v>
      </c>
      <c r="AH8" s="123">
        <v>1028.0661875060537</v>
      </c>
      <c r="AI8" s="123">
        <v>1028.3525325423734</v>
      </c>
      <c r="AJ8" s="123">
        <v>1036.9694488753062</v>
      </c>
      <c r="AK8" s="124">
        <v>1036.3107454034237</v>
      </c>
      <c r="AL8" s="123">
        <v>1048.2348358852871</v>
      </c>
      <c r="AM8" s="123">
        <v>1045.922016507538</v>
      </c>
      <c r="AN8" s="123">
        <v>1043.7211055276382</v>
      </c>
      <c r="AO8" s="123">
        <v>1043.7211055276382</v>
      </c>
      <c r="AP8" s="124">
        <v>1053.9351925125629</v>
      </c>
      <c r="AQ8" s="125">
        <v>1055.5091660668384</v>
      </c>
      <c r="AR8" s="125">
        <v>1045.1325759020626</v>
      </c>
      <c r="AS8" s="125">
        <v>1044.32989690722</v>
      </c>
      <c r="AT8" s="125">
        <v>1044.3298969072166</v>
      </c>
      <c r="AU8" s="124">
        <v>1057.4742268041236</v>
      </c>
      <c r="AV8" s="125">
        <v>1046.854645219639</v>
      </c>
      <c r="AW8" s="125">
        <v>1046.854645219639</v>
      </c>
      <c r="AX8" s="184">
        <v>1071.3243161333344</v>
      </c>
      <c r="AY8" s="184">
        <v>1070.3221079514833</v>
      </c>
      <c r="AZ8" s="124">
        <v>1079.3982677897577</v>
      </c>
      <c r="BA8" s="184">
        <v>1089.7084906685245</v>
      </c>
      <c r="BB8" s="184">
        <v>1079.8188455307272</v>
      </c>
      <c r="BC8" s="184">
        <v>1087.964288450705</v>
      </c>
      <c r="BD8" s="184">
        <v>1084.9711165254246</v>
      </c>
      <c r="BE8" s="208">
        <v>1100.6046812146901</v>
      </c>
      <c r="BF8" s="184">
        <v>1083.3745751412439</v>
      </c>
      <c r="BG8" s="184">
        <v>1085.2706944759216</v>
      </c>
      <c r="BH8" s="184">
        <v>1084.0977640226638</v>
      </c>
      <c r="BI8" s="184">
        <v>1102.3820811594212</v>
      </c>
      <c r="BJ8" s="208">
        <v>1103.5822100000009</v>
      </c>
      <c r="BK8" s="184">
        <v>1095.1259380813956</v>
      </c>
      <c r="BL8" s="184">
        <v>1095.1259380813956</v>
      </c>
      <c r="BM8" s="184">
        <v>1095.1259380813956</v>
      </c>
      <c r="BN8" s="184">
        <v>1095.1259380813956</v>
      </c>
      <c r="BO8" s="208">
        <f>BN8</f>
        <v>1095.1259380813956</v>
      </c>
      <c r="BP8" s="184">
        <v>1095.1259380813956</v>
      </c>
      <c r="BQ8" s="184">
        <v>1095.1259380813956</v>
      </c>
      <c r="BR8" s="184">
        <v>1095.1259380813956</v>
      </c>
      <c r="BS8" s="184">
        <v>1108.8989877245515</v>
      </c>
      <c r="BT8" s="208">
        <f>BS8</f>
        <v>1108.8989877245515</v>
      </c>
      <c r="BU8" s="184">
        <v>1124.8937524271853</v>
      </c>
      <c r="BV8" s="184">
        <f>BV5/BV7*1000</f>
        <v>1146.5842056451613</v>
      </c>
      <c r="BW8" s="184">
        <f>BW5/BW7*1000</f>
        <v>1140.9986016326527</v>
      </c>
    </row>
    <row r="9" spans="2:157" x14ac:dyDescent="0.35">
      <c r="B9" s="72"/>
      <c r="C9" s="27"/>
      <c r="D9" s="27"/>
      <c r="E9" s="27"/>
      <c r="F9" s="27"/>
      <c r="G9" s="126"/>
      <c r="H9" s="27"/>
      <c r="I9" s="27"/>
      <c r="J9" s="27"/>
      <c r="K9" s="27"/>
      <c r="L9" s="126"/>
      <c r="M9" s="27"/>
      <c r="N9" s="27"/>
      <c r="O9" s="27"/>
      <c r="P9" s="27"/>
      <c r="Q9" s="1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125"/>
      <c r="AM9" s="183"/>
      <c r="AN9" s="183"/>
      <c r="AO9" s="183"/>
      <c r="AP9" s="183"/>
      <c r="AQ9" s="184"/>
      <c r="AR9" s="184"/>
      <c r="AS9" s="184"/>
      <c r="AT9" s="184"/>
      <c r="AU9" s="184"/>
      <c r="AV9" s="184"/>
      <c r="AW9" s="184"/>
      <c r="AY9" s="188"/>
      <c r="AZ9" s="196"/>
      <c r="BA9" s="196"/>
      <c r="BB9" s="196"/>
      <c r="BC9" s="196"/>
      <c r="BE9" s="188"/>
      <c r="BF9" s="188"/>
      <c r="BJ9" s="188"/>
      <c r="BO9" s="188"/>
      <c r="BP9" s="188"/>
      <c r="BQ9" s="188"/>
      <c r="BR9" s="188"/>
      <c r="BS9" s="188"/>
      <c r="BT9" s="188"/>
      <c r="BU9" s="188"/>
      <c r="BV9" s="188"/>
      <c r="BW9" s="188"/>
    </row>
    <row r="10" spans="2:157" s="65" customFormat="1" x14ac:dyDescent="0.35">
      <c r="B10" s="119" t="str">
        <f>IF('Índice - Index'!$D$14="Português","Número de Cartões Ativos","Number of active cards")</f>
        <v>Número de Cartões Ativos</v>
      </c>
      <c r="C10" s="124">
        <f>SUM(C11:C12)</f>
        <v>2526429</v>
      </c>
      <c r="D10" s="124">
        <f t="shared" ref="D10:Q10" si="1">SUM(D11:D12)</f>
        <v>2413968</v>
      </c>
      <c r="E10" s="124">
        <f t="shared" si="1"/>
        <v>2686286</v>
      </c>
      <c r="F10" s="124">
        <f t="shared" si="1"/>
        <v>2965493</v>
      </c>
      <c r="G10" s="124">
        <f t="shared" si="1"/>
        <v>2965493</v>
      </c>
      <c r="H10" s="124">
        <f t="shared" si="1"/>
        <v>2606861</v>
      </c>
      <c r="I10" s="124">
        <f t="shared" si="1"/>
        <v>2473702</v>
      </c>
      <c r="J10" s="124">
        <f t="shared" si="1"/>
        <v>2660998</v>
      </c>
      <c r="K10" s="124">
        <f t="shared" si="1"/>
        <v>2914470</v>
      </c>
      <c r="L10" s="124">
        <f t="shared" si="1"/>
        <v>2914470</v>
      </c>
      <c r="M10" s="124">
        <f t="shared" si="1"/>
        <v>2857688</v>
      </c>
      <c r="N10" s="124">
        <f t="shared" si="1"/>
        <v>2698879</v>
      </c>
      <c r="O10" s="124">
        <f t="shared" si="1"/>
        <v>2647685</v>
      </c>
      <c r="P10" s="124">
        <f>SUM(P11:P12)</f>
        <v>2796375</v>
      </c>
      <c r="Q10" s="124">
        <f t="shared" si="1"/>
        <v>2796375</v>
      </c>
      <c r="R10" s="124">
        <f t="shared" ref="R10:AI10" si="2">SUM(R11:R12)</f>
        <v>2919811</v>
      </c>
      <c r="S10" s="124">
        <f t="shared" si="2"/>
        <v>2865858</v>
      </c>
      <c r="T10" s="124">
        <f t="shared" si="2"/>
        <v>3060268</v>
      </c>
      <c r="U10" s="124">
        <f t="shared" si="2"/>
        <v>3292694</v>
      </c>
      <c r="V10" s="124">
        <f t="shared" si="2"/>
        <v>3292694</v>
      </c>
      <c r="W10" s="124">
        <f t="shared" si="2"/>
        <v>3328872</v>
      </c>
      <c r="X10" s="124">
        <f t="shared" si="2"/>
        <v>3051031</v>
      </c>
      <c r="Y10" s="124">
        <f t="shared" si="2"/>
        <v>3231508</v>
      </c>
      <c r="Z10" s="124">
        <f t="shared" si="2"/>
        <v>3861981</v>
      </c>
      <c r="AA10" s="124">
        <f t="shared" si="2"/>
        <v>3861981</v>
      </c>
      <c r="AB10" s="124">
        <f t="shared" si="2"/>
        <v>3588845</v>
      </c>
      <c r="AC10" s="124">
        <f t="shared" si="2"/>
        <v>3656014</v>
      </c>
      <c r="AD10" s="124">
        <f t="shared" si="2"/>
        <v>3500996</v>
      </c>
      <c r="AE10" s="124">
        <f t="shared" si="2"/>
        <v>3547535</v>
      </c>
      <c r="AF10" s="124">
        <f t="shared" si="2"/>
        <v>3547535</v>
      </c>
      <c r="AG10" s="124">
        <f t="shared" si="2"/>
        <v>3450028</v>
      </c>
      <c r="AH10" s="124">
        <f t="shared" si="2"/>
        <v>3134211</v>
      </c>
      <c r="AI10" s="124">
        <f t="shared" si="2"/>
        <v>3150463</v>
      </c>
      <c r="AJ10" s="124">
        <f t="shared" ref="AJ10:AQ10" si="3">SUM(AJ11:AJ12)</f>
        <v>3212996</v>
      </c>
      <c r="AK10" s="124">
        <f t="shared" si="3"/>
        <v>3212996</v>
      </c>
      <c r="AL10" s="124">
        <f t="shared" si="3"/>
        <v>3081656</v>
      </c>
      <c r="AM10" s="124">
        <f t="shared" si="3"/>
        <v>2966353</v>
      </c>
      <c r="AN10" s="124">
        <f t="shared" si="3"/>
        <v>2964672</v>
      </c>
      <c r="AO10" s="124">
        <v>3012424</v>
      </c>
      <c r="AP10" s="124">
        <f t="shared" si="3"/>
        <v>3012424</v>
      </c>
      <c r="AQ10" s="124">
        <f t="shared" si="3"/>
        <v>2950929</v>
      </c>
      <c r="AR10" s="124">
        <f t="shared" ref="AR10:BI10" si="4">SUM(AR11:AR12)</f>
        <v>2747383</v>
      </c>
      <c r="AS10" s="124">
        <f t="shared" si="4"/>
        <v>2778795.0733789126</v>
      </c>
      <c r="AT10" s="124">
        <f t="shared" si="4"/>
        <v>2866085</v>
      </c>
      <c r="AU10" s="124">
        <f t="shared" si="4"/>
        <v>2866085</v>
      </c>
      <c r="AV10" s="124">
        <f t="shared" si="4"/>
        <v>2738597</v>
      </c>
      <c r="AW10" s="124">
        <f t="shared" si="4"/>
        <v>2586044</v>
      </c>
      <c r="AX10" s="124">
        <f t="shared" si="4"/>
        <v>2609924</v>
      </c>
      <c r="AY10" s="124">
        <f t="shared" si="4"/>
        <v>2695918.1191398702</v>
      </c>
      <c r="AZ10" s="238">
        <f t="shared" si="4"/>
        <v>2695918.1191398702</v>
      </c>
      <c r="BA10" s="238">
        <f t="shared" si="4"/>
        <v>2613309</v>
      </c>
      <c r="BB10" s="238">
        <f t="shared" si="4"/>
        <v>2505537</v>
      </c>
      <c r="BC10" s="238">
        <f t="shared" si="4"/>
        <v>2563283</v>
      </c>
      <c r="BD10" s="238">
        <f t="shared" si="4"/>
        <v>2673223.1191398702</v>
      </c>
      <c r="BE10" s="238">
        <f t="shared" si="4"/>
        <v>2673223.1191398702</v>
      </c>
      <c r="BF10" s="124">
        <f t="shared" si="4"/>
        <v>2638757.3333333335</v>
      </c>
      <c r="BG10" s="124">
        <f t="shared" si="4"/>
        <v>2289342</v>
      </c>
      <c r="BH10" s="124">
        <f t="shared" si="4"/>
        <v>1734698</v>
      </c>
      <c r="BI10" s="124">
        <f t="shared" si="4"/>
        <v>1854027</v>
      </c>
      <c r="BJ10" s="124">
        <v>1854027</v>
      </c>
      <c r="BK10" s="124">
        <f t="shared" ref="BK10:BO10" si="5">SUM(BK11:BK12)</f>
        <v>1324662</v>
      </c>
      <c r="BL10" s="124">
        <f t="shared" si="5"/>
        <v>2946481</v>
      </c>
      <c r="BM10" s="124">
        <f t="shared" si="5"/>
        <v>3085974</v>
      </c>
      <c r="BN10" s="124">
        <f t="shared" si="5"/>
        <v>3105564</v>
      </c>
      <c r="BO10" s="124">
        <f t="shared" si="5"/>
        <v>3105564</v>
      </c>
      <c r="BP10" s="124">
        <v>2946200</v>
      </c>
      <c r="BQ10" s="124">
        <f t="shared" ref="BQ10:BW10" si="6">SUM(BQ11,BQ12)</f>
        <v>2931524</v>
      </c>
      <c r="BR10" s="124">
        <f t="shared" si="6"/>
        <v>2887372</v>
      </c>
      <c r="BS10" s="124">
        <f t="shared" si="6"/>
        <v>2779250.333333333</v>
      </c>
      <c r="BT10" s="124">
        <f t="shared" si="6"/>
        <v>2779250.333333333</v>
      </c>
      <c r="BU10" s="238">
        <f t="shared" si="6"/>
        <v>1799977</v>
      </c>
      <c r="BV10" s="238">
        <f t="shared" si="6"/>
        <v>1709816</v>
      </c>
      <c r="BW10" s="238">
        <f t="shared" si="6"/>
        <v>1585074</v>
      </c>
    </row>
    <row r="11" spans="2:157" x14ac:dyDescent="0.35">
      <c r="B11" s="72" t="s">
        <v>2</v>
      </c>
      <c r="C11" s="123">
        <v>2262005</v>
      </c>
      <c r="D11" s="123">
        <v>1998417</v>
      </c>
      <c r="E11" s="123">
        <v>2101764</v>
      </c>
      <c r="F11" s="123">
        <v>2335730</v>
      </c>
      <c r="G11" s="124">
        <f>F11</f>
        <v>2335730</v>
      </c>
      <c r="H11" s="123">
        <v>2252359</v>
      </c>
      <c r="I11" s="123">
        <v>2064710</v>
      </c>
      <c r="J11" s="123">
        <v>2183904</v>
      </c>
      <c r="K11" s="123">
        <v>2374961</v>
      </c>
      <c r="L11" s="124">
        <f>K11</f>
        <v>2374961</v>
      </c>
      <c r="M11" s="123">
        <v>2323209</v>
      </c>
      <c r="N11" s="123">
        <v>2121311</v>
      </c>
      <c r="O11" s="123">
        <v>2051281</v>
      </c>
      <c r="P11" s="123">
        <v>2179349</v>
      </c>
      <c r="Q11" s="124">
        <f>P11</f>
        <v>2179349</v>
      </c>
      <c r="R11" s="123">
        <v>2273651</v>
      </c>
      <c r="S11" s="123">
        <v>2211157</v>
      </c>
      <c r="T11" s="123">
        <v>2391159</v>
      </c>
      <c r="U11" s="123">
        <v>2562123</v>
      </c>
      <c r="V11" s="124">
        <v>2562123</v>
      </c>
      <c r="W11" s="123">
        <v>2590685</v>
      </c>
      <c r="X11" s="123">
        <v>2295059</v>
      </c>
      <c r="Y11" s="123">
        <v>2428690</v>
      </c>
      <c r="Z11" s="123">
        <v>3010438</v>
      </c>
      <c r="AA11" s="124">
        <v>3010438</v>
      </c>
      <c r="AB11" s="123">
        <v>2709504</v>
      </c>
      <c r="AC11" s="123">
        <v>2762474</v>
      </c>
      <c r="AD11" s="123">
        <v>2569862</v>
      </c>
      <c r="AE11" s="123">
        <v>2569154</v>
      </c>
      <c r="AF11" s="124">
        <v>2569154</v>
      </c>
      <c r="AG11" s="123">
        <v>2459423</v>
      </c>
      <c r="AH11" s="123">
        <v>2122694</v>
      </c>
      <c r="AI11" s="123">
        <v>2141948</v>
      </c>
      <c r="AJ11" s="123">
        <v>2213789</v>
      </c>
      <c r="AK11" s="124">
        <v>2213789</v>
      </c>
      <c r="AL11" s="123">
        <v>2105236</v>
      </c>
      <c r="AM11" s="123">
        <v>2002752</v>
      </c>
      <c r="AN11" s="123">
        <v>2042028</v>
      </c>
      <c r="AO11" s="123">
        <v>2091574</v>
      </c>
      <c r="AP11" s="124">
        <v>2091574</v>
      </c>
      <c r="AQ11" s="123">
        <v>2041608</v>
      </c>
      <c r="AR11" s="123">
        <v>1850193</v>
      </c>
      <c r="AS11" s="123">
        <v>1905822</v>
      </c>
      <c r="AT11" s="123">
        <v>1975330</v>
      </c>
      <c r="AU11" s="124">
        <v>1975330</v>
      </c>
      <c r="AV11" s="123">
        <v>1818646</v>
      </c>
      <c r="AW11" s="123">
        <v>1655926</v>
      </c>
      <c r="AX11" s="123">
        <v>1675585</v>
      </c>
      <c r="AY11" s="123">
        <v>1713963</v>
      </c>
      <c r="AZ11" s="238">
        <v>1713963</v>
      </c>
      <c r="BA11" s="220">
        <v>1631801</v>
      </c>
      <c r="BB11" s="220">
        <v>1526828</v>
      </c>
      <c r="BC11" s="220">
        <v>1584967</v>
      </c>
      <c r="BD11" s="220">
        <v>1691268</v>
      </c>
      <c r="BE11" s="238">
        <f>BD11</f>
        <v>1691268</v>
      </c>
      <c r="BF11" s="123">
        <v>1640574.6666666667</v>
      </c>
      <c r="BG11" s="123">
        <v>1368777</v>
      </c>
      <c r="BH11" s="123">
        <v>855878</v>
      </c>
      <c r="BI11" s="123">
        <v>982259</v>
      </c>
      <c r="BJ11" s="124">
        <v>982259</v>
      </c>
      <c r="BK11" s="123">
        <v>1324662</v>
      </c>
      <c r="BL11" s="220">
        <v>2069498.9999999998</v>
      </c>
      <c r="BM11" s="220">
        <v>2191718</v>
      </c>
      <c r="BN11" s="123">
        <v>2191718</v>
      </c>
      <c r="BO11" s="124">
        <f>BN11</f>
        <v>2191718</v>
      </c>
      <c r="BP11" s="123">
        <v>2045085</v>
      </c>
      <c r="BQ11" s="123">
        <v>2047232</v>
      </c>
      <c r="BR11" s="123">
        <v>2046626</v>
      </c>
      <c r="BS11" s="123">
        <v>1914347</v>
      </c>
      <c r="BT11" s="124">
        <v>1914347</v>
      </c>
      <c r="BU11" s="220">
        <v>1799977</v>
      </c>
      <c r="BV11" s="220">
        <v>1709816</v>
      </c>
      <c r="BW11" s="220">
        <v>1585074</v>
      </c>
    </row>
    <row r="12" spans="2:157" x14ac:dyDescent="0.35">
      <c r="B12" s="94" t="s">
        <v>3</v>
      </c>
      <c r="C12" s="127">
        <v>264424</v>
      </c>
      <c r="D12" s="127">
        <v>415551</v>
      </c>
      <c r="E12" s="127">
        <v>584522</v>
      </c>
      <c r="F12" s="127">
        <v>629763</v>
      </c>
      <c r="G12" s="128">
        <f>F12</f>
        <v>629763</v>
      </c>
      <c r="H12" s="127">
        <v>354502</v>
      </c>
      <c r="I12" s="123">
        <v>408992</v>
      </c>
      <c r="J12" s="123">
        <v>477094</v>
      </c>
      <c r="K12" s="123">
        <v>539509</v>
      </c>
      <c r="L12" s="129">
        <f>K12</f>
        <v>539509</v>
      </c>
      <c r="M12" s="123">
        <v>534479</v>
      </c>
      <c r="N12" s="123">
        <v>577568</v>
      </c>
      <c r="O12" s="123">
        <v>596404</v>
      </c>
      <c r="P12" s="123">
        <v>617026</v>
      </c>
      <c r="Q12" s="129">
        <f>P12</f>
        <v>617026</v>
      </c>
      <c r="R12" s="123">
        <v>646160</v>
      </c>
      <c r="S12" s="123">
        <v>654701</v>
      </c>
      <c r="T12" s="123">
        <v>669109</v>
      </c>
      <c r="U12" s="123">
        <v>730571</v>
      </c>
      <c r="V12" s="129">
        <v>730571</v>
      </c>
      <c r="W12" s="123">
        <v>738187</v>
      </c>
      <c r="X12" s="123">
        <v>755972</v>
      </c>
      <c r="Y12" s="123">
        <v>802818</v>
      </c>
      <c r="Z12" s="123">
        <v>851543</v>
      </c>
      <c r="AA12" s="124">
        <v>851543</v>
      </c>
      <c r="AB12" s="123">
        <v>879341</v>
      </c>
      <c r="AC12" s="123">
        <v>893540</v>
      </c>
      <c r="AD12" s="123">
        <v>931134</v>
      </c>
      <c r="AE12" s="123">
        <v>978381</v>
      </c>
      <c r="AF12" s="124">
        <v>978381</v>
      </c>
      <c r="AG12" s="123">
        <v>990605</v>
      </c>
      <c r="AH12" s="123">
        <v>1011517</v>
      </c>
      <c r="AI12" s="123">
        <v>1008515</v>
      </c>
      <c r="AJ12" s="123">
        <v>999207</v>
      </c>
      <c r="AK12" s="124">
        <v>999207</v>
      </c>
      <c r="AL12" s="123">
        <v>976420</v>
      </c>
      <c r="AM12" s="123">
        <v>963601</v>
      </c>
      <c r="AN12" s="123">
        <v>922644</v>
      </c>
      <c r="AO12" s="123">
        <v>920850</v>
      </c>
      <c r="AP12" s="124">
        <v>920850</v>
      </c>
      <c r="AQ12" s="123">
        <v>909321</v>
      </c>
      <c r="AR12" s="123">
        <v>897190</v>
      </c>
      <c r="AS12" s="123">
        <v>872973.07337891276</v>
      </c>
      <c r="AT12" s="123">
        <v>890755</v>
      </c>
      <c r="AU12" s="124">
        <v>890755</v>
      </c>
      <c r="AV12" s="123">
        <v>919951</v>
      </c>
      <c r="AW12" s="123">
        <v>930118</v>
      </c>
      <c r="AX12" s="123">
        <v>934339</v>
      </c>
      <c r="AY12" s="123">
        <v>981955.11913987005</v>
      </c>
      <c r="AZ12" s="238">
        <v>981955.11913987005</v>
      </c>
      <c r="BA12" s="220">
        <v>981508</v>
      </c>
      <c r="BB12" s="220">
        <v>978709</v>
      </c>
      <c r="BC12" s="220">
        <v>978316</v>
      </c>
      <c r="BD12" s="220">
        <v>981955.11913987005</v>
      </c>
      <c r="BE12" s="238">
        <f>BD12</f>
        <v>981955.11913987005</v>
      </c>
      <c r="BF12" s="123">
        <v>998182.66666666663</v>
      </c>
      <c r="BG12" s="123">
        <v>920565</v>
      </c>
      <c r="BH12" s="123">
        <v>878820</v>
      </c>
      <c r="BI12" s="123">
        <v>871768</v>
      </c>
      <c r="BJ12" s="124">
        <v>871768</v>
      </c>
      <c r="BK12" s="123" t="s">
        <v>32</v>
      </c>
      <c r="BL12" s="220">
        <v>876982</v>
      </c>
      <c r="BM12" s="220">
        <v>894256</v>
      </c>
      <c r="BN12" s="123">
        <v>913846</v>
      </c>
      <c r="BO12" s="124">
        <f>BN12</f>
        <v>913846</v>
      </c>
      <c r="BP12" s="220">
        <v>901115.00000000012</v>
      </c>
      <c r="BQ12" s="220">
        <v>884292</v>
      </c>
      <c r="BR12" s="220">
        <v>840746</v>
      </c>
      <c r="BS12" s="220">
        <v>864903.33333333326</v>
      </c>
      <c r="BT12" s="124">
        <v>864903.33333333326</v>
      </c>
      <c r="BU12" s="220">
        <v>0</v>
      </c>
      <c r="BV12" s="220">
        <v>0</v>
      </c>
      <c r="BW12" s="220">
        <v>0</v>
      </c>
    </row>
    <row r="13" spans="2:157" x14ac:dyDescent="0.35">
      <c r="B13" s="72"/>
      <c r="C13" s="27"/>
      <c r="D13" s="27"/>
      <c r="E13" s="27"/>
      <c r="F13" s="27"/>
      <c r="G13" s="126"/>
      <c r="H13" s="27"/>
      <c r="I13" s="27"/>
      <c r="J13" s="27"/>
      <c r="K13" s="27"/>
      <c r="L13" s="126"/>
      <c r="M13" s="27"/>
      <c r="N13" s="27"/>
      <c r="O13" s="27"/>
      <c r="P13" s="27"/>
      <c r="Q13" s="1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</row>
    <row r="14" spans="2:157" x14ac:dyDescent="0.35">
      <c r="B14" s="119" t="str">
        <f>IF('Índice - Index'!$D$14="Português","Meios de Pagamento","Means of payment")</f>
        <v>Meios de Pagamento</v>
      </c>
      <c r="C14" s="117">
        <f t="shared" ref="C14:AH14" si="7">SUM(C15:C19)</f>
        <v>0.99999900000000008</v>
      </c>
      <c r="D14" s="117">
        <f t="shared" si="7"/>
        <v>0.99999899999999997</v>
      </c>
      <c r="E14" s="117">
        <f t="shared" si="7"/>
        <v>1</v>
      </c>
      <c r="F14" s="117">
        <f t="shared" si="7"/>
        <v>1</v>
      </c>
      <c r="G14" s="117">
        <f t="shared" si="7"/>
        <v>1</v>
      </c>
      <c r="H14" s="117">
        <f t="shared" si="7"/>
        <v>1</v>
      </c>
      <c r="I14" s="117">
        <f t="shared" si="7"/>
        <v>1</v>
      </c>
      <c r="J14" s="117">
        <f t="shared" si="7"/>
        <v>1</v>
      </c>
      <c r="K14" s="117">
        <f t="shared" si="7"/>
        <v>0.99999999999999989</v>
      </c>
      <c r="L14" s="117">
        <f t="shared" si="7"/>
        <v>0.99999900000000008</v>
      </c>
      <c r="M14" s="117">
        <f t="shared" si="7"/>
        <v>1</v>
      </c>
      <c r="N14" s="117">
        <f t="shared" si="7"/>
        <v>1.0000009999999999</v>
      </c>
      <c r="O14" s="117">
        <f t="shared" si="7"/>
        <v>1.0000010000000001</v>
      </c>
      <c r="P14" s="117">
        <f t="shared" si="7"/>
        <v>1</v>
      </c>
      <c r="Q14" s="117">
        <f t="shared" si="7"/>
        <v>0.99999899999999997</v>
      </c>
      <c r="R14" s="117">
        <f>SUM(R15:R19)</f>
        <v>1</v>
      </c>
      <c r="S14" s="117">
        <f t="shared" si="7"/>
        <v>1</v>
      </c>
      <c r="T14" s="117">
        <f t="shared" si="7"/>
        <v>1</v>
      </c>
      <c r="U14" s="117">
        <f t="shared" si="7"/>
        <v>1</v>
      </c>
      <c r="V14" s="117">
        <f t="shared" si="7"/>
        <v>1</v>
      </c>
      <c r="W14" s="117">
        <f t="shared" si="7"/>
        <v>1.0002500000000001</v>
      </c>
      <c r="X14" s="117">
        <f t="shared" si="7"/>
        <v>0.99999900000000008</v>
      </c>
      <c r="Y14" s="117">
        <f t="shared" si="7"/>
        <v>0.9999880000000001</v>
      </c>
      <c r="Z14" s="117">
        <f t="shared" si="7"/>
        <v>1</v>
      </c>
      <c r="AA14" s="117">
        <f t="shared" si="7"/>
        <v>1</v>
      </c>
      <c r="AB14" s="117">
        <f t="shared" si="7"/>
        <v>1</v>
      </c>
      <c r="AC14" s="117">
        <f t="shared" si="7"/>
        <v>1</v>
      </c>
      <c r="AD14" s="117">
        <f t="shared" si="7"/>
        <v>1</v>
      </c>
      <c r="AE14" s="117">
        <f t="shared" si="7"/>
        <v>1</v>
      </c>
      <c r="AF14" s="117">
        <f t="shared" si="7"/>
        <v>1</v>
      </c>
      <c r="AG14" s="117">
        <f t="shared" si="7"/>
        <v>1</v>
      </c>
      <c r="AH14" s="117">
        <f t="shared" si="7"/>
        <v>0.99999900000000008</v>
      </c>
      <c r="AI14" s="117">
        <f t="shared" ref="AI14:AQ14" si="8">SUM(AI15:AI19)</f>
        <v>1</v>
      </c>
      <c r="AJ14" s="117">
        <f t="shared" si="8"/>
        <v>1</v>
      </c>
      <c r="AK14" s="117">
        <f t="shared" si="8"/>
        <v>1</v>
      </c>
      <c r="AL14" s="117">
        <f t="shared" si="8"/>
        <v>1</v>
      </c>
      <c r="AM14" s="117">
        <f t="shared" si="8"/>
        <v>1</v>
      </c>
      <c r="AN14" s="117">
        <f t="shared" si="8"/>
        <v>1</v>
      </c>
      <c r="AO14" s="117">
        <f t="shared" si="8"/>
        <v>1</v>
      </c>
      <c r="AP14" s="117">
        <f t="shared" si="8"/>
        <v>1</v>
      </c>
      <c r="AQ14" s="117">
        <f t="shared" si="8"/>
        <v>1</v>
      </c>
      <c r="AR14" s="117">
        <f t="shared" ref="AR14:BK14" si="9">SUM(AR15:AR19)</f>
        <v>1</v>
      </c>
      <c r="AS14" s="117">
        <f t="shared" si="9"/>
        <v>1</v>
      </c>
      <c r="AT14" s="117">
        <f t="shared" si="9"/>
        <v>0.99966617847780403</v>
      </c>
      <c r="AU14" s="117">
        <f t="shared" si="9"/>
        <v>1</v>
      </c>
      <c r="AV14" s="117">
        <f t="shared" si="9"/>
        <v>1.0000000000000004</v>
      </c>
      <c r="AW14" s="180">
        <f t="shared" si="9"/>
        <v>1</v>
      </c>
      <c r="AX14" s="180">
        <f t="shared" si="9"/>
        <v>1.0000000000000002</v>
      </c>
      <c r="AY14" s="180">
        <f t="shared" si="9"/>
        <v>1</v>
      </c>
      <c r="AZ14" s="117">
        <f t="shared" si="9"/>
        <v>1</v>
      </c>
      <c r="BA14" s="180">
        <f t="shared" si="9"/>
        <v>1.0000000000000002</v>
      </c>
      <c r="BB14" s="180">
        <f t="shared" si="9"/>
        <v>1</v>
      </c>
      <c r="BC14" s="180">
        <f t="shared" si="9"/>
        <v>1</v>
      </c>
      <c r="BD14" s="180">
        <f t="shared" si="9"/>
        <v>1</v>
      </c>
      <c r="BE14" s="180">
        <f t="shared" si="9"/>
        <v>0.99999999999999989</v>
      </c>
      <c r="BF14" s="180">
        <f t="shared" si="9"/>
        <v>0.99999999999999989</v>
      </c>
      <c r="BG14" s="180">
        <f t="shared" si="9"/>
        <v>0.99999999999999989</v>
      </c>
      <c r="BH14" s="180">
        <f t="shared" si="9"/>
        <v>0.99999999999999989</v>
      </c>
      <c r="BI14" s="180">
        <f t="shared" si="9"/>
        <v>1</v>
      </c>
      <c r="BJ14" s="226">
        <f t="shared" si="9"/>
        <v>0.99999999999999989</v>
      </c>
      <c r="BK14" s="180">
        <f t="shared" si="9"/>
        <v>0.99999999999999989</v>
      </c>
      <c r="BL14" s="180">
        <v>1</v>
      </c>
      <c r="BM14" s="180">
        <f>SUM(BM15:BM19)</f>
        <v>0.99951652126889168</v>
      </c>
      <c r="BN14" s="223">
        <f t="shared" ref="BN14:BO14" si="10">SUM(BN15:BN19)</f>
        <v>0.9999848561399638</v>
      </c>
      <c r="BO14" s="234">
        <f t="shared" si="10"/>
        <v>1.0001260929059461</v>
      </c>
      <c r="BP14" s="223">
        <f t="shared" ref="BP14:BQ14" si="11">SUM(BP15:BP20)</f>
        <v>1</v>
      </c>
      <c r="BQ14" s="223">
        <f t="shared" si="11"/>
        <v>1</v>
      </c>
      <c r="BR14" s="223">
        <f t="shared" ref="BR14:BW14" si="12">SUM(BR15:BR20)</f>
        <v>1.0000000000000002</v>
      </c>
      <c r="BS14" s="223">
        <f t="shared" si="12"/>
        <v>1</v>
      </c>
      <c r="BT14" s="234">
        <f t="shared" si="12"/>
        <v>0.99999999999999989</v>
      </c>
      <c r="BU14" s="223">
        <f t="shared" si="12"/>
        <v>1.0000000000000002</v>
      </c>
      <c r="BV14" s="223">
        <f t="shared" si="12"/>
        <v>1</v>
      </c>
      <c r="BW14" s="223">
        <f t="shared" si="12"/>
        <v>1</v>
      </c>
    </row>
    <row r="15" spans="2:157" x14ac:dyDescent="0.35">
      <c r="B15" s="72" t="s">
        <v>2</v>
      </c>
      <c r="C15" s="117">
        <v>0.50094000000000005</v>
      </c>
      <c r="D15" s="117">
        <v>0.51341199999999998</v>
      </c>
      <c r="E15" s="117">
        <v>0.50178400000000001</v>
      </c>
      <c r="F15" s="117">
        <v>0.53063199999999999</v>
      </c>
      <c r="G15" s="130">
        <v>0.51482499999999998</v>
      </c>
      <c r="H15" s="117">
        <v>0.48093999999999998</v>
      </c>
      <c r="I15" s="117">
        <v>0.49499300000000002</v>
      </c>
      <c r="J15" s="117">
        <v>0.47203299999999998</v>
      </c>
      <c r="K15" s="117">
        <v>0.45571099999999998</v>
      </c>
      <c r="L15" s="130">
        <v>0.47343400000000002</v>
      </c>
      <c r="M15" s="117">
        <v>0.418157</v>
      </c>
      <c r="N15" s="117">
        <v>0.445407</v>
      </c>
      <c r="O15" s="117">
        <v>0.42473699999999998</v>
      </c>
      <c r="P15" s="117">
        <v>0.412499</v>
      </c>
      <c r="Q15" s="130">
        <v>0.42476900000000001</v>
      </c>
      <c r="R15" s="117">
        <v>0.40639999999999998</v>
      </c>
      <c r="S15" s="117">
        <v>0.450214</v>
      </c>
      <c r="T15" s="117">
        <v>0.435946</v>
      </c>
      <c r="U15" s="117">
        <v>0.42133500000000002</v>
      </c>
      <c r="V15" s="118">
        <v>0.42947200000000002</v>
      </c>
      <c r="W15" s="117">
        <v>0.40400000000000003</v>
      </c>
      <c r="X15" s="117">
        <v>0.42794700000000002</v>
      </c>
      <c r="Y15" s="117">
        <v>0.41788199999999998</v>
      </c>
      <c r="Z15" s="117">
        <v>0.458785</v>
      </c>
      <c r="AA15" s="118">
        <v>0.43166199999999999</v>
      </c>
      <c r="AB15" s="117">
        <v>0.40425</v>
      </c>
      <c r="AC15" s="117">
        <v>0.43057099999999998</v>
      </c>
      <c r="AD15" s="117">
        <v>0.40901599999999999</v>
      </c>
      <c r="AE15" s="117">
        <v>0.40785500000000002</v>
      </c>
      <c r="AF15" s="118">
        <v>0.41299400000000003</v>
      </c>
      <c r="AG15" s="117">
        <v>0.36036699999999999</v>
      </c>
      <c r="AH15" s="117">
        <v>0.376272</v>
      </c>
      <c r="AI15" s="117">
        <v>0.36884</v>
      </c>
      <c r="AJ15" s="117">
        <v>0.36199999999999999</v>
      </c>
      <c r="AK15" s="118">
        <v>0.36605599999999999</v>
      </c>
      <c r="AL15" s="117">
        <v>0.37863200000000002</v>
      </c>
      <c r="AM15" s="117">
        <v>0.40342299999999998</v>
      </c>
      <c r="AN15" s="117">
        <v>0.41835899999999998</v>
      </c>
      <c r="AO15" s="117">
        <v>0.42124099999999998</v>
      </c>
      <c r="AP15" s="118">
        <v>0.40665699999999999</v>
      </c>
      <c r="AQ15" s="117">
        <v>0.39500000000000002</v>
      </c>
      <c r="AR15" s="117">
        <v>0.41207100000000002</v>
      </c>
      <c r="AS15" s="117">
        <v>0.39639716862124574</v>
      </c>
      <c r="AT15" s="117">
        <v>0.38400000000000001</v>
      </c>
      <c r="AU15" s="118">
        <v>0.39675461956288144</v>
      </c>
      <c r="AV15" s="117">
        <v>0.36822733149280784</v>
      </c>
      <c r="AW15" s="117">
        <v>0.39553863126023481</v>
      </c>
      <c r="AX15" s="117">
        <v>0.36204780907661172</v>
      </c>
      <c r="AY15" s="117">
        <v>0.36491562962553836</v>
      </c>
      <c r="AZ15" s="118">
        <v>0.37227542051643336</v>
      </c>
      <c r="BA15" s="117">
        <v>0.34725687429115426</v>
      </c>
      <c r="BB15" s="117">
        <v>0.38203239004960615</v>
      </c>
      <c r="BC15" s="117">
        <v>0.36032264742315501</v>
      </c>
      <c r="BD15" s="117">
        <v>0.36290750092711688</v>
      </c>
      <c r="BE15" s="118">
        <v>0.36361834707875229</v>
      </c>
      <c r="BF15" s="117">
        <v>0.34197299059714831</v>
      </c>
      <c r="BG15" s="117">
        <v>0.30817880729816399</v>
      </c>
      <c r="BH15" s="117">
        <v>0.33959652884300251</v>
      </c>
      <c r="BI15" s="117">
        <v>0.34363120785475054</v>
      </c>
      <c r="BJ15" s="118">
        <v>0.33891517496457474</v>
      </c>
      <c r="BK15" s="117">
        <v>0.35666150334818858</v>
      </c>
      <c r="BL15" s="117">
        <v>0.36899999999999999</v>
      </c>
      <c r="BM15" s="117">
        <v>0.35708082693754878</v>
      </c>
      <c r="BN15" s="223">
        <v>0.34499999999999997</v>
      </c>
      <c r="BO15" s="234">
        <v>0.35583301138321716</v>
      </c>
      <c r="BP15" s="223">
        <v>0.34165349931577105</v>
      </c>
      <c r="BQ15" s="223">
        <v>0.33475653333857291</v>
      </c>
      <c r="BR15" s="223">
        <v>0.319400859666017</v>
      </c>
      <c r="BS15" s="223">
        <v>0.31330000000000002</v>
      </c>
      <c r="BT15" s="234">
        <v>0.32300527602947404</v>
      </c>
      <c r="BU15" s="223">
        <v>0.28660000000000002</v>
      </c>
      <c r="BV15" s="223">
        <v>0.2636</v>
      </c>
      <c r="BW15" s="223">
        <v>0.22395082482117346</v>
      </c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</row>
    <row r="16" spans="2:157" x14ac:dyDescent="0.35">
      <c r="B16" s="72" t="s">
        <v>3</v>
      </c>
      <c r="C16" s="117">
        <v>4.3969999999999999E-3</v>
      </c>
      <c r="D16" s="117">
        <v>2.5437999999999999E-2</v>
      </c>
      <c r="E16" s="117">
        <v>3.5986999999999998E-2</v>
      </c>
      <c r="F16" s="117">
        <v>3.5192000000000001E-2</v>
      </c>
      <c r="G16" s="130">
        <v>2.7822E-2</v>
      </c>
      <c r="H16" s="117">
        <v>3.5164000000000001E-2</v>
      </c>
      <c r="I16" s="117">
        <v>3.8279000000000001E-2</v>
      </c>
      <c r="J16" s="117">
        <v>4.0197999999999998E-2</v>
      </c>
      <c r="K16" s="117">
        <v>4.1770000000000002E-2</v>
      </c>
      <c r="L16" s="130">
        <v>3.9369000000000001E-2</v>
      </c>
      <c r="M16" s="117">
        <v>4.0516999999999997E-2</v>
      </c>
      <c r="N16" s="117">
        <v>4.3608000000000001E-2</v>
      </c>
      <c r="O16" s="117">
        <v>4.6206999999999998E-2</v>
      </c>
      <c r="P16" s="117">
        <v>4.1174000000000002E-2</v>
      </c>
      <c r="Q16" s="130">
        <v>4.2875999999999997E-2</v>
      </c>
      <c r="R16" s="117">
        <v>3.5000000000000003E-2</v>
      </c>
      <c r="S16" s="117">
        <v>3.9999E-2</v>
      </c>
      <c r="T16" s="117">
        <v>4.0271000000000001E-2</v>
      </c>
      <c r="U16" s="117">
        <v>3.9272000000000001E-2</v>
      </c>
      <c r="V16" s="118">
        <v>3.977E-2</v>
      </c>
      <c r="W16" s="117">
        <v>3.8550000000000001E-2</v>
      </c>
      <c r="X16" s="117">
        <v>3.8536000000000001E-2</v>
      </c>
      <c r="Y16" s="117">
        <v>4.2305000000000002E-2</v>
      </c>
      <c r="Z16" s="117">
        <v>3.7456999999999997E-2</v>
      </c>
      <c r="AA16" s="118">
        <v>3.8426000000000002E-2</v>
      </c>
      <c r="AB16" s="117">
        <v>3.9523999999999997E-2</v>
      </c>
      <c r="AC16" s="117">
        <v>3.9448999999999998E-2</v>
      </c>
      <c r="AD16" s="117">
        <v>4.1090000000000002E-2</v>
      </c>
      <c r="AE16" s="117">
        <v>3.8758000000000001E-2</v>
      </c>
      <c r="AF16" s="118">
        <v>3.9611E-2</v>
      </c>
      <c r="AG16" s="117">
        <v>3.8988000000000002E-2</v>
      </c>
      <c r="AH16" s="117">
        <v>3.8887999999999999E-2</v>
      </c>
      <c r="AI16" s="117">
        <v>4.1938999999999997E-2</v>
      </c>
      <c r="AJ16" s="117">
        <v>3.8167E-2</v>
      </c>
      <c r="AK16" s="118">
        <v>3.8476000000000003E-2</v>
      </c>
      <c r="AL16" s="117">
        <v>3.9703000000000002E-2</v>
      </c>
      <c r="AM16" s="117">
        <v>3.8362E-2</v>
      </c>
      <c r="AN16" s="117">
        <v>3.6292999999999999E-2</v>
      </c>
      <c r="AO16" s="117">
        <v>3.3821999999999998E-2</v>
      </c>
      <c r="AP16" s="118">
        <v>3.6367999999999998E-2</v>
      </c>
      <c r="AQ16" s="117">
        <v>3.6999999999999998E-2</v>
      </c>
      <c r="AR16" s="117">
        <v>3.6150000000000002E-2</v>
      </c>
      <c r="AS16" s="117">
        <v>4.0362965956580336E-2</v>
      </c>
      <c r="AT16" s="117">
        <v>4.1582947763570244E-2</v>
      </c>
      <c r="AU16" s="118">
        <v>3.8578792602935223E-2</v>
      </c>
      <c r="AV16" s="117">
        <v>4.4248815193132847E-2</v>
      </c>
      <c r="AW16" s="117">
        <v>4.8224122733447367E-2</v>
      </c>
      <c r="AX16" s="117">
        <v>4.6671425709878082E-2</v>
      </c>
      <c r="AY16" s="117">
        <v>4.8242213456811643E-2</v>
      </c>
      <c r="AZ16" s="118">
        <v>4.7037019153865281E-2</v>
      </c>
      <c r="BA16" s="117">
        <v>5.0616614165965801E-2</v>
      </c>
      <c r="BB16" s="117">
        <v>5.2536482106170533E-2</v>
      </c>
      <c r="BC16" s="117">
        <v>5.411227077962634E-2</v>
      </c>
      <c r="BD16" s="117">
        <v>5.0795094782138943E-2</v>
      </c>
      <c r="BE16" s="118">
        <v>5.1971939484555738E-2</v>
      </c>
      <c r="BF16" s="117">
        <v>5.5480705041153114E-2</v>
      </c>
      <c r="BG16" s="117">
        <v>3.6739556521477999E-2</v>
      </c>
      <c r="BH16" s="117">
        <v>4.0696590723393752E-2</v>
      </c>
      <c r="BI16" s="117">
        <v>4.1876721125640705E-2</v>
      </c>
      <c r="BJ16" s="118">
        <v>4.4241024076725498E-2</v>
      </c>
      <c r="BK16" s="117">
        <v>4.7520438752830907E-2</v>
      </c>
      <c r="BL16" s="117">
        <v>4.7E-2</v>
      </c>
      <c r="BM16" s="117">
        <v>4.6211416670400379E-2</v>
      </c>
      <c r="BN16" s="223">
        <v>4.7E-2</v>
      </c>
      <c r="BO16" s="234">
        <v>4.566476030417347E-2</v>
      </c>
      <c r="BP16" s="223">
        <v>4.6932790322889328E-2</v>
      </c>
      <c r="BQ16" s="223">
        <v>4.6714531825759582E-2</v>
      </c>
      <c r="BR16" s="223">
        <v>4.6641539748844454E-2</v>
      </c>
      <c r="BS16" s="223">
        <v>4.2599999999999999E-2</v>
      </c>
      <c r="BT16" s="234">
        <v>4.5100000000000001E-2</v>
      </c>
      <c r="BU16" s="223">
        <v>3.8800000000000001E-2</v>
      </c>
      <c r="BV16" s="223">
        <v>2.7000000000000001E-3</v>
      </c>
      <c r="BW16" s="223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</row>
    <row r="17" spans="2:157" x14ac:dyDescent="0.35">
      <c r="B17" s="72" t="str">
        <f>IF('Índice - Index'!$D$14="Português","Crédito","Credit")</f>
        <v>Crédito</v>
      </c>
      <c r="C17" s="117">
        <v>0.17913299999999999</v>
      </c>
      <c r="D17" s="117">
        <v>0.189891</v>
      </c>
      <c r="E17" s="117">
        <v>0.17919499999999999</v>
      </c>
      <c r="F17" s="117">
        <v>0.151644</v>
      </c>
      <c r="G17" s="130">
        <v>0.17191200000000001</v>
      </c>
      <c r="H17" s="117">
        <v>0.176842</v>
      </c>
      <c r="I17" s="117">
        <v>0.18949199999999999</v>
      </c>
      <c r="J17" s="117">
        <v>0.19123999999999999</v>
      </c>
      <c r="K17" s="117">
        <v>0.18809000000000001</v>
      </c>
      <c r="L17" s="130">
        <v>0.18720300000000001</v>
      </c>
      <c r="M17" s="117">
        <v>0.21351999999999999</v>
      </c>
      <c r="N17" s="117">
        <v>0.22150500000000001</v>
      </c>
      <c r="O17" s="117">
        <v>0.21751200000000001</v>
      </c>
      <c r="P17" s="117">
        <v>0.200933</v>
      </c>
      <c r="Q17" s="130">
        <v>0.21232200000000001</v>
      </c>
      <c r="R17" s="117">
        <v>0.218698</v>
      </c>
      <c r="S17" s="117">
        <v>0.211039</v>
      </c>
      <c r="T17" s="117">
        <v>0.2195</v>
      </c>
      <c r="U17" s="117">
        <v>0.207736</v>
      </c>
      <c r="V17" s="118">
        <v>0.213315</v>
      </c>
      <c r="W17" s="117">
        <v>0.22</v>
      </c>
      <c r="X17" s="117">
        <v>0.23007900000000001</v>
      </c>
      <c r="Y17" s="117">
        <v>0.22284300000000001</v>
      </c>
      <c r="Z17" s="117">
        <v>0.195406</v>
      </c>
      <c r="AA17" s="118">
        <v>0.21512300000000001</v>
      </c>
      <c r="AB17" s="117">
        <v>0.22622100000000001</v>
      </c>
      <c r="AC17" s="117">
        <v>0.23278499999999999</v>
      </c>
      <c r="AD17" s="117">
        <v>0.227961</v>
      </c>
      <c r="AE17" s="117">
        <v>0.20569000000000001</v>
      </c>
      <c r="AF17" s="118">
        <v>0.221441</v>
      </c>
      <c r="AG17" s="117">
        <v>0.235212</v>
      </c>
      <c r="AH17" s="117">
        <v>0.24854999999999999</v>
      </c>
      <c r="AI17" s="117">
        <v>0.25091400000000003</v>
      </c>
      <c r="AJ17" s="117">
        <v>0.2417</v>
      </c>
      <c r="AK17" s="118">
        <v>0.24277799999999999</v>
      </c>
      <c r="AL17" s="117">
        <v>0.239866</v>
      </c>
      <c r="AM17" s="117">
        <v>0.25276300000000002</v>
      </c>
      <c r="AN17" s="117">
        <v>0.23447799999999999</v>
      </c>
      <c r="AO17" s="117">
        <v>0.21373400000000001</v>
      </c>
      <c r="AP17" s="118">
        <v>0.23449999999999999</v>
      </c>
      <c r="AQ17" s="117">
        <v>0.23300000000000001</v>
      </c>
      <c r="AR17" s="117">
        <v>0.24182899999999999</v>
      </c>
      <c r="AS17" s="117">
        <v>0.2500484404175573</v>
      </c>
      <c r="AT17" s="117">
        <v>0.2324042730760163</v>
      </c>
      <c r="AU17" s="118">
        <v>0.23941221389417944</v>
      </c>
      <c r="AV17" s="117">
        <v>0.25775450552412038</v>
      </c>
      <c r="AW17" s="117">
        <v>0.25940060730159947</v>
      </c>
      <c r="AX17" s="117">
        <v>0.26855493509510625</v>
      </c>
      <c r="AY17" s="117">
        <v>0.25265567874061617</v>
      </c>
      <c r="AZ17" s="118">
        <v>0.25922389060182438</v>
      </c>
      <c r="BA17" s="117">
        <v>0.27525908976614299</v>
      </c>
      <c r="BB17" s="117">
        <v>0.2709903020368018</v>
      </c>
      <c r="BC17" s="117">
        <v>0.27516320720357074</v>
      </c>
      <c r="BD17" s="117">
        <v>0.25279254499460607</v>
      </c>
      <c r="BE17" s="118">
        <v>0.26721500755272848</v>
      </c>
      <c r="BF17" s="117">
        <v>0.26846961610753833</v>
      </c>
      <c r="BG17" s="117">
        <v>0.36638032203613485</v>
      </c>
      <c r="BH17" s="117">
        <v>0.30445050931846029</v>
      </c>
      <c r="BI17" s="117">
        <v>0.26862872500388024</v>
      </c>
      <c r="BJ17" s="118">
        <v>0.2874812192102813</v>
      </c>
      <c r="BK17" s="117">
        <v>0.30036157442155942</v>
      </c>
      <c r="BL17" s="180">
        <v>0.31664769904896017</v>
      </c>
      <c r="BM17" s="223">
        <v>0.33</v>
      </c>
      <c r="BN17" s="223">
        <v>0.33800000000000002</v>
      </c>
      <c r="BO17" s="234">
        <v>0.32400000000000001</v>
      </c>
      <c r="BP17" s="223">
        <f t="shared" ref="BP17:BQ17" si="13">100%-BP15-BP16-BP18-BP19-BP20</f>
        <v>0.3209540154508273</v>
      </c>
      <c r="BQ17" s="223">
        <f t="shared" si="13"/>
        <v>0.32429514107921986</v>
      </c>
      <c r="BR17" s="223">
        <f t="shared" ref="BR17:BW17" si="14">100%-BR15-BR16-BR18-BR19-BR20</f>
        <v>0.35107908423056011</v>
      </c>
      <c r="BS17" s="223">
        <f t="shared" si="14"/>
        <v>0.31002706893113297</v>
      </c>
      <c r="BT17" s="234">
        <f t="shared" si="14"/>
        <v>0.34251549371549622</v>
      </c>
      <c r="BU17" s="223">
        <f t="shared" si="14"/>
        <v>0.38646824682761871</v>
      </c>
      <c r="BV17" s="223">
        <f t="shared" si="14"/>
        <v>0.44095885042261335</v>
      </c>
      <c r="BW17" s="223">
        <f t="shared" si="14"/>
        <v>0.398767259691305</v>
      </c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</row>
    <row r="18" spans="2:157" x14ac:dyDescent="0.35">
      <c r="B18" s="72" t="str">
        <f>IF('Índice - Index'!$D$14="Português","Débito","Debit")</f>
        <v>Débito</v>
      </c>
      <c r="C18" s="117">
        <v>0.120229</v>
      </c>
      <c r="D18" s="117">
        <v>0.108793</v>
      </c>
      <c r="E18" s="117">
        <v>0.10824300000000001</v>
      </c>
      <c r="F18" s="117">
        <v>0.106803</v>
      </c>
      <c r="G18" s="130">
        <v>0.109874</v>
      </c>
      <c r="H18" s="117">
        <v>0.120849</v>
      </c>
      <c r="I18" s="117">
        <v>0.11395</v>
      </c>
      <c r="J18" s="117">
        <v>0.118019</v>
      </c>
      <c r="K18" s="117">
        <v>0.125358</v>
      </c>
      <c r="L18" s="130">
        <v>0.120105</v>
      </c>
      <c r="M18" s="117">
        <v>0.13844699999999999</v>
      </c>
      <c r="N18" s="117">
        <v>0.124972</v>
      </c>
      <c r="O18" s="117">
        <v>0.134635</v>
      </c>
      <c r="P18" s="117">
        <v>0.14146600000000001</v>
      </c>
      <c r="Q18" s="130">
        <v>0.13512299999999999</v>
      </c>
      <c r="R18" s="117">
        <v>0.14655399999999999</v>
      </c>
      <c r="S18" s="117">
        <v>0.122472</v>
      </c>
      <c r="T18" s="117">
        <v>0.13244</v>
      </c>
      <c r="U18" s="117">
        <v>0.14221300000000001</v>
      </c>
      <c r="V18" s="118">
        <v>0.13569500000000001</v>
      </c>
      <c r="W18" s="117">
        <v>0.14199999999999999</v>
      </c>
      <c r="X18" s="117">
        <v>0.13539100000000001</v>
      </c>
      <c r="Y18" s="117">
        <v>0.142843</v>
      </c>
      <c r="Z18" s="117">
        <v>0.13660800000000001</v>
      </c>
      <c r="AA18" s="118">
        <v>0.140261</v>
      </c>
      <c r="AB18" s="117">
        <v>0.15345300000000001</v>
      </c>
      <c r="AC18" s="117">
        <v>0.138738</v>
      </c>
      <c r="AD18" s="117">
        <v>0.14577699999999999</v>
      </c>
      <c r="AE18" s="117">
        <v>0.15345900000000001</v>
      </c>
      <c r="AF18" s="118">
        <v>0.14807300000000001</v>
      </c>
      <c r="AG18" s="117">
        <v>0.16500000000000001</v>
      </c>
      <c r="AH18" s="117">
        <v>0.15119299999999999</v>
      </c>
      <c r="AI18" s="117">
        <v>0.15870100000000001</v>
      </c>
      <c r="AJ18" s="117">
        <v>0.16500000000000001</v>
      </c>
      <c r="AK18" s="118">
        <v>0.161134</v>
      </c>
      <c r="AL18" s="117">
        <v>0.16692699999999999</v>
      </c>
      <c r="AM18" s="117">
        <v>0.154169</v>
      </c>
      <c r="AN18" s="117">
        <v>0.15523600000000001</v>
      </c>
      <c r="AO18" s="117">
        <v>0.16489799999999999</v>
      </c>
      <c r="AP18" s="118">
        <v>0.16023499999999999</v>
      </c>
      <c r="AQ18" s="117">
        <v>0.16</v>
      </c>
      <c r="AR18" s="117">
        <v>0.16527500000000001</v>
      </c>
      <c r="AS18" s="117">
        <v>0.16912928437004776</v>
      </c>
      <c r="AT18" s="117">
        <v>0.17451511808081338</v>
      </c>
      <c r="AU18" s="118">
        <v>0.17080554668400952</v>
      </c>
      <c r="AV18" s="117">
        <v>0.17417754837249036</v>
      </c>
      <c r="AW18" s="117">
        <v>0.16359237649379499</v>
      </c>
      <c r="AX18" s="117">
        <v>0.17598129841251947</v>
      </c>
      <c r="AY18" s="117">
        <v>0.18295349920520873</v>
      </c>
      <c r="AZ18" s="118">
        <v>0.17478075480466279</v>
      </c>
      <c r="BA18" s="117">
        <v>0.18582261854387258</v>
      </c>
      <c r="BB18" s="117">
        <v>0.17033478867206395</v>
      </c>
      <c r="BC18" s="117">
        <v>0.18037189888835806</v>
      </c>
      <c r="BD18" s="117">
        <v>0.19198812817823196</v>
      </c>
      <c r="BE18" s="118">
        <v>0.18271433658422939</v>
      </c>
      <c r="BF18" s="117">
        <v>0.19664717196981524</v>
      </c>
      <c r="BG18" s="117">
        <v>0.20133557265177715</v>
      </c>
      <c r="BH18" s="117">
        <v>0.20580361433166064</v>
      </c>
      <c r="BI18" s="117">
        <v>0.21614612553881443</v>
      </c>
      <c r="BJ18" s="118">
        <v>0.20737296082317833</v>
      </c>
      <c r="BK18" s="117">
        <v>0.20093372947810245</v>
      </c>
      <c r="BL18" s="180">
        <v>0.17582826189113313</v>
      </c>
      <c r="BM18" s="223">
        <v>0.18421988838445424</v>
      </c>
      <c r="BN18" s="223">
        <v>0.19287054508587106</v>
      </c>
      <c r="BO18" s="234">
        <v>0.18568282434268515</v>
      </c>
      <c r="BP18" s="223">
        <v>0.20662127942962927</v>
      </c>
      <c r="BQ18" s="223">
        <v>0.1909493906231928</v>
      </c>
      <c r="BR18" s="223">
        <v>0.19685364434012648</v>
      </c>
      <c r="BS18" s="223">
        <v>0.21350543728142349</v>
      </c>
      <c r="BT18" s="234">
        <v>0.19966160193537255</v>
      </c>
      <c r="BU18" s="223">
        <v>0.21317515749950766</v>
      </c>
      <c r="BV18" s="223">
        <v>0.20795172163094114</v>
      </c>
      <c r="BW18" s="223">
        <v>0.22317627553262145</v>
      </c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</row>
    <row r="19" spans="2:157" x14ac:dyDescent="0.35">
      <c r="B19" s="72" t="str">
        <f>IF('Índice - Index'!$D$14="Português","Dinheiro","Cash")</f>
        <v>Dinheiro</v>
      </c>
      <c r="C19" s="117">
        <v>0.1953</v>
      </c>
      <c r="D19" s="117">
        <v>0.162465</v>
      </c>
      <c r="E19" s="117">
        <v>0.174791</v>
      </c>
      <c r="F19" s="117">
        <v>0.175729</v>
      </c>
      <c r="G19" s="130">
        <v>0.175567</v>
      </c>
      <c r="H19" s="117">
        <v>0.18620500000000001</v>
      </c>
      <c r="I19" s="117">
        <v>0.16328599999999999</v>
      </c>
      <c r="J19" s="117">
        <v>0.17851</v>
      </c>
      <c r="K19" s="117">
        <v>0.18907099999999999</v>
      </c>
      <c r="L19" s="130">
        <v>0.17988799999999999</v>
      </c>
      <c r="M19" s="117">
        <v>0.189359</v>
      </c>
      <c r="N19" s="117">
        <v>0.16450899999999999</v>
      </c>
      <c r="O19" s="117">
        <v>0.17691000000000001</v>
      </c>
      <c r="P19" s="117">
        <v>0.203928</v>
      </c>
      <c r="Q19" s="130">
        <v>0.18490899999999999</v>
      </c>
      <c r="R19" s="117">
        <v>0.19334799999999999</v>
      </c>
      <c r="S19" s="117">
        <v>0.17627599999999999</v>
      </c>
      <c r="T19" s="117">
        <v>0.171843</v>
      </c>
      <c r="U19" s="117">
        <v>0.189444</v>
      </c>
      <c r="V19" s="118">
        <v>0.18174799999999999</v>
      </c>
      <c r="W19" s="117">
        <v>0.19570000000000001</v>
      </c>
      <c r="X19" s="117">
        <v>0.168046</v>
      </c>
      <c r="Y19" s="117">
        <v>0.17411499999999999</v>
      </c>
      <c r="Z19" s="117">
        <v>0.17174400000000001</v>
      </c>
      <c r="AA19" s="118">
        <v>0.17452799999999999</v>
      </c>
      <c r="AB19" s="117">
        <v>0.17655199999999999</v>
      </c>
      <c r="AC19" s="117">
        <v>0.15845699999999999</v>
      </c>
      <c r="AD19" s="117">
        <v>0.17615600000000001</v>
      </c>
      <c r="AE19" s="117">
        <v>0.19423799999999999</v>
      </c>
      <c r="AF19" s="118">
        <v>0.17788100000000001</v>
      </c>
      <c r="AG19" s="117">
        <v>0.200433</v>
      </c>
      <c r="AH19" s="117">
        <v>0.18509600000000001</v>
      </c>
      <c r="AI19" s="117">
        <v>0.17960599999999999</v>
      </c>
      <c r="AJ19" s="117">
        <v>0.193133</v>
      </c>
      <c r="AK19" s="118">
        <v>0.191556</v>
      </c>
      <c r="AL19" s="117">
        <v>0.174872</v>
      </c>
      <c r="AM19" s="117">
        <v>0.151283</v>
      </c>
      <c r="AN19" s="117">
        <v>0.15563399999999999</v>
      </c>
      <c r="AO19" s="117">
        <v>0.16630500000000001</v>
      </c>
      <c r="AP19" s="118">
        <v>0.16224</v>
      </c>
      <c r="AQ19" s="117">
        <v>0.17499999999999999</v>
      </c>
      <c r="AR19" s="117">
        <v>0.144675</v>
      </c>
      <c r="AS19" s="117">
        <v>0.14406214063456882</v>
      </c>
      <c r="AT19" s="117">
        <v>0.16716383955740416</v>
      </c>
      <c r="AU19" s="118">
        <v>0.15444882725599438</v>
      </c>
      <c r="AV19" s="117">
        <v>0.15559179941744911</v>
      </c>
      <c r="AW19" s="117">
        <v>0.13324426221092336</v>
      </c>
      <c r="AX19" s="117">
        <v>0.14674453170588456</v>
      </c>
      <c r="AY19" s="117">
        <v>0.15123297897182508</v>
      </c>
      <c r="AZ19" s="118">
        <v>0.14668291492321414</v>
      </c>
      <c r="BA19" s="117">
        <v>0.14104480323286442</v>
      </c>
      <c r="BB19" s="117">
        <v>0.12410603713535771</v>
      </c>
      <c r="BC19" s="117">
        <v>0.13002997570528993</v>
      </c>
      <c r="BD19" s="117">
        <v>0.14151673111790619</v>
      </c>
      <c r="BE19" s="118">
        <v>0.13448036929973392</v>
      </c>
      <c r="BF19" s="117">
        <v>0.13742951628434497</v>
      </c>
      <c r="BG19" s="117">
        <v>8.7365741492445942E-2</v>
      </c>
      <c r="BH19" s="117">
        <v>0.1094527567834828</v>
      </c>
      <c r="BI19" s="117">
        <v>0.1297172204769142</v>
      </c>
      <c r="BJ19" s="118">
        <v>0.12198962092524002</v>
      </c>
      <c r="BK19" s="117">
        <v>9.4522753999318671E-2</v>
      </c>
      <c r="BL19" s="180">
        <v>9.1524039059906706E-2</v>
      </c>
      <c r="BM19" s="223">
        <v>8.2004389276488274E-2</v>
      </c>
      <c r="BN19" s="223">
        <v>7.7114311054092707E-2</v>
      </c>
      <c r="BO19" s="234">
        <v>8.8945496875870209E-2</v>
      </c>
      <c r="BP19" s="223">
        <v>7.2524868463031036E-2</v>
      </c>
      <c r="BQ19" s="223">
        <v>9.0125486592757514E-2</v>
      </c>
      <c r="BR19" s="223">
        <v>7.0199578863281098E-2</v>
      </c>
      <c r="BS19" s="223">
        <v>9.8567510972377356E-2</v>
      </c>
      <c r="BT19" s="234">
        <v>7.3674937061238885E-2</v>
      </c>
      <c r="BU19" s="223">
        <v>5.1171584119338087E-2</v>
      </c>
      <c r="BV19" s="223">
        <v>5.5353789819218534E-2</v>
      </c>
      <c r="BW19" s="223">
        <v>0.11631124153033114</v>
      </c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</row>
    <row r="20" spans="2:157" x14ac:dyDescent="0.35">
      <c r="B20" s="72" t="s">
        <v>52</v>
      </c>
      <c r="C20" s="117"/>
      <c r="D20" s="117"/>
      <c r="E20" s="117"/>
      <c r="F20" s="117"/>
      <c r="G20" s="130"/>
      <c r="H20" s="117"/>
      <c r="I20" s="117"/>
      <c r="J20" s="117"/>
      <c r="K20" s="117"/>
      <c r="L20" s="130"/>
      <c r="M20" s="117"/>
      <c r="N20" s="117"/>
      <c r="O20" s="117"/>
      <c r="P20" s="117"/>
      <c r="Q20" s="130"/>
      <c r="R20" s="117"/>
      <c r="S20" s="117"/>
      <c r="T20" s="117"/>
      <c r="U20" s="117"/>
      <c r="V20" s="118"/>
      <c r="W20" s="117"/>
      <c r="X20" s="117"/>
      <c r="Y20" s="117"/>
      <c r="Z20" s="117"/>
      <c r="AA20" s="118"/>
      <c r="AB20" s="117"/>
      <c r="AC20" s="117"/>
      <c r="AD20" s="117"/>
      <c r="AE20" s="117"/>
      <c r="AF20" s="118"/>
      <c r="AG20" s="117"/>
      <c r="AH20" s="117"/>
      <c r="AI20" s="117"/>
      <c r="AJ20" s="117"/>
      <c r="AK20" s="118"/>
      <c r="AL20" s="117"/>
      <c r="AM20" s="117"/>
      <c r="AN20" s="117"/>
      <c r="AO20" s="117"/>
      <c r="AP20" s="118"/>
      <c r="AQ20" s="117"/>
      <c r="AR20" s="117"/>
      <c r="AS20" s="117"/>
      <c r="AT20" s="117"/>
      <c r="AU20" s="118"/>
      <c r="AV20" s="117"/>
      <c r="AW20" s="117"/>
      <c r="AX20" s="117"/>
      <c r="AY20" s="117"/>
      <c r="AZ20" s="118"/>
      <c r="BA20" s="117"/>
      <c r="BB20" s="117"/>
      <c r="BC20" s="117"/>
      <c r="BD20" s="117"/>
      <c r="BE20" s="118"/>
      <c r="BF20" s="117"/>
      <c r="BG20" s="117"/>
      <c r="BH20" s="117"/>
      <c r="BI20" s="117"/>
      <c r="BJ20" s="118"/>
      <c r="BK20" s="117"/>
      <c r="BL20" s="180">
        <v>2.4016858664783517E-7</v>
      </c>
      <c r="BM20" s="223">
        <v>1.3320518280180842E-4</v>
      </c>
      <c r="BN20" s="223">
        <v>6.5015189052489613E-3</v>
      </c>
      <c r="BO20" s="234">
        <v>2.2941287758329746E-3</v>
      </c>
      <c r="BP20" s="223">
        <v>1.1313547017852017E-2</v>
      </c>
      <c r="BQ20" s="223">
        <v>1.3158916540497275E-2</v>
      </c>
      <c r="BR20" s="223">
        <v>1.5825293151170945E-2</v>
      </c>
      <c r="BS20" s="223">
        <v>2.1999982815066207E-2</v>
      </c>
      <c r="BT20" s="234">
        <v>1.6042691258418267E-2</v>
      </c>
      <c r="BU20" s="223">
        <v>2.3785011553535657E-2</v>
      </c>
      <c r="BV20" s="223">
        <v>2.9435638127226958E-2</v>
      </c>
      <c r="BW20" s="223">
        <v>3.7794398424568977E-2</v>
      </c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</row>
    <row r="21" spans="2:157" x14ac:dyDescent="0.35">
      <c r="B21" s="72"/>
      <c r="C21" s="27"/>
      <c r="D21" s="27"/>
      <c r="E21" s="27"/>
      <c r="F21" s="27"/>
      <c r="G21" s="126"/>
      <c r="H21" s="27"/>
      <c r="I21" s="27"/>
      <c r="J21" s="27"/>
      <c r="K21" s="27"/>
      <c r="L21" s="126"/>
      <c r="M21" s="27"/>
      <c r="N21" s="27"/>
      <c r="O21" s="27"/>
      <c r="P21" s="27"/>
      <c r="Q21" s="1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126"/>
      <c r="AG21" s="27"/>
      <c r="AH21" s="27"/>
      <c r="AI21" s="27"/>
      <c r="AJ21" s="27"/>
      <c r="AK21" s="126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N21" s="228"/>
      <c r="BO21" s="27"/>
      <c r="BP21" s="27"/>
      <c r="BQ21" s="27"/>
      <c r="BR21" s="27"/>
      <c r="BS21" s="27"/>
      <c r="BT21" s="274"/>
      <c r="BU21" s="274"/>
      <c r="BV21" s="274"/>
      <c r="BW21" s="274"/>
    </row>
    <row r="22" spans="2:157" x14ac:dyDescent="0.35">
      <c r="B22" s="119" t="str">
        <f>IF('Índice - Index'!$D$14="Português","Volume e Preço","Volume and price")</f>
        <v>Volume e Preço</v>
      </c>
      <c r="C22" s="27"/>
      <c r="D22" s="27"/>
      <c r="E22" s="27"/>
      <c r="F22" s="27"/>
      <c r="G22" s="126"/>
      <c r="H22" s="27"/>
      <c r="I22" s="27"/>
      <c r="J22" s="27"/>
      <c r="K22" s="27"/>
      <c r="L22" s="126"/>
      <c r="M22" s="27"/>
      <c r="N22" s="27"/>
      <c r="O22" s="27"/>
      <c r="P22" s="27"/>
      <c r="Q22" s="1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26"/>
      <c r="AG22" s="27"/>
      <c r="AH22" s="27"/>
      <c r="AI22" s="27"/>
      <c r="AJ22" s="27"/>
      <c r="AK22" s="126"/>
      <c r="AL22" s="123"/>
      <c r="AM22" s="123"/>
      <c r="AN22" s="123"/>
      <c r="AO22" s="132"/>
      <c r="AP22" s="125"/>
      <c r="AQ22" s="27"/>
      <c r="AR22" s="27"/>
      <c r="AS22" s="27"/>
      <c r="AT22" s="27"/>
      <c r="AU22" s="125"/>
      <c r="AV22" s="27"/>
      <c r="AW22" s="27"/>
      <c r="AX22" s="27"/>
      <c r="AY22" s="27"/>
      <c r="AZ22" s="125"/>
      <c r="BA22" s="27"/>
      <c r="BB22" s="27"/>
      <c r="BC22" s="27"/>
      <c r="BD22" s="27"/>
      <c r="BE22" s="125"/>
      <c r="BF22" s="132"/>
      <c r="BG22" s="132"/>
      <c r="BH22" s="132"/>
      <c r="BI22" s="132"/>
      <c r="BJ22" s="125"/>
      <c r="BK22" s="117"/>
      <c r="BL22" s="117"/>
      <c r="BM22" s="117"/>
      <c r="BN22" s="117"/>
      <c r="BO22" s="125"/>
      <c r="BP22" s="125"/>
      <c r="BQ22" s="125"/>
      <c r="BR22" s="125"/>
      <c r="BS22" s="125"/>
      <c r="BT22" s="125"/>
      <c r="BU22" s="125"/>
      <c r="BV22" s="125"/>
      <c r="BW22" s="125"/>
    </row>
    <row r="23" spans="2:157" x14ac:dyDescent="0.35">
      <c r="B23" s="72" t="str">
        <f>IF('Índice - Index'!$D$14="Português","Ticket Médio Private Label","Average ticket - private label")</f>
        <v>Ticket Médio Private Label</v>
      </c>
      <c r="C23" s="132">
        <v>81.540086206733847</v>
      </c>
      <c r="D23" s="132">
        <v>99.519786860600092</v>
      </c>
      <c r="E23" s="132">
        <v>90.815107774046055</v>
      </c>
      <c r="F23" s="132">
        <v>107.24648654190429</v>
      </c>
      <c r="G23" s="133">
        <v>96.541827839199158</v>
      </c>
      <c r="H23" s="132">
        <v>88.997461815292084</v>
      </c>
      <c r="I23" s="132">
        <v>102.15296284934446</v>
      </c>
      <c r="J23" s="132">
        <v>95.031198685099213</v>
      </c>
      <c r="K23" s="132">
        <v>108.80913273439334</v>
      </c>
      <c r="L23" s="133">
        <v>99.92218792433539</v>
      </c>
      <c r="M23" s="132">
        <v>93.269017616572327</v>
      </c>
      <c r="N23" s="132">
        <v>110.84306411242818</v>
      </c>
      <c r="O23" s="132">
        <v>102.2225304865089</v>
      </c>
      <c r="P23" s="132">
        <v>111.13698703248215</v>
      </c>
      <c r="Q23" s="133">
        <v>105.27327748638059</v>
      </c>
      <c r="R23" s="132">
        <v>96.641631236557558</v>
      </c>
      <c r="S23" s="132">
        <v>116.42025474143992</v>
      </c>
      <c r="T23" s="132">
        <v>110.93</v>
      </c>
      <c r="U23" s="132">
        <v>120.1861227469977</v>
      </c>
      <c r="V23" s="133">
        <v>113.14</v>
      </c>
      <c r="W23" s="132">
        <v>105.79828629053236</v>
      </c>
      <c r="X23" s="132">
        <v>117.69334825390661</v>
      </c>
      <c r="Y23" s="132">
        <v>110.53114201596576</v>
      </c>
      <c r="Z23" s="132">
        <v>134.81449543714407</v>
      </c>
      <c r="AA23" s="133">
        <v>119.5</v>
      </c>
      <c r="AB23" s="132">
        <v>112.15410936594557</v>
      </c>
      <c r="AC23" s="132">
        <v>126.16855161800834</v>
      </c>
      <c r="AD23" s="132">
        <v>116.84168158274082</v>
      </c>
      <c r="AE23" s="132">
        <v>132.77581809029763</v>
      </c>
      <c r="AF23" s="134">
        <v>123.08554673006834</v>
      </c>
      <c r="AG23" s="132">
        <v>104.73900809284416</v>
      </c>
      <c r="AH23" s="132">
        <v>117.58</v>
      </c>
      <c r="AI23" s="132">
        <v>112.03</v>
      </c>
      <c r="AJ23" s="132">
        <v>123.61228506348792</v>
      </c>
      <c r="AK23" s="134">
        <v>113.85729966738391</v>
      </c>
      <c r="AL23" s="132">
        <v>111.91197674435995</v>
      </c>
      <c r="AM23" s="132">
        <v>125.37112215750788</v>
      </c>
      <c r="AN23" s="132">
        <v>119.26423737640459</v>
      </c>
      <c r="AO23" s="132">
        <v>136.03324122420685</v>
      </c>
      <c r="AP23" s="134">
        <v>124.2795436570967</v>
      </c>
      <c r="AQ23" s="132">
        <v>120.10295505338317</v>
      </c>
      <c r="AR23" s="132">
        <v>135.43107332950854</v>
      </c>
      <c r="AS23" s="132">
        <v>125.65598441445962</v>
      </c>
      <c r="AT23" s="132">
        <v>137.4</v>
      </c>
      <c r="AU23" s="134">
        <v>128.13999999999999</v>
      </c>
      <c r="AV23" s="132">
        <v>118.34</v>
      </c>
      <c r="AW23" s="132">
        <v>140.31</v>
      </c>
      <c r="AX23" s="132">
        <v>130.26</v>
      </c>
      <c r="AY23" s="132">
        <v>138.03</v>
      </c>
      <c r="AZ23" s="134">
        <v>129.70772138808033</v>
      </c>
      <c r="BA23" s="132">
        <v>126.98442198457695</v>
      </c>
      <c r="BB23" s="132">
        <v>149.31226673539985</v>
      </c>
      <c r="BC23" s="132">
        <v>139.59616302393661</v>
      </c>
      <c r="BD23" s="132">
        <v>148.47999999999999</v>
      </c>
      <c r="BE23" s="134">
        <v>144.01</v>
      </c>
      <c r="BF23" s="132">
        <v>129.87</v>
      </c>
      <c r="BG23" s="132">
        <v>155.49</v>
      </c>
      <c r="BH23" s="132">
        <v>129.46</v>
      </c>
      <c r="BI23" s="132">
        <v>139.21</v>
      </c>
      <c r="BJ23" s="134">
        <v>145.08000000000001</v>
      </c>
      <c r="BK23" s="132">
        <v>145.44</v>
      </c>
      <c r="BL23" s="25">
        <v>187.78</v>
      </c>
      <c r="BM23" s="219">
        <v>175.4</v>
      </c>
      <c r="BN23" s="132">
        <v>197.69</v>
      </c>
      <c r="BO23" s="134">
        <v>193.32</v>
      </c>
      <c r="BP23" s="132">
        <v>180.85</v>
      </c>
      <c r="BQ23" s="132">
        <v>202.01819166088589</v>
      </c>
      <c r="BR23" s="132">
        <v>189.96</v>
      </c>
      <c r="BS23" s="132">
        <v>210.04</v>
      </c>
      <c r="BT23" s="134">
        <v>196.38</v>
      </c>
      <c r="BU23" s="247">
        <v>187.67</v>
      </c>
      <c r="BV23" s="247">
        <v>201.17</v>
      </c>
      <c r="BW23" s="247">
        <v>165.24</v>
      </c>
    </row>
    <row r="24" spans="2:157" x14ac:dyDescent="0.35">
      <c r="B24" s="72" t="str">
        <f>IF('Índice - Index'!$D$14="Português","Ticket Médio Co-Branded","Average ticket - co-branded")</f>
        <v>Ticket Médio Co-Branded</v>
      </c>
      <c r="C24" s="132">
        <v>85.175558783008555</v>
      </c>
      <c r="D24" s="132">
        <v>98.251079301279304</v>
      </c>
      <c r="E24" s="132">
        <v>90.24201677388433</v>
      </c>
      <c r="F24" s="132">
        <v>97.49408273047365</v>
      </c>
      <c r="G24" s="133">
        <v>95.011944259637701</v>
      </c>
      <c r="H24" s="132">
        <v>83.350376042863815</v>
      </c>
      <c r="I24" s="132">
        <v>97.190784529193479</v>
      </c>
      <c r="J24" s="132">
        <v>91.208248921392311</v>
      </c>
      <c r="K24" s="132">
        <v>106.50809088976214</v>
      </c>
      <c r="L24" s="133">
        <v>96.397809905179486</v>
      </c>
      <c r="M24" s="132">
        <v>91.521326208259424</v>
      </c>
      <c r="N24" s="132">
        <v>104.73913245054541</v>
      </c>
      <c r="O24" s="132">
        <v>100.62192852171259</v>
      </c>
      <c r="P24" s="132">
        <v>100.77881638564585</v>
      </c>
      <c r="Q24" s="133">
        <v>101.20554673515757</v>
      </c>
      <c r="R24" s="132">
        <v>101.75009908964819</v>
      </c>
      <c r="S24" s="132">
        <v>113.97329661289638</v>
      </c>
      <c r="T24" s="132">
        <v>109.08</v>
      </c>
      <c r="U24" s="132">
        <v>121.64</v>
      </c>
      <c r="V24" s="133">
        <v>112.75</v>
      </c>
      <c r="W24" s="132">
        <v>112.75</v>
      </c>
      <c r="X24" s="132">
        <v>116.08</v>
      </c>
      <c r="Y24" s="132">
        <v>107.83767356111956</v>
      </c>
      <c r="Z24" s="132">
        <v>121.87423952670473</v>
      </c>
      <c r="AA24" s="133">
        <v>118.55</v>
      </c>
      <c r="AB24" s="132">
        <v>107.43615239701299</v>
      </c>
      <c r="AC24" s="132">
        <v>121.60557535508593</v>
      </c>
      <c r="AD24" s="132">
        <v>118.56312540226719</v>
      </c>
      <c r="AE24" s="132">
        <v>125.22763321512352</v>
      </c>
      <c r="AF24" s="134">
        <v>118.98928112480399</v>
      </c>
      <c r="AG24" s="132">
        <v>100.18</v>
      </c>
      <c r="AH24" s="132">
        <v>104.5747823</v>
      </c>
      <c r="AI24" s="132">
        <v>108.03</v>
      </c>
      <c r="AJ24" s="132">
        <v>111.24</v>
      </c>
      <c r="AK24" s="134">
        <v>104.17080604675419</v>
      </c>
      <c r="AL24" s="132">
        <v>99.387129845268973</v>
      </c>
      <c r="AM24" s="132">
        <v>111.19992063906257</v>
      </c>
      <c r="AN24" s="132">
        <v>104.21934428034436</v>
      </c>
      <c r="AO24" s="132">
        <v>113.81617564706612</v>
      </c>
      <c r="AP24" s="134">
        <v>107.68994140156086</v>
      </c>
      <c r="AQ24" s="132">
        <v>103.11340142435822</v>
      </c>
      <c r="AR24" s="132">
        <v>117.16458494318832</v>
      </c>
      <c r="AS24" s="132">
        <v>109.74</v>
      </c>
      <c r="AT24" s="132">
        <v>115.7594</v>
      </c>
      <c r="AU24" s="134">
        <v>111.9772</v>
      </c>
      <c r="AV24" s="132">
        <v>106.809</v>
      </c>
      <c r="AW24" s="132">
        <v>124.07</v>
      </c>
      <c r="AX24" s="132">
        <v>112.10015845124801</v>
      </c>
      <c r="AY24" s="132">
        <v>126.99881908895543</v>
      </c>
      <c r="AZ24" s="134">
        <v>118.24857759298079</v>
      </c>
      <c r="BA24" s="132">
        <v>116.51699413115591</v>
      </c>
      <c r="BB24" s="132">
        <v>131.5780663204155</v>
      </c>
      <c r="BC24" s="132">
        <v>127.25263408569697</v>
      </c>
      <c r="BD24" s="132">
        <v>137.80124472510519</v>
      </c>
      <c r="BE24" s="134">
        <v>133.75</v>
      </c>
      <c r="BF24" s="132">
        <v>117.58</v>
      </c>
      <c r="BG24" s="132">
        <v>134.38999999999999</v>
      </c>
      <c r="BH24" s="132">
        <v>131.29</v>
      </c>
      <c r="BI24" s="132">
        <v>134.70258740840515</v>
      </c>
      <c r="BJ24" s="134">
        <v>128.41999999999999</v>
      </c>
      <c r="BK24" s="132" t="s">
        <v>33</v>
      </c>
      <c r="BL24" s="25">
        <v>158.47</v>
      </c>
      <c r="BM24" s="219">
        <v>142.4</v>
      </c>
      <c r="BN24" s="132">
        <v>155</v>
      </c>
      <c r="BO24" s="134">
        <v>156.55000000000001</v>
      </c>
      <c r="BP24" s="132">
        <v>142.38999999999999</v>
      </c>
      <c r="BQ24" s="132">
        <v>165.01580562505509</v>
      </c>
      <c r="BR24" s="132">
        <v>156.5</v>
      </c>
      <c r="BS24" s="132">
        <v>174.11</v>
      </c>
      <c r="BT24" s="134">
        <v>160.75</v>
      </c>
      <c r="BU24" s="247">
        <v>154.77000000000001</v>
      </c>
      <c r="BV24" s="247">
        <v>173.66</v>
      </c>
      <c r="BW24" s="247"/>
    </row>
    <row r="25" spans="2:157" x14ac:dyDescent="0.35">
      <c r="B25" s="72" t="str">
        <f>IF('Índice - Index'!$D$14="Português","Ticket Médio Marisa","Average ticket - Marisa")</f>
        <v>Ticket Médio Marisa</v>
      </c>
      <c r="C25" s="132">
        <v>55.530597037582403</v>
      </c>
      <c r="D25" s="132">
        <v>71.066207188354042</v>
      </c>
      <c r="E25" s="132">
        <v>64.618317545048541</v>
      </c>
      <c r="F25" s="132">
        <v>72.124177699557777</v>
      </c>
      <c r="G25" s="134">
        <v>67.356362181798147</v>
      </c>
      <c r="H25" s="132">
        <v>62.244546680021706</v>
      </c>
      <c r="I25" s="132">
        <v>72.023983266922897</v>
      </c>
      <c r="J25" s="132">
        <v>66.478079986514118</v>
      </c>
      <c r="K25" s="132">
        <v>74.578234758934983</v>
      </c>
      <c r="L25" s="134">
        <v>69.962396640875454</v>
      </c>
      <c r="M25" s="132">
        <v>67.339647171435658</v>
      </c>
      <c r="N25" s="132">
        <v>79.664879287712779</v>
      </c>
      <c r="O25" s="132">
        <v>71.752733859753263</v>
      </c>
      <c r="P25" s="132">
        <v>77.170213431999187</v>
      </c>
      <c r="Q25" s="133">
        <v>74.741415763353785</v>
      </c>
      <c r="R25" s="132">
        <v>70.936509369228588</v>
      </c>
      <c r="S25" s="132">
        <v>86.271703137515644</v>
      </c>
      <c r="T25" s="132">
        <v>80.290000000000006</v>
      </c>
      <c r="U25" s="132">
        <v>85.436032357061848</v>
      </c>
      <c r="V25" s="134">
        <v>81.889496845291177</v>
      </c>
      <c r="W25" s="132">
        <v>77.44</v>
      </c>
      <c r="X25" s="132">
        <v>87.280198488572395</v>
      </c>
      <c r="Y25" s="132">
        <v>80.28</v>
      </c>
      <c r="Z25" s="132">
        <v>90.754113603281326</v>
      </c>
      <c r="AA25" s="134">
        <v>84.603282765036823</v>
      </c>
      <c r="AB25" s="132">
        <v>79.173514242428823</v>
      </c>
      <c r="AC25" s="132">
        <v>90.123177580533437</v>
      </c>
      <c r="AD25" s="132">
        <v>81.240176958361786</v>
      </c>
      <c r="AE25" s="132">
        <v>87.486926311555095</v>
      </c>
      <c r="AF25" s="134">
        <v>84.88</v>
      </c>
      <c r="AG25" s="132">
        <v>77.295928683861078</v>
      </c>
      <c r="AH25" s="132">
        <v>86.804756984449668</v>
      </c>
      <c r="AI25" s="132">
        <v>84.024190558420841</v>
      </c>
      <c r="AJ25" s="132">
        <v>89.532331321112039</v>
      </c>
      <c r="AK25" s="134">
        <v>84.903263093372317</v>
      </c>
      <c r="AL25" s="132">
        <v>86.033491748281278</v>
      </c>
      <c r="AM25" s="132">
        <v>96.890494760227512</v>
      </c>
      <c r="AN25" s="132">
        <v>86.321365687961531</v>
      </c>
      <c r="AO25" s="132">
        <v>97.59</v>
      </c>
      <c r="AP25" s="134">
        <v>92.315299999999993</v>
      </c>
      <c r="AQ25" s="132">
        <v>85.052793049618401</v>
      </c>
      <c r="AR25" s="132">
        <v>102.78260839830043</v>
      </c>
      <c r="AS25" s="132">
        <v>94.299584878965206</v>
      </c>
      <c r="AT25" s="132">
        <v>98.483602894844225</v>
      </c>
      <c r="AU25" s="134">
        <v>96.721093365418099</v>
      </c>
      <c r="AV25" s="132">
        <v>91.675044393098702</v>
      </c>
      <c r="AW25" s="132">
        <v>106.72784078984581</v>
      </c>
      <c r="AX25" s="132">
        <v>98.139774202652802</v>
      </c>
      <c r="AY25" s="132">
        <v>105.94388475166906</v>
      </c>
      <c r="AZ25" s="134">
        <v>101.00292528246601</v>
      </c>
      <c r="BA25" s="132">
        <v>93.165923979557775</v>
      </c>
      <c r="BB25" s="132">
        <v>106.58893285249199</v>
      </c>
      <c r="BC25" s="132">
        <v>100.5486972597668</v>
      </c>
      <c r="BD25" s="132">
        <v>117.81770494846697</v>
      </c>
      <c r="BE25" s="134">
        <v>112.0746020419832</v>
      </c>
      <c r="BF25" s="132">
        <v>105.07406825592282</v>
      </c>
      <c r="BG25" s="132">
        <v>114.9047038178517</v>
      </c>
      <c r="BH25" s="132">
        <v>118.9259907176714</v>
      </c>
      <c r="BI25" s="132">
        <v>120.69964903406267</v>
      </c>
      <c r="BJ25" s="134">
        <v>115.44177975115016</v>
      </c>
      <c r="BK25" s="132">
        <v>115.44177975115016</v>
      </c>
      <c r="BL25" s="219">
        <v>138.87483493814867</v>
      </c>
      <c r="BM25" s="219">
        <v>123.96533159666372</v>
      </c>
      <c r="BN25" s="132">
        <v>130.48206669754862</v>
      </c>
      <c r="BO25" s="134">
        <v>130</v>
      </c>
      <c r="BP25" s="132">
        <v>125.21833432441476</v>
      </c>
      <c r="BQ25" s="132">
        <v>144.13609101225651</v>
      </c>
      <c r="BR25" s="132">
        <v>135.80711234033012</v>
      </c>
      <c r="BS25" s="132">
        <v>148.01</v>
      </c>
      <c r="BT25" s="134">
        <v>139.44999999999999</v>
      </c>
      <c r="BU25" s="132">
        <v>136.24</v>
      </c>
      <c r="BV25" s="132">
        <v>153</v>
      </c>
      <c r="BW25" s="132">
        <v>129.21</v>
      </c>
    </row>
    <row r="26" spans="2:157" x14ac:dyDescent="0.35">
      <c r="B26" s="72" t="str">
        <f>IF('Índice - Index'!$D$14="Português","Preço Médio Marisa","Average price - Marisa")</f>
        <v>Preço Médio Marisa</v>
      </c>
      <c r="C26" s="132">
        <v>18.953513029410065</v>
      </c>
      <c r="D26" s="132">
        <v>24.091437891968436</v>
      </c>
      <c r="E26" s="132">
        <v>20.217983648704834</v>
      </c>
      <c r="F26" s="132">
        <v>21.456062230116682</v>
      </c>
      <c r="G26" s="134">
        <v>21.254001575491511</v>
      </c>
      <c r="H26" s="132">
        <v>20.126604849696168</v>
      </c>
      <c r="I26" s="132">
        <v>23.40740522574713</v>
      </c>
      <c r="J26" s="132">
        <v>21.133275281388816</v>
      </c>
      <c r="K26" s="132">
        <v>23.58991113969007</v>
      </c>
      <c r="L26" s="133">
        <v>22.293418914009372</v>
      </c>
      <c r="M26" s="132">
        <v>22.713320241723785</v>
      </c>
      <c r="N26" s="132">
        <v>27.442771673539788</v>
      </c>
      <c r="O26" s="132">
        <v>23.774617670578465</v>
      </c>
      <c r="P26" s="132">
        <v>25.280668730010284</v>
      </c>
      <c r="Q26" s="133">
        <v>24.895941745775247</v>
      </c>
      <c r="R26" s="132">
        <v>24.294421245456739</v>
      </c>
      <c r="S26" s="132">
        <v>29.521109163297279</v>
      </c>
      <c r="T26" s="132">
        <v>26.27</v>
      </c>
      <c r="U26" s="132">
        <v>28.189440396691587</v>
      </c>
      <c r="V26" s="134">
        <v>27.232583403320554</v>
      </c>
      <c r="W26" s="132">
        <v>26.823111950391915</v>
      </c>
      <c r="X26" s="132">
        <v>30.71132050033135</v>
      </c>
      <c r="Y26" s="132">
        <v>27.46522327141918</v>
      </c>
      <c r="Z26" s="132">
        <v>29.93</v>
      </c>
      <c r="AA26" s="134">
        <v>28.88</v>
      </c>
      <c r="AB26" s="132">
        <v>27.963355502574053</v>
      </c>
      <c r="AC26" s="132">
        <v>31.950076280000001</v>
      </c>
      <c r="AD26" s="132">
        <v>27.33</v>
      </c>
      <c r="AE26" s="132">
        <v>28.03</v>
      </c>
      <c r="AF26" s="134">
        <v>28.71</v>
      </c>
      <c r="AG26" s="132">
        <v>26.801512076694426</v>
      </c>
      <c r="AH26" s="132">
        <v>30.381978312521525</v>
      </c>
      <c r="AI26" s="132">
        <v>29.023152470423398</v>
      </c>
      <c r="AJ26" s="132">
        <v>30.302060269960368</v>
      </c>
      <c r="AK26" s="134">
        <v>29.263118714433748</v>
      </c>
      <c r="AL26" s="132">
        <v>31.445522133403227</v>
      </c>
      <c r="AM26" s="132">
        <v>33.004391473745848</v>
      </c>
      <c r="AN26" s="132">
        <v>32.471114177505157</v>
      </c>
      <c r="AO26" s="132">
        <v>34.28</v>
      </c>
      <c r="AP26" s="134">
        <v>33.299999999999997</v>
      </c>
      <c r="AQ26" s="132">
        <v>32.850498636051881</v>
      </c>
      <c r="AR26" s="132">
        <v>36.32243706828082</v>
      </c>
      <c r="AS26" s="132">
        <v>30.460048440289366</v>
      </c>
      <c r="AT26" s="132">
        <v>33.369016033519877</v>
      </c>
      <c r="AU26" s="134">
        <v>33.136523387917606</v>
      </c>
      <c r="AV26" s="132">
        <v>31.914034243605364</v>
      </c>
      <c r="AW26" s="132">
        <v>37.460781954108377</v>
      </c>
      <c r="AX26" s="132">
        <v>32.689860111486979</v>
      </c>
      <c r="AY26" s="132">
        <v>37.349769319993079</v>
      </c>
      <c r="AZ26" s="134">
        <v>34.950067100745549</v>
      </c>
      <c r="BA26" s="132">
        <v>34.455682538808126</v>
      </c>
      <c r="BB26" s="132">
        <v>36.70376572186192</v>
      </c>
      <c r="BC26" s="132">
        <v>36.629483834553035</v>
      </c>
      <c r="BD26" s="132">
        <v>38.973326493022718</v>
      </c>
      <c r="BE26" s="134">
        <v>36.877466857907756</v>
      </c>
      <c r="BF26" s="132">
        <v>35.187477459867722</v>
      </c>
      <c r="BG26" s="132">
        <v>34.835197927256992</v>
      </c>
      <c r="BH26" s="132">
        <v>33.988334758944475</v>
      </c>
      <c r="BI26" s="132">
        <v>37.028885029813715</v>
      </c>
      <c r="BJ26" s="134">
        <v>35.515303908557613</v>
      </c>
      <c r="BK26" s="132">
        <v>37.44</v>
      </c>
      <c r="BL26" s="219">
        <v>44.987038311358909</v>
      </c>
      <c r="BM26" s="219">
        <v>41.151061334220103</v>
      </c>
      <c r="BN26" s="132">
        <v>42.665625911490331</v>
      </c>
      <c r="BO26" s="134">
        <v>41.11</v>
      </c>
      <c r="BP26" s="132">
        <v>42.506237553984228</v>
      </c>
      <c r="BQ26" s="132">
        <v>50.135802803708067</v>
      </c>
      <c r="BR26" s="132">
        <v>46.74623792365793</v>
      </c>
      <c r="BS26" s="132">
        <v>49.51</v>
      </c>
      <c r="BT26" s="134">
        <v>47.59</v>
      </c>
      <c r="BU26" s="132">
        <v>48.93</v>
      </c>
      <c r="BV26" s="132">
        <v>58.26</v>
      </c>
      <c r="BW26" s="132">
        <v>53.84</v>
      </c>
    </row>
    <row r="27" spans="2:157" x14ac:dyDescent="0.35">
      <c r="B27" s="72" t="str">
        <f>IF('Índice - Index'!$D$14="Português","Número de Peças (mil)","Number of items ('000)")</f>
        <v>Número de Peças (mil)</v>
      </c>
      <c r="C27" s="123">
        <v>17307</v>
      </c>
      <c r="D27" s="123">
        <v>19772</v>
      </c>
      <c r="E27" s="123">
        <v>22089.504000000001</v>
      </c>
      <c r="F27" s="123">
        <v>32653</v>
      </c>
      <c r="G27" s="129">
        <v>91821.504000000001</v>
      </c>
      <c r="H27" s="123">
        <v>19973.21</v>
      </c>
      <c r="I27" s="123">
        <v>24248.436999999998</v>
      </c>
      <c r="J27" s="123">
        <v>24940.134999999998</v>
      </c>
      <c r="K27" s="123">
        <v>34863.258999999998</v>
      </c>
      <c r="L27" s="129">
        <v>104025.041</v>
      </c>
      <c r="M27" s="123">
        <v>22321.675999999999</v>
      </c>
      <c r="N27" s="123">
        <v>25147.737999999998</v>
      </c>
      <c r="O27" s="123">
        <v>25876.991000000002</v>
      </c>
      <c r="P27" s="123">
        <v>35581.728999999999</v>
      </c>
      <c r="Q27" s="129">
        <v>108928.13399999999</v>
      </c>
      <c r="R27" s="123">
        <v>22602.422999999999</v>
      </c>
      <c r="S27" s="123">
        <v>26358.896000000001</v>
      </c>
      <c r="T27" s="123">
        <v>29935</v>
      </c>
      <c r="U27" s="123">
        <v>38671.250999999997</v>
      </c>
      <c r="V27" s="124">
        <v>117567.891</v>
      </c>
      <c r="W27" s="123">
        <v>24096.281999999999</v>
      </c>
      <c r="X27" s="123">
        <v>26817.418000000001</v>
      </c>
      <c r="Y27" s="123">
        <v>28910.437000000002</v>
      </c>
      <c r="Z27" s="123">
        <v>39626</v>
      </c>
      <c r="AA27" s="124">
        <v>119450</v>
      </c>
      <c r="AB27" s="123">
        <v>24572.936000000002</v>
      </c>
      <c r="AC27" s="123">
        <v>27453</v>
      </c>
      <c r="AD27" s="123">
        <v>30105</v>
      </c>
      <c r="AE27" s="123">
        <v>42421.817000000003</v>
      </c>
      <c r="AF27" s="124">
        <v>124552.753</v>
      </c>
      <c r="AG27" s="123">
        <v>24916.752</v>
      </c>
      <c r="AH27" s="123">
        <v>27519.474000000002</v>
      </c>
      <c r="AI27" s="123">
        <v>27455.233</v>
      </c>
      <c r="AJ27" s="123">
        <v>35741.320999999996</v>
      </c>
      <c r="AK27" s="124">
        <v>115632.78</v>
      </c>
      <c r="AL27" s="123">
        <v>19459.05</v>
      </c>
      <c r="AM27" s="123">
        <v>25818.277999999998</v>
      </c>
      <c r="AN27" s="123">
        <v>19746.683000000001</v>
      </c>
      <c r="AO27" s="123">
        <v>26600.055</v>
      </c>
      <c r="AP27" s="124">
        <v>91624.065999999992</v>
      </c>
      <c r="AQ27" s="123">
        <v>18242.263000000006</v>
      </c>
      <c r="AR27" s="123">
        <v>20085.538999999993</v>
      </c>
      <c r="AS27" s="123">
        <v>24353.075000000001</v>
      </c>
      <c r="AT27" s="123">
        <v>27029.935000000001</v>
      </c>
      <c r="AU27" s="124">
        <v>89712.583000000028</v>
      </c>
      <c r="AV27" s="123">
        <v>17937.421999999995</v>
      </c>
      <c r="AW27" s="123">
        <v>18940.177999999993</v>
      </c>
      <c r="AX27" s="123">
        <v>22093.165000000001</v>
      </c>
      <c r="AY27" s="123">
        <v>23687.184999999998</v>
      </c>
      <c r="AZ27" s="124">
        <v>82658.097999999954</v>
      </c>
      <c r="BA27" s="123">
        <v>17535.566999999999</v>
      </c>
      <c r="BB27" s="123">
        <v>19641.201000000001</v>
      </c>
      <c r="BC27" s="123">
        <v>20062.792000000001</v>
      </c>
      <c r="BD27" s="123">
        <v>24295.192999999999</v>
      </c>
      <c r="BE27" s="124">
        <v>81536.870999999999</v>
      </c>
      <c r="BF27" s="123">
        <v>15910.51</v>
      </c>
      <c r="BG27" s="123">
        <v>5746.2020000000002</v>
      </c>
      <c r="BH27" s="123">
        <v>17709.364000000001</v>
      </c>
      <c r="BI27" s="123">
        <v>23894.038</v>
      </c>
      <c r="BJ27" s="124">
        <v>62893.372000000003</v>
      </c>
      <c r="BK27" s="123">
        <v>10380.218000000001</v>
      </c>
      <c r="BL27" s="123">
        <v>14978.976000000001</v>
      </c>
      <c r="BM27" s="220">
        <v>17248.968000000001</v>
      </c>
      <c r="BN27" s="220">
        <v>22129.966</v>
      </c>
      <c r="BO27" s="124">
        <f>SUM(BK27:BN27)</f>
        <v>64738.128000000004</v>
      </c>
      <c r="BP27" s="123">
        <v>13772.078</v>
      </c>
      <c r="BQ27" s="123">
        <v>16066.58</v>
      </c>
      <c r="BR27" s="123">
        <v>14408.647000000001</v>
      </c>
      <c r="BS27" s="123">
        <f>18901178/1000</f>
        <v>18901.178</v>
      </c>
      <c r="BT27" s="124">
        <f>SUM(BP27:BS27)</f>
        <v>63148.483</v>
      </c>
      <c r="BU27" s="123">
        <f>11428506/1000</f>
        <v>11428.505999999999</v>
      </c>
      <c r="BV27" s="123">
        <v>9324.0210000000006</v>
      </c>
      <c r="BW27" s="123">
        <v>6428.8159999999998</v>
      </c>
    </row>
    <row r="28" spans="2:157" x14ac:dyDescent="0.35">
      <c r="B28" s="72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80"/>
      <c r="AU28" s="135"/>
      <c r="AV28" s="180"/>
      <c r="AW28" s="180"/>
      <c r="AX28" s="180"/>
      <c r="AY28" s="180"/>
      <c r="AZ28" s="135"/>
      <c r="BA28" s="180"/>
      <c r="BB28" s="180"/>
      <c r="BC28" s="180"/>
      <c r="BD28" s="180"/>
      <c r="BE28" s="135"/>
      <c r="BF28" s="135"/>
      <c r="BG28" s="135"/>
      <c r="BH28" s="135"/>
      <c r="BI28" s="135"/>
      <c r="BJ28" s="135"/>
      <c r="BK28" s="135"/>
      <c r="BN28" s="227"/>
      <c r="BO28" s="135"/>
      <c r="BP28" s="135"/>
      <c r="BQ28" s="135"/>
      <c r="BR28" s="135"/>
      <c r="BS28" s="135"/>
      <c r="BT28" s="135"/>
      <c r="BU28" s="135"/>
      <c r="BV28" s="135"/>
      <c r="BW28" s="135"/>
    </row>
    <row r="29" spans="2:157" x14ac:dyDescent="0.35">
      <c r="B29" s="119" t="str">
        <f>IF('Índice - Index'!$D$14="Português","Vendas Com Juros - Cartão","Sales Bearing Interest - Marisa Card")</f>
        <v>Vendas Com Juros - Cartão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2:157" x14ac:dyDescent="0.35">
      <c r="B30" s="72" t="s">
        <v>2</v>
      </c>
      <c r="C30" s="117">
        <v>0.2517054891205967</v>
      </c>
      <c r="D30" s="117">
        <v>0.27443208538537056</v>
      </c>
      <c r="E30" s="117">
        <v>0.17494970365601009</v>
      </c>
      <c r="F30" s="117">
        <v>0.25884836221513868</v>
      </c>
      <c r="G30" s="118">
        <v>0.2421980349349</v>
      </c>
      <c r="H30" s="117">
        <v>0.1925574046930065</v>
      </c>
      <c r="I30" s="117">
        <v>0.20323206390713808</v>
      </c>
      <c r="J30" s="117">
        <v>0.18012374216803267</v>
      </c>
      <c r="K30" s="117">
        <v>0.25249558409068501</v>
      </c>
      <c r="L30" s="118">
        <v>0.21349553694564855</v>
      </c>
      <c r="M30" s="117">
        <v>0.20274848302110765</v>
      </c>
      <c r="N30" s="117">
        <v>0.21520068163266451</v>
      </c>
      <c r="O30" s="117">
        <v>0.19258114744366464</v>
      </c>
      <c r="P30" s="117">
        <v>0.23565589162147182</v>
      </c>
      <c r="Q30" s="118">
        <v>0.21448497529062485</v>
      </c>
      <c r="R30" s="117">
        <v>0.19031184466795864</v>
      </c>
      <c r="S30" s="117">
        <v>0.18083300012697301</v>
      </c>
      <c r="T30" s="117">
        <v>0.18792849396489342</v>
      </c>
      <c r="U30" s="117">
        <v>0.23026688979198162</v>
      </c>
      <c r="V30" s="118">
        <v>0.21047815849869853</v>
      </c>
      <c r="W30" s="117">
        <v>0.19819999999999999</v>
      </c>
      <c r="X30" s="117">
        <v>0.19680298601847701</v>
      </c>
      <c r="Y30" s="117">
        <v>0.18918238240992696</v>
      </c>
      <c r="Z30" s="117">
        <v>0.23880058320081901</v>
      </c>
      <c r="AA30" s="118">
        <v>0.21106544015883999</v>
      </c>
      <c r="AB30" s="117">
        <v>0.18866157509118886</v>
      </c>
      <c r="AC30" s="117">
        <v>0.20016476936291</v>
      </c>
      <c r="AD30" s="117">
        <v>0.183607066381693</v>
      </c>
      <c r="AE30" s="117">
        <v>0.22320000000000001</v>
      </c>
      <c r="AF30" s="118">
        <v>0.20100000000000001</v>
      </c>
      <c r="AG30" s="117">
        <v>0.16703658089329326</v>
      </c>
      <c r="AH30" s="117">
        <v>0.19139999999999999</v>
      </c>
      <c r="AI30" s="117">
        <v>0.193266938141918</v>
      </c>
      <c r="AJ30" s="117">
        <v>0.22450000000000001</v>
      </c>
      <c r="AK30" s="118">
        <v>0.1973</v>
      </c>
      <c r="AL30" s="117">
        <v>0.22116666666666701</v>
      </c>
      <c r="AM30" s="117">
        <v>0.21825537365237827</v>
      </c>
      <c r="AN30" s="117">
        <v>0.22220610352087605</v>
      </c>
      <c r="AO30" s="117">
        <v>0.25253066337935343</v>
      </c>
      <c r="AP30" s="118">
        <v>0.2317823973934163</v>
      </c>
      <c r="AQ30" s="117">
        <v>0.22882082330237</v>
      </c>
      <c r="AR30" s="117">
        <v>0.22200631831825857</v>
      </c>
      <c r="AS30" s="117">
        <v>0.20545466828684961</v>
      </c>
      <c r="AT30" s="117">
        <v>0.216</v>
      </c>
      <c r="AU30" s="118">
        <v>0.221</v>
      </c>
      <c r="AV30" s="117">
        <v>0.20972303901151743</v>
      </c>
      <c r="AW30" s="117">
        <v>0.21260000000000001</v>
      </c>
      <c r="AX30" s="117">
        <v>0.19196536794369295</v>
      </c>
      <c r="AY30" s="117">
        <v>0.21951388293476343</v>
      </c>
      <c r="AZ30" s="118">
        <v>0.20899999999999999</v>
      </c>
      <c r="BA30" s="117">
        <v>0.19434221094735005</v>
      </c>
      <c r="BB30" s="117">
        <v>0.19274722428022523</v>
      </c>
      <c r="BC30" s="117">
        <v>0.18084740538923463</v>
      </c>
      <c r="BD30" s="117">
        <v>0.18084740538923463</v>
      </c>
      <c r="BE30" s="118">
        <v>0.18935786642823285</v>
      </c>
      <c r="BF30" s="117">
        <v>0.18443455563419209</v>
      </c>
      <c r="BG30" s="117">
        <v>0.10028486161324388</v>
      </c>
      <c r="BH30" s="117">
        <v>0.17299999999999999</v>
      </c>
      <c r="BI30" s="117">
        <v>0.21402581328060699</v>
      </c>
      <c r="BJ30" s="118">
        <v>0.19794465034680703</v>
      </c>
      <c r="BK30" s="117">
        <v>0.20399999999999999</v>
      </c>
      <c r="BL30" s="117">
        <v>0.19500000000000001</v>
      </c>
      <c r="BM30" s="117">
        <f>BM31/BM15</f>
        <v>0.21283696649804143</v>
      </c>
      <c r="BN30" s="117">
        <f>BN31/BN15</f>
        <v>0.22028985507246379</v>
      </c>
      <c r="BO30" s="118">
        <f>BO31/BO15</f>
        <v>0.1854802614952461</v>
      </c>
      <c r="BP30" s="117">
        <v>0.18732429238445591</v>
      </c>
      <c r="BQ30" s="117">
        <f t="shared" ref="BQ30:BW30" si="15">BQ31/BQ15</f>
        <v>0.15490585932050921</v>
      </c>
      <c r="BR30" s="117">
        <f t="shared" si="15"/>
        <v>0.15341223580687002</v>
      </c>
      <c r="BS30" s="117">
        <f t="shared" si="15"/>
        <v>0.17555059048834981</v>
      </c>
      <c r="BT30" s="118">
        <f t="shared" si="15"/>
        <v>0.16656074681297398</v>
      </c>
      <c r="BU30" s="117">
        <f t="shared" si="15"/>
        <v>0.15875785066294484</v>
      </c>
      <c r="BV30" s="117">
        <f t="shared" si="15"/>
        <v>0.14984825493171472</v>
      </c>
      <c r="BW30" s="117">
        <f t="shared" si="15"/>
        <v>0.12145523474503574</v>
      </c>
    </row>
    <row r="31" spans="2:157" x14ac:dyDescent="0.35">
      <c r="B31" s="72" t="str">
        <f>IF('Índice - Index'!$D$14="Português","Private Label - total das vendas","Private Label - total sales")</f>
        <v>Private Label - total das vendas</v>
      </c>
      <c r="C31" s="117">
        <f>C30*C15</f>
        <v>0.12608934772007171</v>
      </c>
      <c r="D31" s="117">
        <f t="shared" ref="D31:AS31" si="16">D30*D15</f>
        <v>0.14089672582187387</v>
      </c>
      <c r="E31" s="117">
        <f t="shared" si="16"/>
        <v>8.7786962099327376E-2</v>
      </c>
      <c r="F31" s="117">
        <f t="shared" si="16"/>
        <v>0.13735322413894346</v>
      </c>
      <c r="G31" s="118">
        <f t="shared" si="16"/>
        <v>0.12468960333535989</v>
      </c>
      <c r="H31" s="117">
        <f t="shared" si="16"/>
        <v>9.260855821305454E-2</v>
      </c>
      <c r="I31" s="117">
        <f t="shared" si="16"/>
        <v>0.10059844900958601</v>
      </c>
      <c r="J31" s="117">
        <f t="shared" si="16"/>
        <v>8.5024350386802963E-2</v>
      </c>
      <c r="K31" s="117">
        <f t="shared" si="16"/>
        <v>0.11506501512155015</v>
      </c>
      <c r="L31" s="118">
        <f t="shared" si="16"/>
        <v>0.10107604603832618</v>
      </c>
      <c r="M31" s="117">
        <f t="shared" si="16"/>
        <v>8.4780697414657311E-2</v>
      </c>
      <c r="N31" s="117">
        <f t="shared" si="16"/>
        <v>9.5851890003960202E-2</v>
      </c>
      <c r="O31" s="117">
        <f t="shared" si="16"/>
        <v>8.1796338821779779E-2</v>
      </c>
      <c r="P31" s="117">
        <f t="shared" si="16"/>
        <v>9.7207819637965501E-2</v>
      </c>
      <c r="Q31" s="118">
        <f t="shared" si="16"/>
        <v>9.1106568469223423E-2</v>
      </c>
      <c r="R31" s="117">
        <f t="shared" si="16"/>
        <v>7.7342733673058384E-2</v>
      </c>
      <c r="S31" s="117">
        <f t="shared" si="16"/>
        <v>8.141354831916503E-2</v>
      </c>
      <c r="T31" s="117">
        <f t="shared" si="16"/>
        <v>8.1926675230019425E-2</v>
      </c>
      <c r="U31" s="117">
        <f t="shared" si="16"/>
        <v>9.7019500010504578E-2</v>
      </c>
      <c r="V31" s="118">
        <f t="shared" si="16"/>
        <v>9.0394475686753059E-2</v>
      </c>
      <c r="W31" s="117">
        <f t="shared" si="16"/>
        <v>8.00728E-2</v>
      </c>
      <c r="X31" s="117">
        <f t="shared" si="16"/>
        <v>8.4221247457649182E-2</v>
      </c>
      <c r="Y31" s="117">
        <f t="shared" si="16"/>
        <v>7.9055912326225095E-2</v>
      </c>
      <c r="Z31" s="117">
        <f t="shared" si="16"/>
        <v>0.10955812556378774</v>
      </c>
      <c r="AA31" s="118">
        <f t="shared" si="16"/>
        <v>9.1108930029845187E-2</v>
      </c>
      <c r="AB31" s="117">
        <f t="shared" si="16"/>
        <v>7.6266441730613102E-2</v>
      </c>
      <c r="AC31" s="117">
        <f t="shared" si="16"/>
        <v>8.6185144909357511E-2</v>
      </c>
      <c r="AD31" s="117">
        <f t="shared" si="16"/>
        <v>7.5098227863174535E-2</v>
      </c>
      <c r="AE31" s="117">
        <f t="shared" si="16"/>
        <v>9.1033236000000003E-2</v>
      </c>
      <c r="AF31" s="118">
        <f t="shared" si="16"/>
        <v>8.3011794000000014E-2</v>
      </c>
      <c r="AG31" s="117">
        <f t="shared" si="16"/>
        <v>6.0194471546773411E-2</v>
      </c>
      <c r="AH31" s="117">
        <f t="shared" si="16"/>
        <v>7.2018460799999989E-2</v>
      </c>
      <c r="AI31" s="117">
        <f t="shared" si="16"/>
        <v>7.1284577464265031E-2</v>
      </c>
      <c r="AJ31" s="117">
        <f t="shared" si="16"/>
        <v>8.1268999999999994E-2</v>
      </c>
      <c r="AK31" s="118">
        <f t="shared" si="16"/>
        <v>7.2222848800000003E-2</v>
      </c>
      <c r="AL31" s="117">
        <f t="shared" si="16"/>
        <v>8.3740777333333474E-2</v>
      </c>
      <c r="AM31" s="117">
        <f t="shared" si="16"/>
        <v>8.8049237604963387E-2</v>
      </c>
      <c r="AN31" s="117">
        <f t="shared" si="16"/>
        <v>9.2961923262890184E-2</v>
      </c>
      <c r="AO31" s="117">
        <f t="shared" si="16"/>
        <v>0.10637626917258221</v>
      </c>
      <c r="AP31" s="118">
        <f t="shared" si="16"/>
        <v>9.4255934376814496E-2</v>
      </c>
      <c r="AQ31" s="117">
        <f t="shared" si="16"/>
        <v>9.0384225204436147E-2</v>
      </c>
      <c r="AR31" s="117">
        <f t="shared" si="16"/>
        <v>9.1482365595723134E-2</v>
      </c>
      <c r="AS31" s="117">
        <f t="shared" si="16"/>
        <v>8.1441648788924431E-2</v>
      </c>
      <c r="AT31" s="117">
        <f>AT30*AT15</f>
        <v>8.2944000000000004E-2</v>
      </c>
      <c r="AU31" s="118">
        <f>AU30*AU15</f>
        <v>8.7682770923396797E-2</v>
      </c>
      <c r="AV31" s="117">
        <f>AV30*AV15</f>
        <v>7.7225755007773095E-2</v>
      </c>
      <c r="AW31" s="117">
        <f>AW30*AW15</f>
        <v>8.4091513005925919E-2</v>
      </c>
      <c r="AX31" s="117">
        <f>AX30*AX15</f>
        <v>6.9500640882599662E-2</v>
      </c>
      <c r="AY31" s="117">
        <f t="shared" ref="AY31:BI31" si="17">AY30*AY15</f>
        <v>8.0104046802685916E-2</v>
      </c>
      <c r="AZ31" s="118">
        <f t="shared" si="17"/>
        <v>7.7805562887934568E-2</v>
      </c>
      <c r="BA31" s="117">
        <f t="shared" si="17"/>
        <v>6.7486668716408918E-2</v>
      </c>
      <c r="BB31" s="117">
        <f t="shared" si="17"/>
        <v>7.3635682767201921E-2</v>
      </c>
      <c r="BC31" s="117">
        <f t="shared" si="17"/>
        <v>6.5163415889457579E-2</v>
      </c>
      <c r="BD31" s="117">
        <f t="shared" si="17"/>
        <v>6.5630879938960343E-2</v>
      </c>
      <c r="BE31" s="118">
        <f t="shared" si="17"/>
        <v>6.885399439699319E-2</v>
      </c>
      <c r="BF31" s="117">
        <f t="shared" si="17"/>
        <v>6.3071636559680802E-2</v>
      </c>
      <c r="BG31" s="117">
        <f t="shared" si="17"/>
        <v>3.0905669042030928E-2</v>
      </c>
      <c r="BH31" s="117">
        <f t="shared" si="17"/>
        <v>5.8750199489839429E-2</v>
      </c>
      <c r="BI31" s="117">
        <f t="shared" si="17"/>
        <v>7.3545948729710292E-2</v>
      </c>
      <c r="BJ31" s="118">
        <v>6.7086445805589673E-2</v>
      </c>
      <c r="BK31" s="117">
        <f>BK30*BK15</f>
        <v>7.275894668303047E-2</v>
      </c>
      <c r="BL31" s="117">
        <f>BL30*BL15</f>
        <v>7.1955000000000005E-2</v>
      </c>
      <c r="BM31" s="117">
        <v>7.5999999999999998E-2</v>
      </c>
      <c r="BN31" s="117">
        <v>7.5999999999999998E-2</v>
      </c>
      <c r="BO31" s="226">
        <v>6.6000000000000003E-2</v>
      </c>
      <c r="BP31" s="180">
        <v>6.4000000000000001E-2</v>
      </c>
      <c r="BQ31" s="180">
        <v>5.1855748459966329E-2</v>
      </c>
      <c r="BR31" s="180">
        <v>4.9000000000000002E-2</v>
      </c>
      <c r="BS31" s="180">
        <v>5.5E-2</v>
      </c>
      <c r="BT31" s="226">
        <v>5.3800000000000001E-2</v>
      </c>
      <c r="BU31" s="223">
        <v>4.5499999999999999E-2</v>
      </c>
      <c r="BV31" s="223">
        <v>3.95E-2</v>
      </c>
      <c r="BW31" s="223">
        <v>2.7199999999999998E-2</v>
      </c>
    </row>
    <row r="32" spans="2:157" x14ac:dyDescent="0.35">
      <c r="B32" s="72" t="s">
        <v>3</v>
      </c>
      <c r="C32" s="117">
        <v>0.21826838979806207</v>
      </c>
      <c r="D32" s="117">
        <v>0.21981388229078835</v>
      </c>
      <c r="E32" s="117">
        <v>0.13465617915136019</v>
      </c>
      <c r="F32" s="117">
        <v>0.18150755140627517</v>
      </c>
      <c r="G32" s="118">
        <v>0.17722258579054495</v>
      </c>
      <c r="H32" s="117">
        <v>0.13479134577618113</v>
      </c>
      <c r="I32" s="117">
        <v>0.13501170942799823</v>
      </c>
      <c r="J32" s="117">
        <v>0.12526518510908691</v>
      </c>
      <c r="K32" s="117">
        <v>0.19560526125572608</v>
      </c>
      <c r="L32" s="118">
        <v>0.15540181809384679</v>
      </c>
      <c r="M32" s="117">
        <v>0.14289524406482967</v>
      </c>
      <c r="N32" s="117">
        <v>0.16473287921327251</v>
      </c>
      <c r="O32" s="117">
        <v>0.14218042203609305</v>
      </c>
      <c r="P32" s="117">
        <v>0.17551323166179555</v>
      </c>
      <c r="Q32" s="118">
        <v>0.15874388775979809</v>
      </c>
      <c r="R32" s="117">
        <v>0.12406602316448415</v>
      </c>
      <c r="S32" s="117">
        <v>0.13878399999999999</v>
      </c>
      <c r="T32" s="117">
        <v>0.12257260716985351</v>
      </c>
      <c r="U32" s="117">
        <v>0.13189999999999999</v>
      </c>
      <c r="V32" s="118">
        <v>0.122</v>
      </c>
      <c r="W32" s="117">
        <v>0.122</v>
      </c>
      <c r="X32" s="117">
        <v>0.139694139316382</v>
      </c>
      <c r="Y32" s="117">
        <v>0.13259884083480439</v>
      </c>
      <c r="Z32" s="117">
        <v>0.15058003127653599</v>
      </c>
      <c r="AA32" s="118">
        <v>0.13831571931915801</v>
      </c>
      <c r="AB32" s="117">
        <v>0.12166110890482772</v>
      </c>
      <c r="AC32" s="117">
        <v>0.14149897429431499</v>
      </c>
      <c r="AD32" s="117">
        <v>0.13102508703392499</v>
      </c>
      <c r="AE32" s="117">
        <v>0.16900000000000001</v>
      </c>
      <c r="AF32" s="118">
        <v>0.14399999999999999</v>
      </c>
      <c r="AG32" s="117">
        <v>0.1305</v>
      </c>
      <c r="AH32" s="117">
        <v>0.14729999999999999</v>
      </c>
      <c r="AI32" s="117">
        <v>0.14511850868893511</v>
      </c>
      <c r="AJ32" s="117">
        <v>0.16500000000000001</v>
      </c>
      <c r="AK32" s="118">
        <v>0.14899999999999999</v>
      </c>
      <c r="AL32" s="117">
        <v>0.152</v>
      </c>
      <c r="AM32" s="117">
        <v>0.14810926357525062</v>
      </c>
      <c r="AN32" s="117">
        <v>0.14065669497438554</v>
      </c>
      <c r="AO32" s="117">
        <v>0.1541686242625698</v>
      </c>
      <c r="AP32" s="118">
        <v>0.14807492794736732</v>
      </c>
      <c r="AQ32" s="117">
        <v>0.13116703243914246</v>
      </c>
      <c r="AR32" s="117">
        <v>0.11929943948747034</v>
      </c>
      <c r="AS32" s="117">
        <v>9.4911308914836956E-2</v>
      </c>
      <c r="AT32" s="117">
        <v>0.1177014623639001</v>
      </c>
      <c r="AU32" s="118">
        <v>0.115</v>
      </c>
      <c r="AV32" s="117">
        <v>0.10199999999999999</v>
      </c>
      <c r="AW32" s="117">
        <v>0.108</v>
      </c>
      <c r="AX32" s="117">
        <v>8.7053505822741975E-2</v>
      </c>
      <c r="AY32" s="117">
        <v>0.10912856734230703</v>
      </c>
      <c r="AZ32" s="118">
        <v>0.10199999999999999</v>
      </c>
      <c r="BA32" s="117">
        <v>8.4221551346363555E-2</v>
      </c>
      <c r="BB32" s="117">
        <v>8.6282167779174274E-2</v>
      </c>
      <c r="BC32" s="117">
        <v>7.8E-2</v>
      </c>
      <c r="BD32" s="117">
        <v>7.8E-2</v>
      </c>
      <c r="BE32" s="118">
        <v>8.5017389446800665E-2</v>
      </c>
      <c r="BF32" s="117">
        <v>7.7254922969699047E-2</v>
      </c>
      <c r="BG32" s="117">
        <v>5.377331917123495E-2</v>
      </c>
      <c r="BH32" s="117">
        <v>5.0859143437687125E-2</v>
      </c>
      <c r="BI32" s="117">
        <v>6.6307615793240293E-2</v>
      </c>
      <c r="BJ32" s="118">
        <v>6.0999999999999999E-2</v>
      </c>
      <c r="BK32" s="117">
        <v>5.2999999999999999E-2</v>
      </c>
      <c r="BL32" s="117">
        <v>5.0999999999999997E-2</v>
      </c>
      <c r="BM32" s="117">
        <f>BM33/BM16</f>
        <v>6.4919022530672138E-2</v>
      </c>
      <c r="BN32" s="117">
        <f>BN33/BN16</f>
        <v>6.3829787234042548E-2</v>
      </c>
      <c r="BO32" s="118">
        <f>BO33/BO16</f>
        <v>4.3797448769641582E-2</v>
      </c>
      <c r="BP32" s="117">
        <v>4.2614129401647598E-2</v>
      </c>
      <c r="BQ32" s="117">
        <f t="shared" ref="BQ32:BV32" si="18">BQ33/BQ16</f>
        <v>4.2745545554284212E-2</v>
      </c>
      <c r="BR32" s="117">
        <f t="shared" si="18"/>
        <v>4.0736219477983088E-2</v>
      </c>
      <c r="BS32" s="117">
        <f t="shared" si="18"/>
        <v>4.9295774647887321E-2</v>
      </c>
      <c r="BT32" s="118">
        <f t="shared" si="18"/>
        <v>4.4345898004434586E-2</v>
      </c>
      <c r="BU32" s="117">
        <f t="shared" si="18"/>
        <v>0.1134020618556701</v>
      </c>
      <c r="BV32" s="117">
        <f t="shared" si="18"/>
        <v>0</v>
      </c>
      <c r="BW32" s="223">
        <v>0</v>
      </c>
    </row>
    <row r="33" spans="2:75" x14ac:dyDescent="0.35">
      <c r="B33" s="72" t="str">
        <f>IF('Índice - Index'!$D$14="Português","Co-Branded - total das vendas","Co-Branded - total sales")</f>
        <v>Co-Branded - total das vendas</v>
      </c>
      <c r="C33" s="117">
        <f t="shared" ref="C33:AH33" si="19">C32*C16</f>
        <v>9.5972610994207893E-4</v>
      </c>
      <c r="D33" s="117">
        <f t="shared" si="19"/>
        <v>5.591625537713074E-3</v>
      </c>
      <c r="E33" s="117">
        <f t="shared" si="19"/>
        <v>4.8458719191199987E-3</v>
      </c>
      <c r="F33" s="117">
        <f t="shared" si="19"/>
        <v>6.3876137490896361E-3</v>
      </c>
      <c r="G33" s="118">
        <f t="shared" si="19"/>
        <v>4.930686781864542E-3</v>
      </c>
      <c r="H33" s="117">
        <f t="shared" si="19"/>
        <v>4.7398028828736331E-3</v>
      </c>
      <c r="I33" s="117">
        <f t="shared" si="19"/>
        <v>5.1681132251943443E-3</v>
      </c>
      <c r="J33" s="117">
        <f t="shared" si="19"/>
        <v>5.0354099110150752E-3</v>
      </c>
      <c r="K33" s="117">
        <f t="shared" si="19"/>
        <v>8.1704317626516785E-3</v>
      </c>
      <c r="L33" s="118">
        <f t="shared" si="19"/>
        <v>6.1180141765366548E-3</v>
      </c>
      <c r="M33" s="117">
        <f t="shared" si="19"/>
        <v>5.7896866037747035E-3</v>
      </c>
      <c r="N33" s="117">
        <f t="shared" si="19"/>
        <v>7.1836713967323874E-3</v>
      </c>
      <c r="O33" s="117">
        <f t="shared" si="19"/>
        <v>6.569730761021751E-3</v>
      </c>
      <c r="P33" s="117">
        <f t="shared" si="19"/>
        <v>7.2265818004427704E-3</v>
      </c>
      <c r="Q33" s="118">
        <f t="shared" si="19"/>
        <v>6.8063029315891021E-3</v>
      </c>
      <c r="R33" s="117">
        <f t="shared" si="19"/>
        <v>4.3423108107569454E-3</v>
      </c>
      <c r="S33" s="117">
        <f t="shared" si="19"/>
        <v>5.5512212159999994E-3</v>
      </c>
      <c r="T33" s="117">
        <f t="shared" si="19"/>
        <v>4.9361214633371706E-3</v>
      </c>
      <c r="U33" s="117">
        <f t="shared" si="19"/>
        <v>5.1799767999999996E-3</v>
      </c>
      <c r="V33" s="118">
        <f t="shared" si="19"/>
        <v>4.8519399999999999E-3</v>
      </c>
      <c r="W33" s="117">
        <f t="shared" si="19"/>
        <v>4.7031E-3</v>
      </c>
      <c r="X33" s="117">
        <f t="shared" si="19"/>
        <v>5.3832533526960965E-3</v>
      </c>
      <c r="Y33" s="117">
        <f t="shared" si="19"/>
        <v>5.6095939615163999E-3</v>
      </c>
      <c r="Z33" s="117">
        <f t="shared" si="19"/>
        <v>5.6402762315252084E-3</v>
      </c>
      <c r="AA33" s="118">
        <f t="shared" si="19"/>
        <v>5.3149198305579657E-3</v>
      </c>
      <c r="AB33" s="117">
        <f t="shared" si="19"/>
        <v>4.8085336683544103E-3</v>
      </c>
      <c r="AC33" s="117">
        <f t="shared" si="19"/>
        <v>5.5819930369364317E-3</v>
      </c>
      <c r="AD33" s="117">
        <f t="shared" si="19"/>
        <v>5.3838208262239782E-3</v>
      </c>
      <c r="AE33" s="117">
        <f t="shared" si="19"/>
        <v>6.5501020000000004E-3</v>
      </c>
      <c r="AF33" s="118">
        <f t="shared" si="19"/>
        <v>5.7039839999999996E-3</v>
      </c>
      <c r="AG33" s="117">
        <f t="shared" si="19"/>
        <v>5.0879340000000006E-3</v>
      </c>
      <c r="AH33" s="117">
        <f t="shared" si="19"/>
        <v>5.7282023999999992E-3</v>
      </c>
      <c r="AI33" s="117">
        <f>AI32*AI16</f>
        <v>6.0861251359052492E-3</v>
      </c>
      <c r="AJ33" s="117">
        <f t="shared" ref="AJ33:AS33" si="20">AJ32*AJ16</f>
        <v>6.2975549999999998E-3</v>
      </c>
      <c r="AK33" s="118">
        <f t="shared" si="20"/>
        <v>5.7329240000000004E-3</v>
      </c>
      <c r="AL33" s="117">
        <f t="shared" si="20"/>
        <v>6.0348559999999999E-3</v>
      </c>
      <c r="AM33" s="117">
        <f t="shared" si="20"/>
        <v>5.6817675692737643E-3</v>
      </c>
      <c r="AN33" s="117">
        <f t="shared" si="20"/>
        <v>5.1048534307053745E-3</v>
      </c>
      <c r="AO33" s="117">
        <f t="shared" si="20"/>
        <v>5.214291209808636E-3</v>
      </c>
      <c r="AP33" s="118">
        <f t="shared" si="20"/>
        <v>5.3851889795898545E-3</v>
      </c>
      <c r="AQ33" s="117">
        <f t="shared" si="20"/>
        <v>4.8531802002482706E-3</v>
      </c>
      <c r="AR33" s="117">
        <f t="shared" si="20"/>
        <v>4.3126747374720529E-3</v>
      </c>
      <c r="AS33" s="117">
        <f t="shared" si="20"/>
        <v>3.8309019306240438E-3</v>
      </c>
      <c r="AT33" s="117">
        <f>AT32*AT16</f>
        <v>4.8943737611738865E-3</v>
      </c>
      <c r="AU33" s="118">
        <f>AU32*AU16</f>
        <v>4.4365611493375505E-3</v>
      </c>
      <c r="AV33" s="117">
        <f>AV32*AV16</f>
        <v>4.5133791496995502E-3</v>
      </c>
      <c r="AW33" s="117">
        <f>AW32*AW16</f>
        <v>5.2082052552123153E-3</v>
      </c>
      <c r="AX33" s="117">
        <f>AX32*AX16</f>
        <v>4.0629112297905414E-3</v>
      </c>
      <c r="AY33" s="117">
        <f t="shared" ref="AY33:BI33" si="21">AY32*AY16</f>
        <v>5.2646036399636199E-3</v>
      </c>
      <c r="AZ33" s="118">
        <f t="shared" si="21"/>
        <v>4.7977759536942588E-3</v>
      </c>
      <c r="BA33" s="117">
        <f t="shared" si="21"/>
        <v>4.2630097689579614E-3</v>
      </c>
      <c r="BB33" s="117">
        <f t="shared" si="21"/>
        <v>4.5329615636121928E-3</v>
      </c>
      <c r="BC33" s="117">
        <f t="shared" si="21"/>
        <v>4.2207571208108547E-3</v>
      </c>
      <c r="BD33" s="117">
        <f t="shared" si="21"/>
        <v>3.9620173930068371E-3</v>
      </c>
      <c r="BE33" s="118">
        <f t="shared" si="21"/>
        <v>4.4185186194640319E-3</v>
      </c>
      <c r="BF33" s="117">
        <f t="shared" si="21"/>
        <v>4.286157594258877E-3</v>
      </c>
      <c r="BG33" s="117">
        <f t="shared" si="21"/>
        <v>1.9756078990390631E-3</v>
      </c>
      <c r="BH33" s="117">
        <f t="shared" si="21"/>
        <v>2.0697937450259302E-3</v>
      </c>
      <c r="BI33" s="117">
        <f t="shared" si="21"/>
        <v>2.7767455350796531E-3</v>
      </c>
      <c r="BJ33" s="118">
        <v>2.6987024686802555E-3</v>
      </c>
      <c r="BK33" s="117">
        <f t="shared" ref="BK33:BL33" si="22">BK32*BK16</f>
        <v>2.5185832539000382E-3</v>
      </c>
      <c r="BL33" s="117">
        <f t="shared" si="22"/>
        <v>2.3969999999999998E-3</v>
      </c>
      <c r="BM33" s="117">
        <v>3.0000000000000001E-3</v>
      </c>
      <c r="BN33" s="117">
        <v>3.0000000000000001E-3</v>
      </c>
      <c r="BO33" s="226">
        <v>2E-3</v>
      </c>
      <c r="BP33" s="180">
        <v>2E-3</v>
      </c>
      <c r="BQ33" s="180">
        <v>1.9968381482050658E-3</v>
      </c>
      <c r="BR33" s="180">
        <v>1.9E-3</v>
      </c>
      <c r="BS33" s="180">
        <v>2.0999999999999999E-3</v>
      </c>
      <c r="BT33" s="226">
        <v>2E-3</v>
      </c>
      <c r="BU33" s="223">
        <v>4.4000000000000003E-3</v>
      </c>
      <c r="BV33" s="223">
        <v>0</v>
      </c>
      <c r="BW33" s="223">
        <v>0</v>
      </c>
    </row>
    <row r="34" spans="2:75" x14ac:dyDescent="0.3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</row>
    <row r="35" spans="2:75" x14ac:dyDescent="0.35">
      <c r="B35" s="119" t="s">
        <v>15</v>
      </c>
      <c r="C35" s="120">
        <f t="shared" ref="C35:AO35" si="23">SUM(C36:C41)</f>
        <v>11.5</v>
      </c>
      <c r="D35" s="120">
        <f t="shared" si="23"/>
        <v>21.5</v>
      </c>
      <c r="E35" s="120">
        <f t="shared" si="23"/>
        <v>12.2</v>
      </c>
      <c r="F35" s="120">
        <f t="shared" si="23"/>
        <v>26</v>
      </c>
      <c r="G35" s="121">
        <f t="shared" si="23"/>
        <v>71.2</v>
      </c>
      <c r="H35" s="120">
        <f t="shared" si="23"/>
        <v>23</v>
      </c>
      <c r="I35" s="120">
        <f t="shared" si="23"/>
        <v>45.2</v>
      </c>
      <c r="J35" s="120">
        <f t="shared" si="23"/>
        <v>76.799999999999983</v>
      </c>
      <c r="K35" s="120">
        <f t="shared" si="23"/>
        <v>99.1</v>
      </c>
      <c r="L35" s="121">
        <f t="shared" si="23"/>
        <v>244.1</v>
      </c>
      <c r="M35" s="120">
        <f t="shared" si="23"/>
        <v>42.9</v>
      </c>
      <c r="N35" s="120">
        <f t="shared" si="23"/>
        <v>52.699999999999996</v>
      </c>
      <c r="O35" s="120">
        <f t="shared" si="23"/>
        <v>77.400000000000006</v>
      </c>
      <c r="P35" s="120">
        <f t="shared" si="23"/>
        <v>82</v>
      </c>
      <c r="Q35" s="121">
        <f t="shared" si="23"/>
        <v>255</v>
      </c>
      <c r="R35" s="120">
        <f t="shared" si="23"/>
        <v>35.4</v>
      </c>
      <c r="S35" s="120">
        <f t="shared" si="23"/>
        <v>22.2</v>
      </c>
      <c r="T35" s="120">
        <f t="shared" si="23"/>
        <v>48.000000000000007</v>
      </c>
      <c r="U35" s="120">
        <f t="shared" si="23"/>
        <v>78.099999999999994</v>
      </c>
      <c r="V35" s="121">
        <f t="shared" si="23"/>
        <v>183.70000000000002</v>
      </c>
      <c r="W35" s="120">
        <f t="shared" si="23"/>
        <v>54.3</v>
      </c>
      <c r="X35" s="120">
        <f t="shared" si="23"/>
        <v>47.600999999999999</v>
      </c>
      <c r="Y35" s="120">
        <f t="shared" si="23"/>
        <v>88.64700000000002</v>
      </c>
      <c r="Z35" s="120">
        <f t="shared" si="23"/>
        <v>75.510320030000003</v>
      </c>
      <c r="AA35" s="121">
        <f t="shared" si="23"/>
        <v>266.05832003</v>
      </c>
      <c r="AB35" s="120">
        <f t="shared" si="23"/>
        <v>51.088561539999802</v>
      </c>
      <c r="AC35" s="120">
        <f t="shared" si="23"/>
        <v>69.502703390000292</v>
      </c>
      <c r="AD35" s="120">
        <f t="shared" si="23"/>
        <v>55.219222110000004</v>
      </c>
      <c r="AE35" s="120">
        <f t="shared" si="23"/>
        <v>44.56666158000003</v>
      </c>
      <c r="AF35" s="121">
        <f t="shared" si="23"/>
        <v>220.37714862000013</v>
      </c>
      <c r="AG35" s="120">
        <f t="shared" si="23"/>
        <v>32.799999999999997</v>
      </c>
      <c r="AH35" s="120">
        <f t="shared" si="23"/>
        <v>30.9</v>
      </c>
      <c r="AI35" s="120">
        <f t="shared" si="23"/>
        <v>23.244000000000003</v>
      </c>
      <c r="AJ35" s="120">
        <f t="shared" si="23"/>
        <v>26.06</v>
      </c>
      <c r="AK35" s="121">
        <f t="shared" si="23"/>
        <v>113.00400000000002</v>
      </c>
      <c r="AL35" s="120">
        <f t="shared" si="23"/>
        <v>26.99125128</v>
      </c>
      <c r="AM35" s="120">
        <f t="shared" si="23"/>
        <v>33.551748720000006</v>
      </c>
      <c r="AN35" s="120">
        <f t="shared" si="23"/>
        <v>27.300847289999879</v>
      </c>
      <c r="AO35" s="120">
        <f t="shared" si="23"/>
        <v>19.501951340000076</v>
      </c>
      <c r="AP35" s="121">
        <v>107.34579862999995</v>
      </c>
      <c r="AQ35" s="120">
        <f t="shared" ref="AQ35:BI35" si="24">SUM(AQ36:AQ41)</f>
        <v>12.497724000000005</v>
      </c>
      <c r="AR35" s="120">
        <f t="shared" si="24"/>
        <v>11.332752800000026</v>
      </c>
      <c r="AS35" s="120">
        <f t="shared" si="24"/>
        <v>11.526744109999999</v>
      </c>
      <c r="AT35" s="120">
        <f t="shared" si="24"/>
        <v>20.5</v>
      </c>
      <c r="AU35" s="121">
        <f t="shared" si="24"/>
        <v>56</v>
      </c>
      <c r="AV35" s="120">
        <f t="shared" si="24"/>
        <v>10.5</v>
      </c>
      <c r="AW35" s="120">
        <f t="shared" si="24"/>
        <v>15.574999999999998</v>
      </c>
      <c r="AX35" s="120">
        <f t="shared" si="24"/>
        <v>23.7</v>
      </c>
      <c r="AY35" s="120">
        <f t="shared" si="24"/>
        <v>12.3</v>
      </c>
      <c r="AZ35" s="121">
        <f t="shared" si="24"/>
        <v>62.074999999999989</v>
      </c>
      <c r="BA35" s="120">
        <f t="shared" si="24"/>
        <v>15.5</v>
      </c>
      <c r="BB35" s="120">
        <f t="shared" si="24"/>
        <v>14.13</v>
      </c>
      <c r="BC35" s="120">
        <f t="shared" si="24"/>
        <v>12.64</v>
      </c>
      <c r="BD35" s="120">
        <f t="shared" si="24"/>
        <v>17.220492380000003</v>
      </c>
      <c r="BE35" s="121">
        <f t="shared" si="24"/>
        <v>59.490492379999999</v>
      </c>
      <c r="BF35" s="120">
        <f t="shared" si="24"/>
        <v>10.0162514</v>
      </c>
      <c r="BG35" s="120">
        <f t="shared" si="24"/>
        <v>10.577408369999997</v>
      </c>
      <c r="BH35" s="120">
        <f t="shared" si="24"/>
        <v>11.881331919999994</v>
      </c>
      <c r="BI35" s="120">
        <f t="shared" si="24"/>
        <v>21.558508710000002</v>
      </c>
      <c r="BJ35" s="121">
        <v>54.033500399999994</v>
      </c>
      <c r="BK35" s="120">
        <f t="shared" ref="BK35" si="25">SUM(BK36:BK41)</f>
        <v>11.45</v>
      </c>
      <c r="BL35" s="120">
        <f>SUM(BL36:BL40)</f>
        <v>18.468761699999998</v>
      </c>
      <c r="BM35" s="120">
        <f>SUM(BM36:BM41)</f>
        <v>18.714979450000001</v>
      </c>
      <c r="BN35" s="120">
        <f>SUM(BN36:BN41)</f>
        <v>31.276914930000004</v>
      </c>
      <c r="BO35" s="231">
        <f>SUM(BK35:BN35)</f>
        <v>79.910656079999995</v>
      </c>
      <c r="BP35" s="120">
        <v>17.617925260000003</v>
      </c>
      <c r="BQ35" s="120">
        <f t="shared" ref="BQ35:BW35" si="26">SUM(BQ36:BQ41)</f>
        <v>15.86351168</v>
      </c>
      <c r="BR35" s="120">
        <f t="shared" si="26"/>
        <v>14.648744809999991</v>
      </c>
      <c r="BS35" s="120">
        <f t="shared" si="26"/>
        <v>23.74945494</v>
      </c>
      <c r="BT35" s="231">
        <f t="shared" si="26"/>
        <v>71.879636689999984</v>
      </c>
      <c r="BU35" s="232">
        <f t="shared" si="26"/>
        <v>4.4893002300000004</v>
      </c>
      <c r="BV35" s="232">
        <f t="shared" si="26"/>
        <v>1.8845616300000001</v>
      </c>
      <c r="BW35" s="232">
        <f t="shared" si="26"/>
        <v>1.879779939999999</v>
      </c>
    </row>
    <row r="36" spans="2:75" x14ac:dyDescent="0.35">
      <c r="B36" s="72" t="str">
        <f>IF('Índice - Index'!$D$14="Português","Novas Lojas","New Stores")</f>
        <v>Novas Lojas</v>
      </c>
      <c r="C36" s="120">
        <v>7.5</v>
      </c>
      <c r="D36" s="120">
        <v>5.9</v>
      </c>
      <c r="E36" s="120">
        <v>5.7</v>
      </c>
      <c r="F36" s="120">
        <v>12.9</v>
      </c>
      <c r="G36" s="136">
        <f t="shared" ref="G36:G41" si="27">SUM(C36:F36)</f>
        <v>32</v>
      </c>
      <c r="H36" s="120">
        <v>17.7</v>
      </c>
      <c r="I36" s="120">
        <v>23</v>
      </c>
      <c r="J36" s="120">
        <v>62.1</v>
      </c>
      <c r="K36" s="120">
        <v>78.099999999999994</v>
      </c>
      <c r="L36" s="136">
        <f t="shared" ref="L36:L41" si="28">SUM(H36:K36)</f>
        <v>180.9</v>
      </c>
      <c r="M36" s="120">
        <v>29.2</v>
      </c>
      <c r="N36" s="120">
        <v>32.9</v>
      </c>
      <c r="O36" s="120">
        <v>52.7</v>
      </c>
      <c r="P36" s="120">
        <v>65.599999999999994</v>
      </c>
      <c r="Q36" s="136">
        <f t="shared" ref="Q36:Q41" si="29">SUM(M36:P36)</f>
        <v>180.39999999999998</v>
      </c>
      <c r="R36" s="120">
        <v>21.5</v>
      </c>
      <c r="S36" s="120">
        <v>11.8</v>
      </c>
      <c r="T36" s="120">
        <v>27.1</v>
      </c>
      <c r="U36" s="120">
        <v>55.7</v>
      </c>
      <c r="V36" s="133">
        <f t="shared" ref="V36:V41" si="30">SUM(R36:U36)</f>
        <v>116.1</v>
      </c>
      <c r="W36" s="120">
        <v>28.8</v>
      </c>
      <c r="X36" s="120">
        <v>23.959499999999998</v>
      </c>
      <c r="Y36" s="120">
        <v>44.578603420000022</v>
      </c>
      <c r="Z36" s="120">
        <v>31.259994239999997</v>
      </c>
      <c r="AA36" s="136">
        <f t="shared" ref="AA36:AA41" si="31">SUM(W36:Z36)</f>
        <v>128.59809766000001</v>
      </c>
      <c r="AB36" s="120">
        <v>17.189194310000005</v>
      </c>
      <c r="AC36" s="120">
        <v>4.6850159599999985</v>
      </c>
      <c r="AD36" s="120">
        <v>9.5479176599999995</v>
      </c>
      <c r="AE36" s="120">
        <v>6.3352034499999981</v>
      </c>
      <c r="AF36" s="136">
        <f t="shared" ref="AF36:AF41" si="32">SUM(AB36:AE36)</f>
        <v>37.757331379999997</v>
      </c>
      <c r="AG36" s="120">
        <v>0.9</v>
      </c>
      <c r="AH36" s="120">
        <v>0.1</v>
      </c>
      <c r="AI36" s="120">
        <v>0.61089044999999997</v>
      </c>
      <c r="AJ36" s="120">
        <v>3.5910000000000002</v>
      </c>
      <c r="AK36" s="136">
        <f t="shared" ref="AK36:AK41" si="33">SUM(AG36:AJ36)</f>
        <v>5.2018904500000005</v>
      </c>
      <c r="AL36" s="120">
        <v>0.39711080999999998</v>
      </c>
      <c r="AM36" s="120">
        <v>0.90594165999999887</v>
      </c>
      <c r="AN36" s="120">
        <v>0.25669825999999996</v>
      </c>
      <c r="AO36" s="120">
        <v>2.8602549500000003</v>
      </c>
      <c r="AP36" s="121">
        <v>4.4200056799999992</v>
      </c>
      <c r="AQ36" s="120">
        <v>0</v>
      </c>
      <c r="AR36" s="120">
        <v>0</v>
      </c>
      <c r="AS36" s="120">
        <v>0</v>
      </c>
      <c r="AT36" s="120" t="s">
        <v>16</v>
      </c>
      <c r="AU36" s="121" t="s">
        <v>16</v>
      </c>
      <c r="AV36" s="120">
        <v>0</v>
      </c>
      <c r="AW36" s="120">
        <v>0</v>
      </c>
      <c r="AX36" s="120">
        <v>0</v>
      </c>
      <c r="AY36" s="120">
        <v>0</v>
      </c>
      <c r="AZ36" s="121">
        <v>0</v>
      </c>
      <c r="BA36" s="120">
        <v>0</v>
      </c>
      <c r="BB36" s="120">
        <v>0</v>
      </c>
      <c r="BC36" s="120">
        <v>0</v>
      </c>
      <c r="BD36" s="120">
        <v>0</v>
      </c>
      <c r="BE36" s="121">
        <f>SUM(BA36:BD36)</f>
        <v>0</v>
      </c>
      <c r="BF36" s="120">
        <v>0</v>
      </c>
      <c r="BG36" s="120">
        <v>0</v>
      </c>
      <c r="BH36" s="120">
        <v>0</v>
      </c>
      <c r="BI36" s="120">
        <v>0</v>
      </c>
      <c r="BJ36" s="121">
        <v>0</v>
      </c>
      <c r="BK36" s="120">
        <v>0</v>
      </c>
      <c r="BL36" s="120">
        <v>0</v>
      </c>
      <c r="BM36" s="120">
        <v>0</v>
      </c>
      <c r="BN36" s="232">
        <v>0</v>
      </c>
      <c r="BO36" s="231">
        <f t="shared" ref="BO36:BO41" si="34">SUM(BK36:BN36)</f>
        <v>0</v>
      </c>
      <c r="BP36" s="232">
        <v>0</v>
      </c>
      <c r="BQ36" s="232">
        <v>0</v>
      </c>
      <c r="BR36" s="232">
        <v>0</v>
      </c>
      <c r="BS36" s="232">
        <v>0</v>
      </c>
      <c r="BT36" s="231">
        <f>SUM(BP36:BS36)</f>
        <v>0</v>
      </c>
      <c r="BU36" s="232">
        <v>0</v>
      </c>
      <c r="BV36" s="232">
        <v>0</v>
      </c>
      <c r="BW36" s="232">
        <v>0</v>
      </c>
    </row>
    <row r="37" spans="2:75" x14ac:dyDescent="0.35">
      <c r="B37" s="72" t="str">
        <f>IF('Índice - Index'!$D$14="Português","Ampliações e Reformas","Stores remodeling")</f>
        <v>Ampliações e Reformas</v>
      </c>
      <c r="C37" s="120">
        <v>1.6</v>
      </c>
      <c r="D37" s="120">
        <v>1.8</v>
      </c>
      <c r="E37" s="120">
        <v>1.5</v>
      </c>
      <c r="F37" s="120">
        <v>7</v>
      </c>
      <c r="G37" s="136">
        <f t="shared" si="27"/>
        <v>11.9</v>
      </c>
      <c r="H37" s="120">
        <v>1.1000000000000001</v>
      </c>
      <c r="I37" s="120">
        <v>9.8000000000000007</v>
      </c>
      <c r="J37" s="120">
        <v>8</v>
      </c>
      <c r="K37" s="120">
        <v>8.1</v>
      </c>
      <c r="L37" s="136">
        <f t="shared" si="28"/>
        <v>27</v>
      </c>
      <c r="M37" s="120">
        <v>5</v>
      </c>
      <c r="N37" s="120">
        <v>8</v>
      </c>
      <c r="O37" s="120">
        <v>14.1</v>
      </c>
      <c r="P37" s="120">
        <v>8.3000000000000007</v>
      </c>
      <c r="Q37" s="136">
        <f t="shared" si="29"/>
        <v>35.400000000000006</v>
      </c>
      <c r="R37" s="120">
        <v>4</v>
      </c>
      <c r="S37" s="120">
        <v>1.9</v>
      </c>
      <c r="T37" s="120">
        <v>7.7</v>
      </c>
      <c r="U37" s="120">
        <v>4.2</v>
      </c>
      <c r="V37" s="133">
        <f t="shared" si="30"/>
        <v>17.8</v>
      </c>
      <c r="W37" s="120">
        <v>9.4</v>
      </c>
      <c r="X37" s="120">
        <v>9.9160000000000004</v>
      </c>
      <c r="Y37" s="120">
        <v>25.72093907</v>
      </c>
      <c r="Z37" s="120">
        <v>26.475670600000001</v>
      </c>
      <c r="AA37" s="136">
        <f t="shared" si="31"/>
        <v>71.512609670000003</v>
      </c>
      <c r="AB37" s="120">
        <v>18.771505380000001</v>
      </c>
      <c r="AC37" s="120">
        <v>14.356999999999999</v>
      </c>
      <c r="AD37" s="120">
        <v>11.26672422</v>
      </c>
      <c r="AE37" s="120">
        <v>10.66672859</v>
      </c>
      <c r="AF37" s="136">
        <f t="shared" si="32"/>
        <v>55.061958189999999</v>
      </c>
      <c r="AG37" s="120">
        <v>4.7</v>
      </c>
      <c r="AH37" s="120">
        <v>3.8</v>
      </c>
      <c r="AI37" s="120">
        <v>10.398066640000001</v>
      </c>
      <c r="AJ37" s="120">
        <v>9.048</v>
      </c>
      <c r="AK37" s="136">
        <f t="shared" si="33"/>
        <v>27.946066640000005</v>
      </c>
      <c r="AL37" s="120">
        <v>16.60125442</v>
      </c>
      <c r="AM37" s="120">
        <v>22.000355130000006</v>
      </c>
      <c r="AN37" s="120">
        <v>17.518429659999956</v>
      </c>
      <c r="AO37" s="120">
        <v>9.041566280000076</v>
      </c>
      <c r="AP37" s="121">
        <v>65.161605489999999</v>
      </c>
      <c r="AQ37" s="120">
        <v>1.12486427</v>
      </c>
      <c r="AR37" s="120">
        <v>1.5893424199999997</v>
      </c>
      <c r="AS37" s="120">
        <v>2.5228036999999999</v>
      </c>
      <c r="AT37" s="120">
        <v>4</v>
      </c>
      <c r="AU37" s="121">
        <v>9.1999999999999993</v>
      </c>
      <c r="AV37" s="120">
        <v>1</v>
      </c>
      <c r="AW37" s="120">
        <v>5.4969999999999999</v>
      </c>
      <c r="AX37" s="120">
        <v>7.2</v>
      </c>
      <c r="AY37" s="120">
        <v>2.6</v>
      </c>
      <c r="AZ37" s="121">
        <v>16.297000000000001</v>
      </c>
      <c r="BA37" s="120">
        <v>2.4</v>
      </c>
      <c r="BB37" s="120">
        <v>2.9</v>
      </c>
      <c r="BC37" s="120">
        <v>4.49</v>
      </c>
      <c r="BD37" s="120">
        <v>4.4151559999999996</v>
      </c>
      <c r="BE37" s="121">
        <f>SUM(BA37:BD37)</f>
        <v>14.205155999999999</v>
      </c>
      <c r="BF37" s="120">
        <v>2.7543371900000002</v>
      </c>
      <c r="BG37" s="120">
        <v>2.6636115099999995</v>
      </c>
      <c r="BH37" s="120">
        <v>6.1229706499999992</v>
      </c>
      <c r="BI37" s="120">
        <v>4.6987379200000019</v>
      </c>
      <c r="BJ37" s="121">
        <v>16.239657270000002</v>
      </c>
      <c r="BK37" s="120">
        <v>2.23</v>
      </c>
      <c r="BL37" s="120">
        <v>2.47961141</v>
      </c>
      <c r="BM37" s="120">
        <v>2.6255456199999996</v>
      </c>
      <c r="BN37" s="232">
        <v>15.525398610000003</v>
      </c>
      <c r="BO37" s="231">
        <f t="shared" si="34"/>
        <v>22.860555640000001</v>
      </c>
      <c r="BP37" s="232">
        <v>3.7935139000000002</v>
      </c>
      <c r="BQ37" s="232">
        <v>2.2584202999999996</v>
      </c>
      <c r="BR37" s="232">
        <v>1.12659767</v>
      </c>
      <c r="BS37" s="232">
        <v>5.5306296400000026</v>
      </c>
      <c r="BT37" s="231">
        <f t="shared" ref="BT37:BT41" si="35">SUM(BP37:BS37)</f>
        <v>12.709161510000001</v>
      </c>
      <c r="BU37" s="232">
        <v>1.3223589599999999</v>
      </c>
      <c r="BV37" s="232">
        <v>0.30740764000000004</v>
      </c>
      <c r="BW37" s="232">
        <v>1.854955229999999</v>
      </c>
    </row>
    <row r="38" spans="2:75" x14ac:dyDescent="0.35">
      <c r="B38" s="72" t="str">
        <f>IF('Índice - Index'!$D$14="Português","Logística","Logistics")</f>
        <v>Logística</v>
      </c>
      <c r="C38" s="120">
        <v>0</v>
      </c>
      <c r="D38" s="120">
        <v>8.3354660000000003</v>
      </c>
      <c r="E38" s="120">
        <v>0.71545519999999918</v>
      </c>
      <c r="F38" s="120">
        <v>0.27390300000000067</v>
      </c>
      <c r="G38" s="136">
        <f t="shared" si="27"/>
        <v>9.3248242000000001</v>
      </c>
      <c r="H38" s="120">
        <v>0.151863</v>
      </c>
      <c r="I38" s="120">
        <v>1.0490079999999999</v>
      </c>
      <c r="J38" s="120">
        <v>2.03172335</v>
      </c>
      <c r="K38" s="120">
        <v>4.9000000000000004</v>
      </c>
      <c r="L38" s="136">
        <f t="shared" si="28"/>
        <v>8.1325943500000015</v>
      </c>
      <c r="M38" s="120">
        <v>3.3</v>
      </c>
      <c r="N38" s="120">
        <v>4.8</v>
      </c>
      <c r="O38" s="120">
        <v>3.9</v>
      </c>
      <c r="P38" s="120">
        <v>1.9</v>
      </c>
      <c r="Q38" s="136">
        <f t="shared" si="29"/>
        <v>13.9</v>
      </c>
      <c r="R38" s="120">
        <v>0.4</v>
      </c>
      <c r="S38" s="120">
        <v>0.7</v>
      </c>
      <c r="T38" s="120">
        <v>0.5</v>
      </c>
      <c r="U38" s="120">
        <v>4.5999999999999996</v>
      </c>
      <c r="V38" s="133">
        <f t="shared" si="30"/>
        <v>6.1999999999999993</v>
      </c>
      <c r="W38" s="120">
        <v>0.5</v>
      </c>
      <c r="X38" s="120">
        <v>2.9784999999999999</v>
      </c>
      <c r="Y38" s="120">
        <v>10.309763139999999</v>
      </c>
      <c r="Z38" s="120">
        <v>3.3540121899999997</v>
      </c>
      <c r="AA38" s="136">
        <f t="shared" si="31"/>
        <v>17.14227533</v>
      </c>
      <c r="AB38" s="120">
        <v>0.30479227999999997</v>
      </c>
      <c r="AC38" s="120">
        <v>0.66500000000000004</v>
      </c>
      <c r="AD38" s="120">
        <v>0.30476063000000003</v>
      </c>
      <c r="AE38" s="120">
        <v>6.003647149999999</v>
      </c>
      <c r="AF38" s="136">
        <f t="shared" si="32"/>
        <v>7.2782000599999996</v>
      </c>
      <c r="AG38" s="120">
        <v>1.9</v>
      </c>
      <c r="AH38" s="120">
        <v>3.3</v>
      </c>
      <c r="AI38" s="120">
        <v>3.0474580000000001E-2</v>
      </c>
      <c r="AJ38" s="120">
        <v>0.128</v>
      </c>
      <c r="AK38" s="136">
        <f t="shared" si="33"/>
        <v>5.3584745799999993</v>
      </c>
      <c r="AL38" s="120">
        <v>3.9437600000000003E-2</v>
      </c>
      <c r="AM38" s="120">
        <v>1.2068229999999999E-2</v>
      </c>
      <c r="AN38" s="120">
        <v>6.0307210000000007E-2</v>
      </c>
      <c r="AO38" s="120">
        <v>0.14818049999999999</v>
      </c>
      <c r="AP38" s="121">
        <v>0.25999353999999997</v>
      </c>
      <c r="AQ38" s="120">
        <v>9.4832E-2</v>
      </c>
      <c r="AR38" s="120">
        <v>4.0683050000000005E-2</v>
      </c>
      <c r="AS38" s="120">
        <v>2.7619999999999999E-2</v>
      </c>
      <c r="AT38" s="120">
        <v>0.3</v>
      </c>
      <c r="AU38" s="121">
        <v>0.4</v>
      </c>
      <c r="AV38" s="120">
        <v>0.3</v>
      </c>
      <c r="AW38" s="120">
        <v>0.22600000000000001</v>
      </c>
      <c r="AX38" s="120">
        <v>0</v>
      </c>
      <c r="AY38" s="120">
        <v>0.2</v>
      </c>
      <c r="AZ38" s="121">
        <v>0.72599999999999998</v>
      </c>
      <c r="BA38" s="120" t="s">
        <v>16</v>
      </c>
      <c r="BB38" s="120">
        <v>0.16</v>
      </c>
      <c r="BC38" s="120">
        <v>0</v>
      </c>
      <c r="BD38" s="120">
        <v>0</v>
      </c>
      <c r="BE38" s="121">
        <f>SUM(BA38:BD38)</f>
        <v>0.16</v>
      </c>
      <c r="BF38" s="120">
        <v>0</v>
      </c>
      <c r="BG38" s="120">
        <v>0</v>
      </c>
      <c r="BH38" s="120">
        <v>0</v>
      </c>
      <c r="BI38" s="120">
        <v>0</v>
      </c>
      <c r="BJ38" s="121">
        <v>0</v>
      </c>
      <c r="BK38" s="120">
        <v>0</v>
      </c>
      <c r="BL38" s="120">
        <v>0</v>
      </c>
      <c r="BM38" s="120">
        <v>0</v>
      </c>
      <c r="BN38" s="232">
        <v>0</v>
      </c>
      <c r="BO38" s="231">
        <f t="shared" si="34"/>
        <v>0</v>
      </c>
      <c r="BP38" s="232">
        <v>0</v>
      </c>
      <c r="BQ38" s="232">
        <v>0</v>
      </c>
      <c r="BR38" s="232">
        <v>0</v>
      </c>
      <c r="BS38" s="232">
        <v>0</v>
      </c>
      <c r="BT38" s="231">
        <f t="shared" si="35"/>
        <v>0</v>
      </c>
      <c r="BU38" s="232">
        <v>0</v>
      </c>
      <c r="BV38" s="232">
        <v>0</v>
      </c>
      <c r="BW38" s="232">
        <v>0</v>
      </c>
    </row>
    <row r="39" spans="2:75" x14ac:dyDescent="0.35">
      <c r="B39" s="72" t="str">
        <f>IF('Índice - Index'!$D$14="Português","TI","IT")</f>
        <v>TI</v>
      </c>
      <c r="C39" s="120">
        <v>1.502845</v>
      </c>
      <c r="D39" s="120">
        <v>4.0390090000000001</v>
      </c>
      <c r="E39" s="120">
        <v>1.5640129800000002</v>
      </c>
      <c r="F39" s="120">
        <v>1.2099543500000001</v>
      </c>
      <c r="G39" s="136">
        <f t="shared" si="27"/>
        <v>8.3158213300000003</v>
      </c>
      <c r="H39" s="120">
        <v>2.4172761</v>
      </c>
      <c r="I39" s="120">
        <v>3.3555269999999999</v>
      </c>
      <c r="J39" s="120">
        <v>3.1878316799999995</v>
      </c>
      <c r="K39" s="120">
        <v>3.1</v>
      </c>
      <c r="L39" s="136">
        <f t="shared" si="28"/>
        <v>12.060634779999999</v>
      </c>
      <c r="M39" s="120">
        <v>2.5</v>
      </c>
      <c r="N39" s="120">
        <v>3.5</v>
      </c>
      <c r="O39" s="120">
        <v>4</v>
      </c>
      <c r="P39" s="120">
        <v>2.9</v>
      </c>
      <c r="Q39" s="136">
        <f t="shared" si="29"/>
        <v>12.9</v>
      </c>
      <c r="R39" s="120">
        <v>3.2</v>
      </c>
      <c r="S39" s="120">
        <v>6.1</v>
      </c>
      <c r="T39" s="120">
        <v>7.7</v>
      </c>
      <c r="U39" s="120">
        <v>6.3</v>
      </c>
      <c r="V39" s="133">
        <f t="shared" si="30"/>
        <v>23.3</v>
      </c>
      <c r="W39" s="120">
        <v>9.8000000000000007</v>
      </c>
      <c r="X39" s="120">
        <v>4.9429999999999996</v>
      </c>
      <c r="Y39" s="120">
        <v>4.6032719900000005</v>
      </c>
      <c r="Z39" s="120">
        <v>4.752665659999999</v>
      </c>
      <c r="AA39" s="136">
        <f t="shared" si="31"/>
        <v>24.09893765</v>
      </c>
      <c r="AB39" s="120">
        <v>6.2384340800000002</v>
      </c>
      <c r="AC39" s="120">
        <v>9.3022306999999991</v>
      </c>
      <c r="AD39" s="120">
        <v>11.263500349999999</v>
      </c>
      <c r="AE39" s="120">
        <v>8.0091358100000001</v>
      </c>
      <c r="AF39" s="136">
        <f t="shared" si="32"/>
        <v>34.813300940000005</v>
      </c>
      <c r="AG39" s="120">
        <v>3.6</v>
      </c>
      <c r="AH39" s="120">
        <v>4.4000000000000004</v>
      </c>
      <c r="AI39" s="120">
        <v>3.8397527900000004</v>
      </c>
      <c r="AJ39" s="120">
        <v>1.998</v>
      </c>
      <c r="AK39" s="136">
        <f t="shared" si="33"/>
        <v>13.83775279</v>
      </c>
      <c r="AL39" s="120">
        <v>2.2385609899999999</v>
      </c>
      <c r="AM39" s="120">
        <v>5.8125256300000014</v>
      </c>
      <c r="AN39" s="120">
        <v>2.1074424999999963</v>
      </c>
      <c r="AO39" s="120">
        <v>2.9350289100000007</v>
      </c>
      <c r="AP39" s="121">
        <v>13.093558029999997</v>
      </c>
      <c r="AQ39" s="120">
        <v>8.4658971400000027</v>
      </c>
      <c r="AR39" s="120">
        <v>6.5237898599999813</v>
      </c>
      <c r="AS39" s="120">
        <v>6.4777864699999999</v>
      </c>
      <c r="AT39" s="120">
        <v>10</v>
      </c>
      <c r="AU39" s="121">
        <v>31.5</v>
      </c>
      <c r="AV39" s="120">
        <v>7.7</v>
      </c>
      <c r="AW39" s="120">
        <v>9.7029999999999994</v>
      </c>
      <c r="AX39" s="120">
        <v>14.2</v>
      </c>
      <c r="AY39" s="120">
        <v>9.5</v>
      </c>
      <c r="AZ39" s="121">
        <v>41.102999999999994</v>
      </c>
      <c r="BA39" s="120">
        <v>13.1</v>
      </c>
      <c r="BB39" s="120">
        <v>11.07</v>
      </c>
      <c r="BC39" s="120">
        <v>8.15</v>
      </c>
      <c r="BD39" s="120">
        <v>12.805336380000002</v>
      </c>
      <c r="BE39" s="121">
        <f>SUM(BA39:BD39)</f>
        <v>45.12533638</v>
      </c>
      <c r="BF39" s="120">
        <v>7.1722262099999998</v>
      </c>
      <c r="BG39" s="120">
        <v>7.7687968599999984</v>
      </c>
      <c r="BH39" s="120">
        <v>5.6082227699999949</v>
      </c>
      <c r="BI39" s="120">
        <v>16.6569191</v>
      </c>
      <c r="BJ39" s="121">
        <v>37.206164939999994</v>
      </c>
      <c r="BK39" s="120">
        <v>9.02</v>
      </c>
      <c r="BL39" s="120">
        <v>15.798814459999999</v>
      </c>
      <c r="BM39" s="120">
        <v>16.024863670000002</v>
      </c>
      <c r="BN39" s="232">
        <v>15.40488631</v>
      </c>
      <c r="BO39" s="231">
        <f t="shared" si="34"/>
        <v>56.248564440000003</v>
      </c>
      <c r="BP39" s="232">
        <v>13.816717220000003</v>
      </c>
      <c r="BQ39" s="232">
        <v>13.605091380000001</v>
      </c>
      <c r="BR39" s="232">
        <v>13.522147139999991</v>
      </c>
      <c r="BS39" s="232">
        <v>18.218825299999995</v>
      </c>
      <c r="BT39" s="231">
        <f t="shared" si="35"/>
        <v>59.162781039999985</v>
      </c>
      <c r="BU39" s="232">
        <v>3.1669412700000006</v>
      </c>
      <c r="BV39" s="232">
        <v>1.57715399</v>
      </c>
      <c r="BW39" s="232">
        <v>2.4824710000000003E-2</v>
      </c>
    </row>
    <row r="40" spans="2:75" x14ac:dyDescent="0.35">
      <c r="B40" s="72" t="str">
        <f>IF('Índice - Index'!$D$14="Português","Outros","Others")</f>
        <v>Outros</v>
      </c>
      <c r="C40" s="120">
        <v>0.89715499999999992</v>
      </c>
      <c r="D40" s="120">
        <v>1.4255250000000004</v>
      </c>
      <c r="E40" s="120">
        <v>2.7205318200000006</v>
      </c>
      <c r="F40" s="120">
        <v>4.6161426499999987</v>
      </c>
      <c r="G40" s="136">
        <f t="shared" si="27"/>
        <v>9.6593544700000002</v>
      </c>
      <c r="H40" s="120">
        <v>1.6308609000000005</v>
      </c>
      <c r="I40" s="120">
        <v>7.9954649999999994</v>
      </c>
      <c r="J40" s="120">
        <v>1.4804449700000006</v>
      </c>
      <c r="K40" s="120">
        <v>4.9000000000000004</v>
      </c>
      <c r="L40" s="136">
        <f t="shared" si="28"/>
        <v>16.00677087</v>
      </c>
      <c r="M40" s="120">
        <v>2.9</v>
      </c>
      <c r="N40" s="120">
        <v>3.5</v>
      </c>
      <c r="O40" s="120">
        <v>2.7</v>
      </c>
      <c r="P40" s="120">
        <v>3.3</v>
      </c>
      <c r="Q40" s="136">
        <f t="shared" si="29"/>
        <v>12.400000000000002</v>
      </c>
      <c r="R40" s="120">
        <v>6.3</v>
      </c>
      <c r="S40" s="120">
        <v>1.7</v>
      </c>
      <c r="T40" s="120">
        <v>5</v>
      </c>
      <c r="U40" s="120">
        <v>7.3</v>
      </c>
      <c r="V40" s="133">
        <f t="shared" si="30"/>
        <v>20.3</v>
      </c>
      <c r="W40" s="120">
        <v>5.8</v>
      </c>
      <c r="X40" s="120">
        <v>5.8040000000000003</v>
      </c>
      <c r="Y40" s="120">
        <v>3.4344223800000004</v>
      </c>
      <c r="Z40" s="120">
        <v>9.6679773400000002</v>
      </c>
      <c r="AA40" s="136">
        <f t="shared" si="31"/>
        <v>24.70639972</v>
      </c>
      <c r="AB40" s="120">
        <v>8.5846354899997976</v>
      </c>
      <c r="AC40" s="120">
        <v>14.467000000000001</v>
      </c>
      <c r="AD40" s="120">
        <v>22.836319250000003</v>
      </c>
      <c r="AE40" s="120">
        <v>13.551946580000031</v>
      </c>
      <c r="AF40" s="136">
        <f t="shared" si="32"/>
        <v>59.439901319999834</v>
      </c>
      <c r="AG40" s="120">
        <v>21.7</v>
      </c>
      <c r="AH40" s="120">
        <v>19.3</v>
      </c>
      <c r="AI40" s="120">
        <v>8.3648155400000022</v>
      </c>
      <c r="AJ40" s="120">
        <v>11.295</v>
      </c>
      <c r="AK40" s="136">
        <f t="shared" si="33"/>
        <v>60.659815540000004</v>
      </c>
      <c r="AL40" s="120">
        <v>7.7148874599999999</v>
      </c>
      <c r="AM40" s="120">
        <v>4.8208580699999963</v>
      </c>
      <c r="AN40" s="120">
        <v>7.3579696599999229</v>
      </c>
      <c r="AO40" s="120">
        <v>4.5169207</v>
      </c>
      <c r="AP40" s="121">
        <v>24.41063588999992</v>
      </c>
      <c r="AQ40" s="120">
        <v>2.8121305900000015</v>
      </c>
      <c r="AR40" s="120">
        <v>3.1789374700000446</v>
      </c>
      <c r="AS40" s="120">
        <v>2.4985339399999988</v>
      </c>
      <c r="AT40" s="120">
        <v>6.2</v>
      </c>
      <c r="AU40" s="121">
        <v>14.9</v>
      </c>
      <c r="AV40" s="120">
        <v>1.5</v>
      </c>
      <c r="AW40" s="120">
        <v>0.14899999999999991</v>
      </c>
      <c r="AX40" s="120">
        <v>2.2999999999999998</v>
      </c>
      <c r="AY40" s="120">
        <v>0</v>
      </c>
      <c r="AZ40" s="121">
        <v>3.9489999999999998</v>
      </c>
      <c r="BA40" s="120">
        <v>0</v>
      </c>
      <c r="BB40" s="120">
        <v>0</v>
      </c>
      <c r="BC40" s="120">
        <v>0</v>
      </c>
      <c r="BD40" s="120">
        <v>0</v>
      </c>
      <c r="BE40" s="121">
        <f>SUM(BA40:BD40)</f>
        <v>0</v>
      </c>
      <c r="BF40" s="120">
        <v>8.9688000000000004E-2</v>
      </c>
      <c r="BG40" s="120">
        <v>0.14499999999999999</v>
      </c>
      <c r="BH40" s="120">
        <v>0.15013849999999998</v>
      </c>
      <c r="BI40" s="120">
        <v>0.20285169</v>
      </c>
      <c r="BJ40" s="121">
        <v>0.58767818999999999</v>
      </c>
      <c r="BK40" s="120">
        <v>0.2</v>
      </c>
      <c r="BL40" s="120">
        <v>0.19033583000000001</v>
      </c>
      <c r="BM40" s="120">
        <v>6.4570160000000001E-2</v>
      </c>
      <c r="BN40" s="232">
        <v>0.34663000999999999</v>
      </c>
      <c r="BO40" s="231">
        <f t="shared" si="34"/>
        <v>0.80153600000000003</v>
      </c>
      <c r="BP40" s="232">
        <v>7.6941400000000004E-3</v>
      </c>
      <c r="BQ40" s="232">
        <v>0</v>
      </c>
      <c r="BR40" s="232">
        <v>0</v>
      </c>
      <c r="BS40" s="232">
        <v>0</v>
      </c>
      <c r="BT40" s="231">
        <f t="shared" si="35"/>
        <v>7.6941400000000004E-3</v>
      </c>
      <c r="BU40" s="232">
        <v>0</v>
      </c>
      <c r="BV40" s="232">
        <v>0</v>
      </c>
      <c r="BW40" s="232">
        <v>0</v>
      </c>
    </row>
    <row r="41" spans="2:75" x14ac:dyDescent="0.35">
      <c r="B41" s="72" t="str">
        <f>IF('Índice - Index'!$D$14="Português","Aquisição Netpoints","Netpoints Acquisition")</f>
        <v>Aquisição Netpoints</v>
      </c>
      <c r="C41" s="120">
        <v>0</v>
      </c>
      <c r="D41" s="120">
        <v>0</v>
      </c>
      <c r="E41" s="120">
        <v>0</v>
      </c>
      <c r="F41" s="120">
        <v>0</v>
      </c>
      <c r="G41" s="136">
        <f t="shared" si="27"/>
        <v>0</v>
      </c>
      <c r="H41" s="120">
        <v>0</v>
      </c>
      <c r="I41" s="120">
        <v>0</v>
      </c>
      <c r="J41" s="120">
        <v>0</v>
      </c>
      <c r="K41" s="120">
        <v>0</v>
      </c>
      <c r="L41" s="136">
        <f t="shared" si="28"/>
        <v>0</v>
      </c>
      <c r="M41" s="120">
        <v>0</v>
      </c>
      <c r="N41" s="120">
        <v>0</v>
      </c>
      <c r="O41" s="120">
        <v>0</v>
      </c>
      <c r="P41" s="120">
        <v>0</v>
      </c>
      <c r="Q41" s="136">
        <f t="shared" si="29"/>
        <v>0</v>
      </c>
      <c r="R41" s="120">
        <v>0</v>
      </c>
      <c r="S41" s="120">
        <v>0</v>
      </c>
      <c r="T41" s="120">
        <v>0</v>
      </c>
      <c r="U41" s="120">
        <v>0</v>
      </c>
      <c r="V41" s="133">
        <f t="shared" si="30"/>
        <v>0</v>
      </c>
      <c r="W41" s="120">
        <v>0</v>
      </c>
      <c r="X41" s="120">
        <v>0</v>
      </c>
      <c r="Y41" s="120">
        <v>0</v>
      </c>
      <c r="Z41" s="120">
        <v>0</v>
      </c>
      <c r="AA41" s="136">
        <f t="shared" si="31"/>
        <v>0</v>
      </c>
      <c r="AB41" s="120">
        <v>0</v>
      </c>
      <c r="AC41" s="120">
        <v>26.026456730000298</v>
      </c>
      <c r="AD41" s="120">
        <v>0</v>
      </c>
      <c r="AE41" s="120">
        <v>0</v>
      </c>
      <c r="AF41" s="136">
        <f t="shared" si="32"/>
        <v>26.026456730000298</v>
      </c>
      <c r="AG41" s="120">
        <v>0</v>
      </c>
      <c r="AH41" s="120">
        <v>0</v>
      </c>
      <c r="AI41" s="120">
        <v>0</v>
      </c>
      <c r="AJ41" s="120">
        <v>0</v>
      </c>
      <c r="AK41" s="133">
        <f t="shared" si="33"/>
        <v>0</v>
      </c>
      <c r="AL41" s="120">
        <v>0</v>
      </c>
      <c r="AM41" s="120">
        <v>0</v>
      </c>
      <c r="AN41" s="120">
        <v>0</v>
      </c>
      <c r="AO41" s="120">
        <v>0</v>
      </c>
      <c r="AP41" s="121">
        <v>0</v>
      </c>
      <c r="AQ41" s="120">
        <v>0</v>
      </c>
      <c r="AR41" s="120">
        <v>0</v>
      </c>
      <c r="AS41" s="120">
        <v>0</v>
      </c>
      <c r="AT41" s="120" t="s">
        <v>16</v>
      </c>
      <c r="AU41" s="121" t="s">
        <v>16</v>
      </c>
      <c r="AV41" s="120">
        <v>0</v>
      </c>
      <c r="AW41" s="120">
        <v>0</v>
      </c>
      <c r="AX41" s="120">
        <v>0</v>
      </c>
      <c r="AY41" s="120">
        <v>0</v>
      </c>
      <c r="AZ41" s="121">
        <v>0</v>
      </c>
      <c r="BA41" s="120">
        <v>0</v>
      </c>
      <c r="BB41" s="120">
        <v>0</v>
      </c>
      <c r="BC41" s="120">
        <v>0</v>
      </c>
      <c r="BD41" s="120">
        <v>0</v>
      </c>
      <c r="BE41" s="121">
        <v>0</v>
      </c>
      <c r="BF41" s="120">
        <v>0</v>
      </c>
      <c r="BG41" s="120">
        <v>0</v>
      </c>
      <c r="BH41" s="120">
        <v>0</v>
      </c>
      <c r="BI41" s="120">
        <v>0</v>
      </c>
      <c r="BJ41" s="121">
        <v>0</v>
      </c>
      <c r="BK41" s="120">
        <v>0</v>
      </c>
      <c r="BL41" s="120">
        <v>0</v>
      </c>
      <c r="BM41" s="120">
        <v>0</v>
      </c>
      <c r="BN41" s="232">
        <v>0</v>
      </c>
      <c r="BO41" s="231">
        <f t="shared" si="34"/>
        <v>0</v>
      </c>
      <c r="BP41" s="232">
        <v>0</v>
      </c>
      <c r="BQ41" s="232">
        <v>0</v>
      </c>
      <c r="BR41" s="232">
        <v>0</v>
      </c>
      <c r="BS41" s="232">
        <v>0</v>
      </c>
      <c r="BT41" s="231">
        <f t="shared" si="35"/>
        <v>0</v>
      </c>
      <c r="BU41" s="232">
        <v>0</v>
      </c>
      <c r="BV41" s="232">
        <v>0</v>
      </c>
      <c r="BW41" s="232">
        <v>0</v>
      </c>
    </row>
  </sheetData>
  <pageMargins left="0.15748031496062992" right="0.15748031496062992" top="0.27559055118110237" bottom="0.27559055118110237" header="0.11811023622047245" footer="0.15748031496062992"/>
  <pageSetup scale="53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E36:BE40" formulaRange="1"/>
    <ignoredError sqref="BK24 BK12" numberStoredAsText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BI64"/>
  <sheetViews>
    <sheetView showGridLines="0" zoomScale="110" zoomScaleNormal="110" workbookViewId="0">
      <pane xSplit="1" topLeftCell="AZ1" activePane="topRight" state="frozen"/>
      <selection activeCell="P7" sqref="P7"/>
      <selection pane="topRight" activeCell="BH1" sqref="BH1"/>
    </sheetView>
  </sheetViews>
  <sheetFormatPr defaultColWidth="9.1796875" defaultRowHeight="13.5" x14ac:dyDescent="0.35"/>
  <cols>
    <col min="1" max="1" width="39.81640625" style="25" bestFit="1" customWidth="1"/>
    <col min="2" max="8" width="7.453125" style="25" customWidth="1"/>
    <col min="9" max="21" width="12" style="25" customWidth="1"/>
    <col min="22" max="36" width="9" style="25" customWidth="1"/>
    <col min="37" max="50" width="9.453125" style="25" customWidth="1"/>
    <col min="51" max="51" width="9.1796875" style="25"/>
    <col min="52" max="60" width="11.7265625" style="25" customWidth="1"/>
    <col min="61" max="16384" width="9.1796875" style="25"/>
  </cols>
  <sheetData>
    <row r="1" spans="1:61" x14ac:dyDescent="0.35">
      <c r="A1" s="88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</row>
    <row r="2" spans="1:61" x14ac:dyDescent="0.35">
      <c r="A2" s="88" t="str">
        <f>IF('Índice - Index'!$D$14="Português","(R$ milhares)","(R$ million)")</f>
        <v>(R$ milhares)</v>
      </c>
      <c r="B2" s="88" t="str">
        <f>IF('Índice - Index'!$D$14="Português","Mar. 09")</f>
        <v>Mar. 09</v>
      </c>
      <c r="C2" s="88" t="str">
        <f>IF('Índice - Index'!$D$14="Português","Jun.09","Jun.09")</f>
        <v>Jun.09</v>
      </c>
      <c r="D2" s="88" t="str">
        <f>IF('Índice - Index'!$D$14="Português","Set.09","Sep.09")</f>
        <v>Set.09</v>
      </c>
      <c r="E2" s="88" t="str">
        <f>IF('Índice - Index'!$D$14="Português","Dez.09","Dec.09")</f>
        <v>Dez.09</v>
      </c>
      <c r="F2" s="88" t="str">
        <f>IF('Índice - Index'!$D$14="Português","Mar. 10","Mar. 10")</f>
        <v>Mar. 10</v>
      </c>
      <c r="G2" s="88" t="str">
        <f>IF('Índice - Index'!$D$14="Português","Jun.10","Jun.10")</f>
        <v>Jun.10</v>
      </c>
      <c r="H2" s="88" t="str">
        <f>IF('Índice - Index'!$D$14="Português","Set.10","Sep.10")</f>
        <v>Set.10</v>
      </c>
      <c r="I2" s="88" t="str">
        <f>IF('Índice - Index'!$D$14="Português","Dez.10","Dec.10")</f>
        <v>Dez.10</v>
      </c>
      <c r="J2" s="88" t="str">
        <f>IF('Índice - Index'!$D$14="Português","Mar. 11","Mar. 11")</f>
        <v>Mar. 11</v>
      </c>
      <c r="K2" s="88" t="str">
        <f>IF('Índice - Index'!$D$14="Português","Jun.11","Jun.11")</f>
        <v>Jun.11</v>
      </c>
      <c r="L2" s="88" t="str">
        <f>IF('Índice - Index'!$D$14="Português","Set.11","Sep.11")</f>
        <v>Set.11</v>
      </c>
      <c r="M2" s="88" t="str">
        <f>IF('Índice - Index'!$D$14="Português","Dez.11","Dec.11")</f>
        <v>Dez.11</v>
      </c>
      <c r="N2" s="88" t="str">
        <f>IF('Índice - Index'!$D$14="Português","Mar. 12","Mar. 12")</f>
        <v>Mar. 12</v>
      </c>
      <c r="O2" s="88" t="str">
        <f>IF('Índice - Index'!$D$14="Português","Jun.12","Jun.12")</f>
        <v>Jun.12</v>
      </c>
      <c r="P2" s="88" t="str">
        <f>IF('Índice - Index'!$D$14="Português","Set.12","Sep.12")</f>
        <v>Set.12</v>
      </c>
      <c r="Q2" s="88" t="str">
        <f>IF('Índice - Index'!$D$14="Português","Dez.12","Dec.12")</f>
        <v>Dez.12</v>
      </c>
      <c r="R2" s="88" t="str">
        <f>IF('Índice - Index'!$D$14="Português","Mar. 13","Mar. 13")</f>
        <v>Mar. 13</v>
      </c>
      <c r="S2" s="88" t="str">
        <f>IF('Índice - Index'!$D$14="Português","Jun.13","Jun.13")</f>
        <v>Jun.13</v>
      </c>
      <c r="T2" s="88" t="str">
        <f>IF('Índice - Index'!$D$14="Português","Set.13","Sep.13")</f>
        <v>Set.13</v>
      </c>
      <c r="U2" s="88" t="str">
        <f>IF('Índice - Index'!$D$14="Português","Dez.13","Dec.13")</f>
        <v>Dez.13</v>
      </c>
      <c r="V2" s="88" t="str">
        <f>IF('Índice - Index'!$D$14="Português","Mar. 14","Mar. 14")</f>
        <v>Mar. 14</v>
      </c>
      <c r="W2" s="88" t="str">
        <f>IF('Índice - Index'!$D$14="Português","Jun.14","Jun.14")</f>
        <v>Jun.14</v>
      </c>
      <c r="X2" s="88" t="str">
        <f>IF('Índice - Index'!$D$14="Português","Set.14","Sep.14")</f>
        <v>Set.14</v>
      </c>
      <c r="Y2" s="88" t="str">
        <f>IF('Índice - Index'!$D$14="Português","Dez.14","Dec.14")</f>
        <v>Dez.14</v>
      </c>
      <c r="Z2" s="88" t="str">
        <f>IF('Índice - Index'!$D$14="Português","Mar. 15","Mar. 15")</f>
        <v>Mar. 15</v>
      </c>
      <c r="AA2" s="88" t="str">
        <f>IF('Índice - Index'!$D$14="Português","Jun.15","Jun.15")</f>
        <v>Jun.15</v>
      </c>
      <c r="AB2" s="88" t="str">
        <f>IF('Índice - Index'!$D$14="Português","Set.15","Sep.15")</f>
        <v>Set.15</v>
      </c>
      <c r="AC2" s="88" t="str">
        <f>IF('Índice - Index'!$D$14="Português","Dez.15","Dec.15")</f>
        <v>Dez.15</v>
      </c>
      <c r="AD2" s="88" t="str">
        <f>IF('Índice - Index'!$D$14="Português","Mar. 16","Mar. 16")</f>
        <v>Mar. 16</v>
      </c>
      <c r="AE2" s="88" t="str">
        <f>IF('Índice - Index'!$D$14="Português","Jun.16","Jun.16")</f>
        <v>Jun.16</v>
      </c>
      <c r="AF2" s="88" t="str">
        <f>IF('Índice - Index'!$D$14="Português","Set.16","Sep.16")</f>
        <v>Set.16</v>
      </c>
      <c r="AG2" s="88" t="str">
        <f>IF('Índice - Index'!$D$14="Português","Dez.16","Dec.16")</f>
        <v>Dez.16</v>
      </c>
      <c r="AH2" s="88" t="str">
        <f>IF('Índice - Index'!$D$14="Português","Mar. 17","Mar. 17")</f>
        <v>Mar. 17</v>
      </c>
      <c r="AI2" s="88" t="str">
        <f>IF('Índice - Index'!$D$14="Português","Jun.17","Jun.17")</f>
        <v>Jun.17</v>
      </c>
      <c r="AJ2" s="88" t="str">
        <f>IF('Índice - Index'!$D$14="Português","Set.17","Sep.17")</f>
        <v>Set.17</v>
      </c>
      <c r="AK2" s="88" t="str">
        <f>IF('Índice - Index'!$D$14="Português","Dez.17","Dec.17")</f>
        <v>Dez.17</v>
      </c>
      <c r="AL2" s="88" t="str">
        <f>IF('Índice - Index'!$D$14="Português","Mar.18","Mar.18")</f>
        <v>Mar.18</v>
      </c>
      <c r="AM2" s="88" t="str">
        <f>IF('Índice - Index'!$D$14="Português","Jun.18","Jun.18")</f>
        <v>Jun.18</v>
      </c>
      <c r="AN2" s="88" t="str">
        <f>IF('Índice - Index'!$D$14="Português","Set.18","Sep.18")</f>
        <v>Set.18</v>
      </c>
      <c r="AO2" s="88" t="str">
        <f>IF('Índice - Index'!$D$14="Português","Dez.18","Dec.18")</f>
        <v>Dez.18</v>
      </c>
      <c r="AP2" s="88" t="str">
        <f>IF('Índice - Index'!$D$14="Português","Mar.19","Mar.19")</f>
        <v>Mar.19</v>
      </c>
      <c r="AQ2" s="88" t="str">
        <f>IF('Índice - Index'!$D$14="Português","Jun.19","Jun.19")</f>
        <v>Jun.19</v>
      </c>
      <c r="AR2" s="88" t="str">
        <f>IF('Índice - Index'!$D$14="Português","Set.19","Sep.19")</f>
        <v>Set.19</v>
      </c>
      <c r="AS2" s="88" t="str">
        <f>IF('Índice - Index'!$D$14="Português","Dez.19","Dec.19")</f>
        <v>Dez.19</v>
      </c>
      <c r="AT2" s="88" t="str">
        <f>IF('Índice - Index'!$D$14="Português","Mar.20","Mar.20")</f>
        <v>Mar.20</v>
      </c>
      <c r="AU2" s="88" t="str">
        <f>IF('Índice - Index'!$D$14="Português","Jun.20","Jun.20")</f>
        <v>Jun.20</v>
      </c>
      <c r="AV2" s="88" t="str">
        <f>IF('Índice - Index'!$D$14="Português","Set.20","Sep.20")</f>
        <v>Set.20</v>
      </c>
      <c r="AW2" s="88" t="str">
        <f>IF('Índice - Index'!$D$14="Português","Dez.20","Dec.20")</f>
        <v>Dez.20</v>
      </c>
      <c r="AX2" s="88" t="str">
        <f>IF('Índice - Index'!$D$14="Português","Mar.21","Mar.21")</f>
        <v>Mar.21</v>
      </c>
      <c r="AY2" s="88" t="str">
        <f>IF('Índice - Index'!$D$14="Português","Jun.21","Jun.21")</f>
        <v>Jun.21</v>
      </c>
      <c r="AZ2" s="88" t="str">
        <f>IF('Índice - Index'!$D$14="Português","Set.21","Sep.21")</f>
        <v>Set.21</v>
      </c>
      <c r="BA2" s="88" t="str">
        <f>IF('Índice - Index'!$D$14="Português","Dez.21","Dec.21")</f>
        <v>Dez.21</v>
      </c>
      <c r="BB2" s="88" t="str">
        <f>IF('Índice - Index'!$D$14="Português","Mar.22","Mar.22")</f>
        <v>Mar.22</v>
      </c>
      <c r="BC2" s="88" t="str">
        <f>IF('Índice - Index'!$D$14="Português","Jun.22","Jun.22")</f>
        <v>Jun.22</v>
      </c>
      <c r="BD2" s="88" t="str">
        <f>IF('Índice - Index'!$D$14="Português","Set.22","Sep.22")</f>
        <v>Set.22</v>
      </c>
      <c r="BE2" s="88" t="str">
        <f>IF('Índice - Index'!$D$14="Português","Dez.22","Dec.23")</f>
        <v>Dez.22</v>
      </c>
      <c r="BF2" s="88" t="str">
        <f>IF('Índice - Index'!$D$14="Português","Mar.23","Mar.23")</f>
        <v>Mar.23</v>
      </c>
      <c r="BG2" s="88" t="str">
        <f>IF('Índice - Index'!$D$14="Português","Jun.23","Jun.23")</f>
        <v>Jun.23</v>
      </c>
      <c r="BH2" s="88" t="str">
        <f>IF('Índice - Index'!$D$14="Português","Set.23","Sep.23")</f>
        <v>Set.23</v>
      </c>
    </row>
    <row r="3" spans="1:61" x14ac:dyDescent="0.35">
      <c r="A3" s="90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/>
      <c r="M3" s="138"/>
      <c r="N3" s="138"/>
      <c r="O3" s="138"/>
      <c r="P3" s="138"/>
      <c r="Q3" s="138"/>
      <c r="R3" s="138"/>
      <c r="T3" s="137"/>
      <c r="U3" s="139"/>
      <c r="V3" s="138"/>
      <c r="W3" s="138"/>
      <c r="X3" s="138"/>
    </row>
    <row r="4" spans="1:61" x14ac:dyDescent="0.35">
      <c r="A4" s="40" t="str">
        <f>IF('Índice - Index'!$D$14="Português","Em dia:","On time:")</f>
        <v>Em dia:</v>
      </c>
      <c r="B4" s="140">
        <v>280.89299999999997</v>
      </c>
      <c r="C4" s="140">
        <v>222.14</v>
      </c>
      <c r="D4" s="140">
        <v>204.22900000000001</v>
      </c>
      <c r="E4" s="140">
        <v>341.98500000000001</v>
      </c>
      <c r="F4" s="140">
        <v>245.12799999999999</v>
      </c>
      <c r="G4" s="140">
        <v>264.33600000000001</v>
      </c>
      <c r="H4" s="140">
        <v>246.49299999999999</v>
      </c>
      <c r="I4" s="140">
        <v>367.31</v>
      </c>
      <c r="J4" s="140">
        <v>259.41199999999998</v>
      </c>
      <c r="K4" s="141">
        <v>291.39999999999998</v>
      </c>
      <c r="L4" s="142">
        <v>248.3</v>
      </c>
      <c r="M4" s="142">
        <v>361.75599999999997</v>
      </c>
      <c r="N4" s="142">
        <v>291.39999999999998</v>
      </c>
      <c r="O4" s="142">
        <v>329.7</v>
      </c>
      <c r="P4" s="142">
        <v>314.5</v>
      </c>
      <c r="Q4" s="142">
        <v>436.39299999999997</v>
      </c>
      <c r="R4" s="142">
        <v>319.5</v>
      </c>
      <c r="S4" s="142">
        <v>340.8</v>
      </c>
      <c r="T4" s="142">
        <v>309.7</v>
      </c>
      <c r="U4" s="142">
        <v>505.4</v>
      </c>
      <c r="V4" s="142">
        <v>347.435</v>
      </c>
      <c r="W4" s="142">
        <v>347.95600000000002</v>
      </c>
      <c r="X4" s="142">
        <v>318.57900000000001</v>
      </c>
      <c r="Y4" s="113">
        <v>467.87099999999998</v>
      </c>
      <c r="Z4" s="113">
        <v>312.678</v>
      </c>
      <c r="AA4" s="113">
        <v>307.10599999999999</v>
      </c>
      <c r="AB4" s="113">
        <v>279.81799999999998</v>
      </c>
      <c r="AC4" s="113">
        <v>388.899</v>
      </c>
      <c r="AD4" s="113">
        <v>284.24799999999999</v>
      </c>
      <c r="AE4" s="113">
        <v>339.76299999999998</v>
      </c>
      <c r="AF4" s="113">
        <v>293.89299999999997</v>
      </c>
      <c r="AG4" s="113">
        <v>406</v>
      </c>
      <c r="AH4" s="113">
        <v>308.3</v>
      </c>
      <c r="AI4" s="25">
        <v>317.3</v>
      </c>
      <c r="AJ4" s="25">
        <v>306.60000000000002</v>
      </c>
      <c r="AK4" s="25">
        <v>368.69799999999998</v>
      </c>
      <c r="AL4" s="113">
        <v>265.99</v>
      </c>
      <c r="AM4" s="113">
        <v>294.529</v>
      </c>
      <c r="AN4" s="113">
        <v>303.649</v>
      </c>
      <c r="AO4" s="113">
        <v>398.28300000000002</v>
      </c>
      <c r="AP4" s="113">
        <v>336.56399999999996</v>
      </c>
      <c r="AQ4" s="113">
        <v>369.89299999999997</v>
      </c>
      <c r="AR4" s="113">
        <v>353.96100000000001</v>
      </c>
      <c r="AS4" s="113">
        <v>441.92700000000002</v>
      </c>
      <c r="AT4" s="113">
        <v>330.63600000000002</v>
      </c>
      <c r="AU4" s="113">
        <v>210.14400000000001</v>
      </c>
      <c r="AV4" s="113">
        <v>268.21499999999997</v>
      </c>
      <c r="AW4" s="113">
        <v>387.197</v>
      </c>
      <c r="AX4" s="113">
        <v>294.63</v>
      </c>
      <c r="AY4" s="113">
        <v>364.06200000000001</v>
      </c>
      <c r="AZ4" s="113">
        <v>376.31099999999998</v>
      </c>
      <c r="BA4" s="113">
        <v>468.61599999999999</v>
      </c>
      <c r="BB4" s="113">
        <v>403.86200000000002</v>
      </c>
      <c r="BC4" s="113">
        <v>394.76900000000001</v>
      </c>
      <c r="BD4" s="113">
        <v>352.85218393000002</v>
      </c>
      <c r="BE4" s="113">
        <v>366.28399999999999</v>
      </c>
      <c r="BF4" s="113">
        <v>272.50299999999999</v>
      </c>
      <c r="BG4" s="113">
        <v>245.98699999999999</v>
      </c>
      <c r="BH4" s="113">
        <v>146.351</v>
      </c>
      <c r="BI4" s="143"/>
    </row>
    <row r="5" spans="1:61" x14ac:dyDescent="0.35">
      <c r="A5" s="40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13"/>
      <c r="Z5" s="113"/>
      <c r="AA5" s="113"/>
      <c r="AB5" s="113"/>
      <c r="AC5" s="113"/>
      <c r="AD5" s="113"/>
      <c r="AE5" s="113"/>
      <c r="BI5" s="143"/>
    </row>
    <row r="6" spans="1:61" x14ac:dyDescent="0.35">
      <c r="A6" s="40" t="str">
        <f>IF('Índice - Index'!$D$14="Português","Vencidas:","Overdues:")</f>
        <v>Vencidas:</v>
      </c>
      <c r="B6" s="142">
        <f t="shared" ref="B6:I6" si="0">SUM(B7:B12)</f>
        <v>135.84800000000001</v>
      </c>
      <c r="C6" s="142">
        <f t="shared" si="0"/>
        <v>171.44900000000001</v>
      </c>
      <c r="D6" s="142">
        <f t="shared" si="0"/>
        <v>134.827</v>
      </c>
      <c r="E6" s="142">
        <f t="shared" si="0"/>
        <v>115.92899999999999</v>
      </c>
      <c r="F6" s="142">
        <f t="shared" si="0"/>
        <v>167.15199999999999</v>
      </c>
      <c r="G6" s="142">
        <f t="shared" si="0"/>
        <v>180.09800000000001</v>
      </c>
      <c r="H6" s="142">
        <f t="shared" si="0"/>
        <v>152.62700000000001</v>
      </c>
      <c r="I6" s="142">
        <f t="shared" si="0"/>
        <v>134.59200000000001</v>
      </c>
      <c r="J6" s="142">
        <v>194.43899999999999</v>
      </c>
      <c r="K6" s="142">
        <v>204.69999999999996</v>
      </c>
      <c r="L6" s="142">
        <v>192.7</v>
      </c>
      <c r="M6" s="142">
        <v>153.90900000000002</v>
      </c>
      <c r="N6" s="142">
        <v>204.69999999999996</v>
      </c>
      <c r="O6" s="142">
        <v>190.70000000000002</v>
      </c>
      <c r="P6" s="142">
        <v>196.93300000000002</v>
      </c>
      <c r="Q6" s="142">
        <v>180.95699999999999</v>
      </c>
      <c r="R6" s="142">
        <v>217.90000000000003</v>
      </c>
      <c r="S6" s="142">
        <v>212.6</v>
      </c>
      <c r="T6" s="142">
        <v>194.4</v>
      </c>
      <c r="U6" s="142">
        <v>182.2</v>
      </c>
      <c r="V6" s="142">
        <v>261.8</v>
      </c>
      <c r="W6" s="142">
        <v>274.80899999999997</v>
      </c>
      <c r="X6" s="142">
        <v>218.58299999999997</v>
      </c>
      <c r="Y6" s="113">
        <f t="shared" ref="Y6:AG6" si="1">SUM(Y7:Y12)</f>
        <v>182.95399999999998</v>
      </c>
      <c r="Z6" s="113">
        <f t="shared" si="1"/>
        <v>235.80099999999996</v>
      </c>
      <c r="AA6" s="113">
        <f t="shared" si="1"/>
        <v>235.93900000000002</v>
      </c>
      <c r="AB6" s="113">
        <f t="shared" si="1"/>
        <v>209.83000000000004</v>
      </c>
      <c r="AC6" s="113">
        <f t="shared" si="1"/>
        <v>169.79100000000003</v>
      </c>
      <c r="AD6" s="113">
        <f t="shared" si="1"/>
        <v>204.82399999999998</v>
      </c>
      <c r="AE6" s="113">
        <f t="shared" si="1"/>
        <v>210.63899999999998</v>
      </c>
      <c r="AF6" s="113">
        <f t="shared" si="1"/>
        <v>199.69799999999998</v>
      </c>
      <c r="AG6" s="113">
        <f t="shared" si="1"/>
        <v>169</v>
      </c>
      <c r="AH6" s="113">
        <v>215.9</v>
      </c>
      <c r="AI6" s="25">
        <v>215.90000000000003</v>
      </c>
      <c r="AJ6" s="25">
        <v>188.7</v>
      </c>
      <c r="AK6" s="25">
        <v>167.19999999999996</v>
      </c>
      <c r="AL6" s="25">
        <f>SUM(AL7:AL12)</f>
        <v>199.89999999999998</v>
      </c>
      <c r="AM6" s="113">
        <f>SUM(AM7:AM12)</f>
        <v>192.97099999999998</v>
      </c>
      <c r="AN6" s="113">
        <f>SUM(AN7:AN12)</f>
        <v>151.274</v>
      </c>
      <c r="AO6" s="113">
        <f>SUM(AO7:AO12)</f>
        <v>116.08200000000001</v>
      </c>
      <c r="AP6" s="113">
        <f>SUM(AP7:AP12)</f>
        <v>168.22200000000001</v>
      </c>
      <c r="AQ6" s="113">
        <f t="shared" ref="AQ6:AW6" si="2">SUM(AQ7:AQ15)</f>
        <v>211.471</v>
      </c>
      <c r="AR6" s="113">
        <f t="shared" si="2"/>
        <v>229.36099999999999</v>
      </c>
      <c r="AS6" s="113">
        <f t="shared" si="2"/>
        <v>221.55199999999999</v>
      </c>
      <c r="AT6" s="113">
        <f t="shared" si="2"/>
        <v>253.56900000000002</v>
      </c>
      <c r="AU6" s="113">
        <f t="shared" si="2"/>
        <v>230.346</v>
      </c>
      <c r="AV6" s="113">
        <f t="shared" si="2"/>
        <v>188.39800000000002</v>
      </c>
      <c r="AW6" s="113">
        <f t="shared" si="2"/>
        <v>153.83099999999999</v>
      </c>
      <c r="AX6" s="113">
        <f>SUM(AX7:AX15)</f>
        <v>140.40400000000002</v>
      </c>
      <c r="AY6" s="113">
        <v>135.03399999999999</v>
      </c>
      <c r="AZ6" s="113">
        <v>125.16200000000001</v>
      </c>
      <c r="BA6" s="113">
        <v>170.92799999999997</v>
      </c>
      <c r="BB6" s="113">
        <f t="shared" ref="BB6:BH6" si="3">SUM(BB7:BB15)</f>
        <v>225.99400000000003</v>
      </c>
      <c r="BC6" s="113">
        <f t="shared" si="3"/>
        <v>266.39</v>
      </c>
      <c r="BD6" s="113">
        <f t="shared" si="3"/>
        <v>277.50299999999999</v>
      </c>
      <c r="BE6" s="113">
        <f t="shared" si="3"/>
        <v>172.256</v>
      </c>
      <c r="BF6" s="113">
        <f t="shared" si="3"/>
        <v>187.55</v>
      </c>
      <c r="BG6" s="113">
        <f t="shared" si="3"/>
        <v>189.58500000000001</v>
      </c>
      <c r="BH6" s="113">
        <f t="shared" si="3"/>
        <v>107.15799999999999</v>
      </c>
      <c r="BI6" s="143"/>
    </row>
    <row r="7" spans="1:61" x14ac:dyDescent="0.35">
      <c r="A7" s="143" t="str">
        <f>IF('Índice - Index'!$D$14="Português","1 a 30 dias","1 - 30 days")</f>
        <v>1 a 30 dias</v>
      </c>
      <c r="B7" s="142">
        <v>46.972000000000001</v>
      </c>
      <c r="C7" s="142">
        <v>67.072000000000003</v>
      </c>
      <c r="D7" s="142">
        <v>63.021000000000001</v>
      </c>
      <c r="E7" s="142">
        <v>60.494999999999997</v>
      </c>
      <c r="F7" s="142">
        <v>84.358000000000004</v>
      </c>
      <c r="G7" s="142">
        <v>83.218999999999994</v>
      </c>
      <c r="H7" s="142">
        <v>72.337000000000003</v>
      </c>
      <c r="I7" s="142">
        <v>64.009</v>
      </c>
      <c r="J7" s="142">
        <v>89.643000000000001</v>
      </c>
      <c r="K7" s="142">
        <v>88.3</v>
      </c>
      <c r="L7" s="142">
        <v>84.8</v>
      </c>
      <c r="M7" s="142">
        <v>60.107999999999997</v>
      </c>
      <c r="N7" s="142">
        <v>88.3</v>
      </c>
      <c r="O7" s="142">
        <v>86.1</v>
      </c>
      <c r="P7" s="142">
        <v>91.396000000000001</v>
      </c>
      <c r="Q7" s="142">
        <v>77.319999999999993</v>
      </c>
      <c r="R7" s="142">
        <v>100.4</v>
      </c>
      <c r="S7" s="142">
        <v>90.9</v>
      </c>
      <c r="T7" s="142">
        <v>89.4</v>
      </c>
      <c r="U7" s="142">
        <v>89.6</v>
      </c>
      <c r="V7" s="142">
        <v>118.2</v>
      </c>
      <c r="W7" s="142">
        <v>108.078</v>
      </c>
      <c r="X7" s="142">
        <v>93.046999999999997</v>
      </c>
      <c r="Y7" s="113">
        <v>85.206999999999994</v>
      </c>
      <c r="Z7" s="113">
        <v>105.55</v>
      </c>
      <c r="AA7" s="113">
        <v>94.706999999999994</v>
      </c>
      <c r="AB7" s="113">
        <v>92.248000000000005</v>
      </c>
      <c r="AC7" s="113">
        <v>71.828000000000003</v>
      </c>
      <c r="AD7" s="113">
        <v>92.631</v>
      </c>
      <c r="AE7" s="113">
        <v>88.664000000000001</v>
      </c>
      <c r="AF7" s="113">
        <v>86.302000000000007</v>
      </c>
      <c r="AG7" s="25">
        <v>66.8</v>
      </c>
      <c r="AH7" s="25">
        <v>89.9</v>
      </c>
      <c r="AI7" s="25">
        <v>77.900000000000006</v>
      </c>
      <c r="AJ7" s="25">
        <v>77.5</v>
      </c>
      <c r="AK7" s="25">
        <v>63.3</v>
      </c>
      <c r="AL7" s="113">
        <v>76.17</v>
      </c>
      <c r="AM7" s="113">
        <v>69.661000000000001</v>
      </c>
      <c r="AN7" s="113">
        <v>59.585000000000001</v>
      </c>
      <c r="AO7" s="113">
        <v>47.317</v>
      </c>
      <c r="AP7" s="113">
        <v>57.180999999999997</v>
      </c>
      <c r="AQ7" s="113">
        <v>54.680999999999997</v>
      </c>
      <c r="AR7" s="113">
        <v>57.600999999999999</v>
      </c>
      <c r="AS7" s="113">
        <v>49.664999999999999</v>
      </c>
      <c r="AT7" s="113">
        <v>79.828000000000003</v>
      </c>
      <c r="AU7" s="113">
        <v>25.036999999999999</v>
      </c>
      <c r="AV7" s="113">
        <v>27.382999999999999</v>
      </c>
      <c r="AW7" s="113">
        <v>32.005000000000003</v>
      </c>
      <c r="AX7" s="113">
        <v>46.216000000000001</v>
      </c>
      <c r="AY7" s="113">
        <v>33.090000000000003</v>
      </c>
      <c r="AZ7" s="113">
        <v>42.575000000000003</v>
      </c>
      <c r="BA7" s="113">
        <v>44.28</v>
      </c>
      <c r="BB7" s="113">
        <v>49.173999999999999</v>
      </c>
      <c r="BC7" s="113">
        <v>48.255000000000003</v>
      </c>
      <c r="BD7" s="113">
        <v>39.024999999999999</v>
      </c>
      <c r="BE7" s="113">
        <v>22.056999999999999</v>
      </c>
      <c r="BF7" s="113">
        <v>35.710999999999999</v>
      </c>
      <c r="BG7" s="113">
        <v>17.821999999999999</v>
      </c>
      <c r="BH7" s="113">
        <v>14.959</v>
      </c>
      <c r="BI7" s="143"/>
    </row>
    <row r="8" spans="1:61" x14ac:dyDescent="0.35">
      <c r="A8" s="143" t="str">
        <f>IF('Índice - Index'!$D$14="Português","31 a 60 dias","31 - 60 days")</f>
        <v>31 a 60 dias</v>
      </c>
      <c r="B8" s="142">
        <v>24.207000000000001</v>
      </c>
      <c r="C8" s="142">
        <v>23.338999999999999</v>
      </c>
      <c r="D8" s="142">
        <v>21.853000000000002</v>
      </c>
      <c r="E8" s="142">
        <v>14.465</v>
      </c>
      <c r="F8" s="142">
        <v>29.876999999999999</v>
      </c>
      <c r="G8" s="142">
        <v>25.661999999999999</v>
      </c>
      <c r="H8" s="142">
        <v>24.945</v>
      </c>
      <c r="I8" s="142">
        <v>19.61</v>
      </c>
      <c r="J8" s="142">
        <v>34.069000000000003</v>
      </c>
      <c r="K8" s="142">
        <v>29.4</v>
      </c>
      <c r="L8" s="142">
        <v>33.6</v>
      </c>
      <c r="M8" s="142">
        <v>17.809999999999999</v>
      </c>
      <c r="N8" s="142">
        <v>29.4</v>
      </c>
      <c r="O8" s="142">
        <v>26</v>
      </c>
      <c r="P8" s="142">
        <v>36.613</v>
      </c>
      <c r="Q8" s="142">
        <v>26.431999999999999</v>
      </c>
      <c r="R8" s="142">
        <v>34</v>
      </c>
      <c r="S8" s="142">
        <v>31.7</v>
      </c>
      <c r="T8" s="142">
        <v>31.3</v>
      </c>
      <c r="U8" s="142">
        <v>23.3</v>
      </c>
      <c r="V8" s="142">
        <v>49.1</v>
      </c>
      <c r="W8" s="142">
        <v>39.841000000000001</v>
      </c>
      <c r="X8" s="142">
        <v>34.222999999999999</v>
      </c>
      <c r="Y8" s="113">
        <v>25.443000000000001</v>
      </c>
      <c r="Z8" s="113">
        <v>43.369</v>
      </c>
      <c r="AA8" s="113">
        <v>34.191000000000003</v>
      </c>
      <c r="AB8" s="113">
        <v>34.838000000000001</v>
      </c>
      <c r="AC8" s="113">
        <v>23.896999999999998</v>
      </c>
      <c r="AD8" s="113">
        <v>34.823999999999998</v>
      </c>
      <c r="AE8" s="113">
        <v>31.361000000000001</v>
      </c>
      <c r="AF8" s="113">
        <v>34.231999999999999</v>
      </c>
      <c r="AG8" s="25">
        <v>25.2</v>
      </c>
      <c r="AH8" s="25">
        <v>38</v>
      </c>
      <c r="AI8" s="25">
        <v>32.700000000000003</v>
      </c>
      <c r="AJ8" s="25">
        <v>33</v>
      </c>
      <c r="AK8" s="25">
        <v>24.3</v>
      </c>
      <c r="AL8" s="113">
        <v>36.159999999999997</v>
      </c>
      <c r="AM8" s="113">
        <v>27.384</v>
      </c>
      <c r="AN8" s="113">
        <v>23.301000000000002</v>
      </c>
      <c r="AO8" s="113">
        <v>18.506999999999998</v>
      </c>
      <c r="AP8" s="113">
        <v>25.363</v>
      </c>
      <c r="AQ8" s="113">
        <v>20.39</v>
      </c>
      <c r="AR8" s="113">
        <v>20.818000000000001</v>
      </c>
      <c r="AS8" s="113">
        <v>18.754000000000001</v>
      </c>
      <c r="AT8" s="113">
        <v>31.983000000000001</v>
      </c>
      <c r="AU8" s="113">
        <v>21.321000000000002</v>
      </c>
      <c r="AV8" s="113">
        <v>7.133</v>
      </c>
      <c r="AW8" s="113">
        <v>9.5039999999999996</v>
      </c>
      <c r="AX8" s="113">
        <v>22.5</v>
      </c>
      <c r="AY8" s="113">
        <v>11.308</v>
      </c>
      <c r="AZ8" s="113">
        <v>16.971</v>
      </c>
      <c r="BA8" s="113">
        <v>21.571000000000002</v>
      </c>
      <c r="BB8" s="113">
        <v>31.506</v>
      </c>
      <c r="BC8" s="113">
        <v>21.98</v>
      </c>
      <c r="BD8" s="113">
        <v>23.550999999999998</v>
      </c>
      <c r="BE8" s="113">
        <v>21.574000000000002</v>
      </c>
      <c r="BF8" s="113">
        <v>23.695</v>
      </c>
      <c r="BG8" s="113">
        <v>14.763</v>
      </c>
      <c r="BH8" s="113">
        <v>10.297000000000001</v>
      </c>
      <c r="BI8" s="143"/>
    </row>
    <row r="9" spans="1:61" x14ac:dyDescent="0.35">
      <c r="A9" s="143" t="str">
        <f>IF('Índice - Index'!$D$14="Português","61 a 90 dias","61 - 90 days")</f>
        <v>61 a 90 dias</v>
      </c>
      <c r="B9" s="142">
        <v>24.067</v>
      </c>
      <c r="C9" s="142">
        <v>18.204000000000001</v>
      </c>
      <c r="D9" s="142">
        <v>13.83</v>
      </c>
      <c r="E9" s="142">
        <v>10.095000000000001</v>
      </c>
      <c r="F9" s="142">
        <v>24.7</v>
      </c>
      <c r="G9" s="142">
        <v>17.873000000000001</v>
      </c>
      <c r="H9" s="142">
        <v>16.114000000000001</v>
      </c>
      <c r="I9" s="142">
        <v>15.054</v>
      </c>
      <c r="J9" s="142">
        <v>29.847999999999999</v>
      </c>
      <c r="K9" s="142">
        <v>22.7</v>
      </c>
      <c r="L9" s="142">
        <v>22.1</v>
      </c>
      <c r="M9" s="142">
        <v>20.292000000000002</v>
      </c>
      <c r="N9" s="142">
        <v>22.7</v>
      </c>
      <c r="O9" s="142">
        <v>19.5</v>
      </c>
      <c r="P9" s="142">
        <v>22.352</v>
      </c>
      <c r="Q9" s="142">
        <v>21.904</v>
      </c>
      <c r="R9" s="142">
        <v>33.200000000000003</v>
      </c>
      <c r="S9" s="142">
        <v>24.7</v>
      </c>
      <c r="T9" s="142">
        <v>23.4</v>
      </c>
      <c r="U9" s="142">
        <v>20.3</v>
      </c>
      <c r="V9" s="142">
        <v>43</v>
      </c>
      <c r="W9" s="142">
        <v>33.469000000000001</v>
      </c>
      <c r="X9" s="142">
        <v>24.972000000000001</v>
      </c>
      <c r="Y9" s="113">
        <v>19.975999999999999</v>
      </c>
      <c r="Z9" s="113">
        <v>36.884999999999998</v>
      </c>
      <c r="AA9" s="113">
        <v>26.58</v>
      </c>
      <c r="AB9" s="113">
        <v>25.532</v>
      </c>
      <c r="AC9" s="113">
        <v>19.885000000000002</v>
      </c>
      <c r="AD9" s="113">
        <v>31.026</v>
      </c>
      <c r="AE9" s="113">
        <v>22.974</v>
      </c>
      <c r="AF9" s="113">
        <v>25.341000000000001</v>
      </c>
      <c r="AG9" s="25">
        <v>21.2</v>
      </c>
      <c r="AH9" s="25">
        <v>35.9</v>
      </c>
      <c r="AI9" s="25">
        <v>27.6</v>
      </c>
      <c r="AJ9" s="25">
        <v>22.5</v>
      </c>
      <c r="AK9" s="25">
        <v>24.1</v>
      </c>
      <c r="AL9" s="113">
        <v>34.11</v>
      </c>
      <c r="AM9" s="113">
        <v>22.928000000000001</v>
      </c>
      <c r="AN9" s="113">
        <v>18.575000000000003</v>
      </c>
      <c r="AO9" s="113">
        <v>15.696999999999999</v>
      </c>
      <c r="AP9" s="113">
        <v>20.884999999999998</v>
      </c>
      <c r="AQ9" s="113">
        <v>18.748999999999999</v>
      </c>
      <c r="AR9" s="113">
        <v>16.361999999999998</v>
      </c>
      <c r="AS9" s="113">
        <v>16.143999999999998</v>
      </c>
      <c r="AT9" s="113">
        <v>19.646999999999998</v>
      </c>
      <c r="AU9" s="113">
        <v>27.436</v>
      </c>
      <c r="AV9" s="113">
        <v>8.0269999999999992</v>
      </c>
      <c r="AW9" s="113">
        <v>6.1020000000000003</v>
      </c>
      <c r="AX9" s="113">
        <v>14.349</v>
      </c>
      <c r="AY9" s="113">
        <v>12.311999999999999</v>
      </c>
      <c r="AZ9" s="113">
        <v>11.680999999999999</v>
      </c>
      <c r="BA9" s="113">
        <v>15.587</v>
      </c>
      <c r="BB9" s="113">
        <v>25.751000000000001</v>
      </c>
      <c r="BC9" s="113">
        <v>24.238</v>
      </c>
      <c r="BD9" s="113">
        <v>17.518000000000001</v>
      </c>
      <c r="BE9" s="113">
        <v>17.074999999999999</v>
      </c>
      <c r="BF9" s="113">
        <v>17.103000000000002</v>
      </c>
      <c r="BG9" s="113">
        <v>17.327000000000002</v>
      </c>
      <c r="BH9" s="113">
        <v>10.217000000000001</v>
      </c>
      <c r="BI9" s="143"/>
    </row>
    <row r="10" spans="1:61" x14ac:dyDescent="0.35">
      <c r="A10" s="143" t="str">
        <f>IF('Índice - Index'!$D$14="Português","91 a 120 dias","91 - 120 days")</f>
        <v>91 a 120 dias</v>
      </c>
      <c r="B10" s="142">
        <v>15.257999999999999</v>
      </c>
      <c r="C10" s="142">
        <v>20.498000000000001</v>
      </c>
      <c r="D10" s="142">
        <v>12.364000000000001</v>
      </c>
      <c r="E10" s="142">
        <v>10.865</v>
      </c>
      <c r="F10" s="142">
        <v>13.295</v>
      </c>
      <c r="G10" s="142">
        <v>20.085999999999999</v>
      </c>
      <c r="H10" s="142">
        <v>14.965999999999999</v>
      </c>
      <c r="I10" s="142">
        <v>13.909000000000001</v>
      </c>
      <c r="J10" s="142">
        <v>16.53</v>
      </c>
      <c r="K10" s="142">
        <v>24.6</v>
      </c>
      <c r="L10" s="142">
        <v>20.100000000000001</v>
      </c>
      <c r="M10" s="142">
        <v>21.382000000000001</v>
      </c>
      <c r="N10" s="142">
        <v>24.6</v>
      </c>
      <c r="O10" s="142">
        <v>22.9</v>
      </c>
      <c r="P10" s="142">
        <v>19.859000000000002</v>
      </c>
      <c r="Q10" s="142">
        <v>20.702000000000002</v>
      </c>
      <c r="R10" s="142">
        <v>18.8</v>
      </c>
      <c r="S10" s="142">
        <v>25.7</v>
      </c>
      <c r="T10" s="142">
        <v>19.3</v>
      </c>
      <c r="U10" s="142">
        <v>18.3</v>
      </c>
      <c r="V10" s="142">
        <v>22.7</v>
      </c>
      <c r="W10" s="142">
        <v>35.338000000000001</v>
      </c>
      <c r="X10" s="142">
        <v>23.254999999999999</v>
      </c>
      <c r="Y10" s="113">
        <v>18.727</v>
      </c>
      <c r="Z10" s="113">
        <v>20.391999999999999</v>
      </c>
      <c r="AA10" s="113">
        <v>29.131</v>
      </c>
      <c r="AB10" s="113">
        <v>20.792000000000002</v>
      </c>
      <c r="AC10" s="113">
        <v>19.957000000000001</v>
      </c>
      <c r="AD10" s="113">
        <v>17.321999999999999</v>
      </c>
      <c r="AE10" s="113">
        <v>24.631</v>
      </c>
      <c r="AF10" s="113">
        <v>20.361999999999998</v>
      </c>
      <c r="AG10" s="25">
        <v>20.399999999999999</v>
      </c>
      <c r="AH10" s="25">
        <v>19.399999999999999</v>
      </c>
      <c r="AI10" s="25">
        <v>27.4</v>
      </c>
      <c r="AJ10" s="25">
        <v>19.100000000000001</v>
      </c>
      <c r="AK10" s="25">
        <v>21.1</v>
      </c>
      <c r="AL10" s="113">
        <v>19.7</v>
      </c>
      <c r="AM10" s="113">
        <v>25.036999999999999</v>
      </c>
      <c r="AN10" s="113">
        <v>18.265000000000001</v>
      </c>
      <c r="AO10" s="113">
        <v>11.882000000000001</v>
      </c>
      <c r="AP10" s="113">
        <v>14.768000000000001</v>
      </c>
      <c r="AQ10" s="113">
        <v>19.734000000000002</v>
      </c>
      <c r="AR10" s="113">
        <v>16.587</v>
      </c>
      <c r="AS10" s="113">
        <v>16.097999999999999</v>
      </c>
      <c r="AT10" s="113">
        <v>15.949</v>
      </c>
      <c r="AU10" s="113">
        <v>33.606000000000002</v>
      </c>
      <c r="AV10" s="113">
        <v>11.91</v>
      </c>
      <c r="AW10" s="113">
        <v>5.1180000000000003</v>
      </c>
      <c r="AX10" s="113">
        <v>9.2409999999999997</v>
      </c>
      <c r="AY10" s="113">
        <v>19.664000000000001</v>
      </c>
      <c r="AZ10" s="113">
        <v>10.153</v>
      </c>
      <c r="BA10" s="113">
        <v>12.548999999999999</v>
      </c>
      <c r="BB10" s="113">
        <v>17.812000000000001</v>
      </c>
      <c r="BC10" s="113">
        <v>30.597999999999999</v>
      </c>
      <c r="BD10" s="113">
        <v>19.989999999999998</v>
      </c>
      <c r="BE10" s="113">
        <v>15.641</v>
      </c>
      <c r="BF10" s="113">
        <v>13.388999999999999</v>
      </c>
      <c r="BG10" s="113">
        <v>19.228999999999999</v>
      </c>
      <c r="BH10" s="113">
        <v>10.933999999999999</v>
      </c>
      <c r="BI10" s="143"/>
    </row>
    <row r="11" spans="1:61" x14ac:dyDescent="0.35">
      <c r="A11" s="143" t="str">
        <f>IF('Índice - Index'!$D$14="Português","121 a 150 dias","121 - 150 days")</f>
        <v>121 a 150 dias</v>
      </c>
      <c r="B11" s="142">
        <v>11.784000000000001</v>
      </c>
      <c r="C11" s="142">
        <v>18.021000000000001</v>
      </c>
      <c r="D11" s="142">
        <v>10.983000000000001</v>
      </c>
      <c r="E11" s="142">
        <v>10.638</v>
      </c>
      <c r="F11" s="142">
        <v>7.9649999999999999</v>
      </c>
      <c r="G11" s="142">
        <v>15.292</v>
      </c>
      <c r="H11" s="142">
        <v>12.268000000000001</v>
      </c>
      <c r="I11" s="142">
        <v>11.589</v>
      </c>
      <c r="J11" s="142">
        <v>12.486000000000001</v>
      </c>
      <c r="K11" s="142">
        <v>18.2</v>
      </c>
      <c r="L11" s="142">
        <v>15.7</v>
      </c>
      <c r="M11" s="142">
        <v>18.303000000000001</v>
      </c>
      <c r="N11" s="142">
        <v>18.2</v>
      </c>
      <c r="O11" s="142">
        <v>16.399999999999999</v>
      </c>
      <c r="P11" s="142">
        <v>13.143000000000001</v>
      </c>
      <c r="Q11" s="142">
        <v>18.602</v>
      </c>
      <c r="R11" s="142">
        <v>15.4</v>
      </c>
      <c r="S11" s="142">
        <v>17</v>
      </c>
      <c r="T11" s="142">
        <v>14.9</v>
      </c>
      <c r="U11" s="142">
        <v>15.4</v>
      </c>
      <c r="V11" s="142">
        <v>14.1</v>
      </c>
      <c r="W11" s="142">
        <v>27.591999999999999</v>
      </c>
      <c r="X11" s="142">
        <v>20.451000000000001</v>
      </c>
      <c r="Y11" s="113">
        <v>16.625</v>
      </c>
      <c r="Z11" s="113">
        <v>14.743</v>
      </c>
      <c r="AA11" s="113">
        <v>24.114000000000001</v>
      </c>
      <c r="AB11" s="113">
        <v>17.608000000000001</v>
      </c>
      <c r="AC11" s="113">
        <v>17.167999999999999</v>
      </c>
      <c r="AD11" s="113">
        <v>14.363</v>
      </c>
      <c r="AE11" s="113">
        <v>19.689</v>
      </c>
      <c r="AF11" s="113">
        <v>16.838999999999999</v>
      </c>
      <c r="AG11" s="25">
        <v>17.8</v>
      </c>
      <c r="AH11" s="25">
        <v>16.600000000000001</v>
      </c>
      <c r="AI11" s="25">
        <v>23</v>
      </c>
      <c r="AJ11" s="25">
        <v>17</v>
      </c>
      <c r="AK11" s="25">
        <v>18.2</v>
      </c>
      <c r="AL11" s="113">
        <v>15.98</v>
      </c>
      <c r="AM11" s="113">
        <v>22.402000000000001</v>
      </c>
      <c r="AN11" s="113">
        <v>15.397</v>
      </c>
      <c r="AO11" s="113">
        <v>12.018000000000001</v>
      </c>
      <c r="AP11" s="113">
        <v>13.678000000000001</v>
      </c>
      <c r="AQ11" s="113">
        <v>17.288</v>
      </c>
      <c r="AR11" s="113">
        <v>15.51</v>
      </c>
      <c r="AS11" s="113">
        <v>15.275</v>
      </c>
      <c r="AT11" s="113">
        <v>14.904</v>
      </c>
      <c r="AU11" s="113">
        <v>24.052</v>
      </c>
      <c r="AV11" s="113">
        <v>13.223000000000001</v>
      </c>
      <c r="AW11" s="113">
        <v>4.1280000000000001</v>
      </c>
      <c r="AX11" s="113">
        <v>6.8209999999999997</v>
      </c>
      <c r="AY11" s="113">
        <v>15.07</v>
      </c>
      <c r="AZ11" s="113">
        <v>7.351</v>
      </c>
      <c r="BA11" s="113">
        <v>12.939</v>
      </c>
      <c r="BB11" s="113">
        <v>18.265999999999998</v>
      </c>
      <c r="BC11" s="113">
        <v>25.555</v>
      </c>
      <c r="BD11" s="113">
        <v>16.052</v>
      </c>
      <c r="BE11" s="113">
        <v>13.717000000000001</v>
      </c>
      <c r="BF11" s="113">
        <v>15.46</v>
      </c>
      <c r="BG11" s="113">
        <v>18.472999999999999</v>
      </c>
      <c r="BH11" s="113">
        <v>11.898</v>
      </c>
      <c r="BI11" s="143"/>
    </row>
    <row r="12" spans="1:61" x14ac:dyDescent="0.35">
      <c r="A12" s="143" t="str">
        <f>IF('Índice - Index'!$D$14="Português","151 a 180 dias","151 - 180 days")</f>
        <v>151 a 180 dias</v>
      </c>
      <c r="B12" s="142">
        <v>13.56</v>
      </c>
      <c r="C12" s="142">
        <v>24.315000000000001</v>
      </c>
      <c r="D12" s="142">
        <v>12.776</v>
      </c>
      <c r="E12" s="142">
        <v>9.3710000000000004</v>
      </c>
      <c r="F12" s="142">
        <v>6.9569999999999999</v>
      </c>
      <c r="G12" s="142">
        <v>17.966000000000001</v>
      </c>
      <c r="H12" s="142">
        <v>11.997</v>
      </c>
      <c r="I12" s="142">
        <v>10.420999999999999</v>
      </c>
      <c r="J12" s="142">
        <v>11.863</v>
      </c>
      <c r="K12" s="142">
        <v>21.5</v>
      </c>
      <c r="L12" s="142">
        <v>16.399999999999999</v>
      </c>
      <c r="M12" s="142">
        <v>16.013999999999999</v>
      </c>
      <c r="N12" s="142">
        <v>21.5</v>
      </c>
      <c r="O12" s="142">
        <v>19.8</v>
      </c>
      <c r="P12" s="142">
        <v>13.57</v>
      </c>
      <c r="Q12" s="142">
        <v>15.997</v>
      </c>
      <c r="R12" s="142">
        <v>16.100000000000001</v>
      </c>
      <c r="S12" s="142">
        <v>22.6</v>
      </c>
      <c r="T12" s="142">
        <v>16</v>
      </c>
      <c r="U12" s="142">
        <v>15.2</v>
      </c>
      <c r="V12" s="142">
        <v>14.6</v>
      </c>
      <c r="W12" s="142">
        <v>30.491</v>
      </c>
      <c r="X12" s="142">
        <v>22.635000000000002</v>
      </c>
      <c r="Y12" s="113">
        <v>16.975999999999999</v>
      </c>
      <c r="Z12" s="113">
        <v>14.862</v>
      </c>
      <c r="AA12" s="113">
        <v>27.216000000000001</v>
      </c>
      <c r="AB12" s="113">
        <v>18.812000000000001</v>
      </c>
      <c r="AC12" s="113">
        <v>17.056000000000001</v>
      </c>
      <c r="AD12" s="113">
        <v>14.657999999999999</v>
      </c>
      <c r="AE12" s="113">
        <v>23.32</v>
      </c>
      <c r="AF12" s="113">
        <v>16.622</v>
      </c>
      <c r="AG12" s="25">
        <v>17.600000000000001</v>
      </c>
      <c r="AH12" s="25">
        <v>16.100000000000001</v>
      </c>
      <c r="AI12" s="25">
        <v>27.3</v>
      </c>
      <c r="AJ12" s="25">
        <v>19.600000000000001</v>
      </c>
      <c r="AK12" s="25">
        <v>16.2</v>
      </c>
      <c r="AL12" s="113">
        <v>17.78</v>
      </c>
      <c r="AM12" s="113">
        <v>25.559000000000001</v>
      </c>
      <c r="AN12" s="113">
        <v>16.151</v>
      </c>
      <c r="AO12" s="113">
        <v>10.661</v>
      </c>
      <c r="AP12" s="113">
        <v>36.347000000000001</v>
      </c>
      <c r="AQ12" s="113">
        <v>29.105</v>
      </c>
      <c r="AR12" s="113">
        <v>30.259</v>
      </c>
      <c r="AS12" s="113">
        <v>26.558</v>
      </c>
      <c r="AT12" s="113">
        <v>25.172999999999998</v>
      </c>
      <c r="AU12" s="113">
        <v>31.989000000000001</v>
      </c>
      <c r="AV12" s="113">
        <v>35.061999999999998</v>
      </c>
      <c r="AW12" s="113">
        <v>17.596</v>
      </c>
      <c r="AX12" s="113">
        <v>10.509</v>
      </c>
      <c r="AY12" s="113">
        <v>16.209</v>
      </c>
      <c r="AZ12" s="113">
        <v>12.023</v>
      </c>
      <c r="BA12" s="113">
        <v>17.823</v>
      </c>
      <c r="BB12" s="113">
        <v>23.702999999999999</v>
      </c>
      <c r="BC12" s="113">
        <v>35.088999999999999</v>
      </c>
      <c r="BD12" s="113">
        <v>37.820999999999998</v>
      </c>
      <c r="BE12" s="113">
        <v>21.673999999999999</v>
      </c>
      <c r="BF12" s="113">
        <v>21.673999999999999</v>
      </c>
      <c r="BG12" s="113">
        <v>23.233000000000001</v>
      </c>
      <c r="BH12" s="113">
        <v>15.53</v>
      </c>
      <c r="BI12" s="143"/>
    </row>
    <row r="13" spans="1:61" x14ac:dyDescent="0.35">
      <c r="A13" s="143" t="str">
        <f>IF('Índice - Index'!$D$14="Português","181 a 240 dias","181 - 240 days")</f>
        <v>181 a 240 dias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13"/>
      <c r="Z13" s="113"/>
      <c r="AA13" s="113"/>
      <c r="AB13" s="113"/>
      <c r="AC13" s="113"/>
      <c r="AD13" s="113"/>
      <c r="AE13" s="113"/>
      <c r="AF13" s="113"/>
      <c r="AL13" s="113"/>
      <c r="AM13" s="113"/>
      <c r="AN13" s="113"/>
      <c r="AO13" s="113"/>
      <c r="AP13" s="113"/>
      <c r="AQ13" s="113">
        <v>23.885999999999999</v>
      </c>
      <c r="AR13" s="113">
        <v>33.200000000000003</v>
      </c>
      <c r="AS13" s="113">
        <v>26.268000000000001</v>
      </c>
      <c r="AT13" s="113">
        <v>26.513000000000002</v>
      </c>
      <c r="AU13" s="113">
        <v>26.734999999999999</v>
      </c>
      <c r="AV13" s="113">
        <v>43.655000000000001</v>
      </c>
      <c r="AW13" s="113">
        <v>20.213000000000001</v>
      </c>
      <c r="AX13" s="113">
        <v>7.56</v>
      </c>
      <c r="AY13" s="113">
        <v>14.616</v>
      </c>
      <c r="AZ13" s="113">
        <v>17.379000000000001</v>
      </c>
      <c r="BA13" s="113">
        <v>16.664999999999999</v>
      </c>
      <c r="BB13" s="113">
        <v>23.641999999999999</v>
      </c>
      <c r="BC13" s="113">
        <v>34.506</v>
      </c>
      <c r="BD13" s="113">
        <v>56.649000000000001</v>
      </c>
      <c r="BE13" s="113">
        <v>27.670999999999999</v>
      </c>
      <c r="BF13" s="113">
        <v>27.670999999999999</v>
      </c>
      <c r="BG13" s="113">
        <v>22.541</v>
      </c>
      <c r="BH13" s="113">
        <v>16.907</v>
      </c>
      <c r="BI13" s="143"/>
    </row>
    <row r="14" spans="1:61" x14ac:dyDescent="0.35">
      <c r="A14" s="143" t="str">
        <f>IF('Índice - Index'!$D$14="Português","241 a 300 dias","241 - 300 days")</f>
        <v>241 a 300 dias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13"/>
      <c r="Z14" s="113"/>
      <c r="AA14" s="113"/>
      <c r="AB14" s="113"/>
      <c r="AC14" s="113"/>
      <c r="AD14" s="113"/>
      <c r="AE14" s="113"/>
      <c r="AF14" s="113"/>
      <c r="AL14" s="113"/>
      <c r="AM14" s="113"/>
      <c r="AN14" s="113"/>
      <c r="AO14" s="113"/>
      <c r="AP14" s="113"/>
      <c r="AQ14" s="113">
        <v>27.638000000000002</v>
      </c>
      <c r="AR14" s="113">
        <v>39.024000000000001</v>
      </c>
      <c r="AS14" s="113">
        <v>52.79</v>
      </c>
      <c r="AT14" s="113">
        <v>39.572000000000003</v>
      </c>
      <c r="AU14" s="113">
        <v>23.638000000000002</v>
      </c>
      <c r="AV14" s="113">
        <v>26.175000000000001</v>
      </c>
      <c r="AW14" s="113">
        <v>35.927</v>
      </c>
      <c r="AX14" s="113">
        <v>8.9410000000000007</v>
      </c>
      <c r="AY14" s="113">
        <v>8.6910000000000007</v>
      </c>
      <c r="AZ14" s="113">
        <v>5.2370000000000001</v>
      </c>
      <c r="BA14" s="113">
        <v>20.606000000000002</v>
      </c>
      <c r="BB14" s="113">
        <v>19.928999999999998</v>
      </c>
      <c r="BC14" s="113">
        <v>24.547999999999998</v>
      </c>
      <c r="BD14" s="113">
        <v>38.786999999999999</v>
      </c>
      <c r="BE14" s="113">
        <v>18.762</v>
      </c>
      <c r="BF14" s="113">
        <v>18.762</v>
      </c>
      <c r="BG14" s="113">
        <v>27.256</v>
      </c>
      <c r="BH14" s="113">
        <v>3.12</v>
      </c>
      <c r="BI14" s="143"/>
    </row>
    <row r="15" spans="1:61" x14ac:dyDescent="0.35">
      <c r="A15" s="143" t="str">
        <f>IF('Índice - Index'!$D$14="Português","301 a 360 dias","301 - 360 days")</f>
        <v>301 a 360 dias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13"/>
      <c r="Z15" s="113"/>
      <c r="AA15" s="113"/>
      <c r="AB15" s="113"/>
      <c r="AC15" s="113"/>
      <c r="AD15" s="113"/>
      <c r="AE15" s="113"/>
      <c r="AF15" s="113"/>
      <c r="AL15" s="113"/>
      <c r="AM15" s="113"/>
      <c r="AN15" s="113"/>
      <c r="AO15" s="113"/>
      <c r="AP15" s="113"/>
      <c r="AQ15" s="113">
        <v>0</v>
      </c>
      <c r="AR15" s="113">
        <v>0</v>
      </c>
      <c r="AS15" s="113">
        <v>0</v>
      </c>
      <c r="AT15" s="113">
        <v>0</v>
      </c>
      <c r="AU15" s="113">
        <v>16.532</v>
      </c>
      <c r="AV15" s="113">
        <v>15.83</v>
      </c>
      <c r="AW15" s="113">
        <v>23.238</v>
      </c>
      <c r="AX15" s="113">
        <v>14.266999999999999</v>
      </c>
      <c r="AY15" s="113">
        <v>4.0739999999999998</v>
      </c>
      <c r="AZ15" s="113">
        <v>1.792</v>
      </c>
      <c r="BA15" s="113">
        <v>8.9079999999999995</v>
      </c>
      <c r="BB15" s="113">
        <v>16.210999999999999</v>
      </c>
      <c r="BC15" s="113">
        <v>21.620999999999999</v>
      </c>
      <c r="BD15" s="113">
        <v>28.11</v>
      </c>
      <c r="BE15" s="113">
        <v>14.085000000000001</v>
      </c>
      <c r="BF15" s="113">
        <v>14.085000000000001</v>
      </c>
      <c r="BG15" s="113">
        <v>28.940999999999999</v>
      </c>
      <c r="BH15" s="113">
        <v>13.295999999999999</v>
      </c>
      <c r="BI15" s="143"/>
    </row>
    <row r="16" spans="1:61" ht="3.75" customHeight="1" x14ac:dyDescent="0.35">
      <c r="A16" s="143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13"/>
      <c r="Z16" s="113"/>
      <c r="AA16" s="113"/>
      <c r="AB16" s="113"/>
      <c r="AC16" s="113"/>
      <c r="AD16" s="113"/>
      <c r="AE16" s="113"/>
      <c r="AF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</row>
    <row r="17" spans="1:61" x14ac:dyDescent="0.35">
      <c r="A17" s="143" t="str">
        <f>IF('Índice - Index'!$D$14="Português","Saldo da PDD","Allowance for Losses")</f>
        <v>Saldo da PDD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13"/>
      <c r="Z17" s="113"/>
      <c r="AA17" s="193"/>
      <c r="AB17" s="206">
        <v>-44.794370999999998</v>
      </c>
      <c r="AC17" s="206">
        <v>-43.9</v>
      </c>
      <c r="AD17" s="206">
        <v>-37.877094</v>
      </c>
      <c r="AE17" s="206">
        <v>-56.777000000000001</v>
      </c>
      <c r="AF17" s="206">
        <v>-43.342993999999997</v>
      </c>
      <c r="AG17" s="206">
        <v>-48.5</v>
      </c>
      <c r="AH17" s="206">
        <v>-45.379384000000002</v>
      </c>
      <c r="AI17" s="206">
        <v>-67.873000000000005</v>
      </c>
      <c r="AJ17" s="206">
        <v>-47.222388000000002</v>
      </c>
      <c r="AK17" s="206">
        <v>-47.7</v>
      </c>
      <c r="AL17" s="206">
        <v>-43.997045</v>
      </c>
      <c r="AM17" s="206">
        <v>-65.459000000000003</v>
      </c>
      <c r="AN17" s="206">
        <v>-48.558999999999997</v>
      </c>
      <c r="AO17" s="206">
        <v>-19.843</v>
      </c>
      <c r="AP17" s="209">
        <v>-64.422552538000019</v>
      </c>
      <c r="AQ17" s="209">
        <v>-132.715</v>
      </c>
      <c r="AR17" s="209">
        <v>-144.066</v>
      </c>
      <c r="AS17" s="206">
        <v>-118.881</v>
      </c>
      <c r="AT17" s="206">
        <v>-110.98</v>
      </c>
      <c r="AU17" s="206">
        <v>-136.15299999999999</v>
      </c>
      <c r="AV17" s="206">
        <v>-122.34599999999999</v>
      </c>
      <c r="AW17" s="206">
        <v>-108.387</v>
      </c>
      <c r="AX17" s="206">
        <v>-68.3</v>
      </c>
      <c r="AY17" s="206">
        <v>-85.961000000000013</v>
      </c>
      <c r="AZ17" s="206">
        <v>-73.903999999999996</v>
      </c>
      <c r="BA17" s="206">
        <v>-87.275000000000006</v>
      </c>
      <c r="BB17" s="206">
        <v>-111.43799999999999</v>
      </c>
      <c r="BC17" s="206">
        <v>-143.26</v>
      </c>
      <c r="BD17" s="206">
        <v>-151.04300000000001</v>
      </c>
      <c r="BE17" s="206">
        <v>-123.85499999999999</v>
      </c>
      <c r="BF17" s="206">
        <v>-153.69499999999999</v>
      </c>
      <c r="BG17" s="206">
        <v>-155.44299999999998</v>
      </c>
      <c r="BH17" s="206">
        <v>-86.771000000000001</v>
      </c>
    </row>
    <row r="18" spans="1:61" ht="3.75" customHeight="1" x14ac:dyDescent="0.35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spans="1:61" x14ac:dyDescent="0.35">
      <c r="A19" s="145" t="s">
        <v>53</v>
      </c>
      <c r="B19" s="148">
        <f t="shared" ref="B19:AW19" si="4">B4+B6</f>
        <v>416.74099999999999</v>
      </c>
      <c r="C19" s="148">
        <f t="shared" si="4"/>
        <v>393.589</v>
      </c>
      <c r="D19" s="148">
        <f t="shared" si="4"/>
        <v>339.05600000000004</v>
      </c>
      <c r="E19" s="148">
        <f t="shared" si="4"/>
        <v>457.91399999999999</v>
      </c>
      <c r="F19" s="148">
        <f t="shared" si="4"/>
        <v>412.28</v>
      </c>
      <c r="G19" s="148">
        <f t="shared" si="4"/>
        <v>444.43400000000003</v>
      </c>
      <c r="H19" s="148">
        <f t="shared" si="4"/>
        <v>399.12</v>
      </c>
      <c r="I19" s="148">
        <f t="shared" si="4"/>
        <v>501.90200000000004</v>
      </c>
      <c r="J19" s="148">
        <f t="shared" si="4"/>
        <v>453.851</v>
      </c>
      <c r="K19" s="148">
        <f t="shared" si="4"/>
        <v>496.09999999999991</v>
      </c>
      <c r="L19" s="148">
        <f t="shared" si="4"/>
        <v>441</v>
      </c>
      <c r="M19" s="148">
        <f t="shared" si="4"/>
        <v>515.66499999999996</v>
      </c>
      <c r="N19" s="148">
        <f t="shared" si="4"/>
        <v>496.09999999999991</v>
      </c>
      <c r="O19" s="148">
        <f t="shared" si="4"/>
        <v>520.4</v>
      </c>
      <c r="P19" s="148">
        <f t="shared" si="4"/>
        <v>511.43299999999999</v>
      </c>
      <c r="Q19" s="148">
        <f t="shared" si="4"/>
        <v>617.34999999999991</v>
      </c>
      <c r="R19" s="148">
        <f t="shared" si="4"/>
        <v>537.40000000000009</v>
      </c>
      <c r="S19" s="148">
        <f t="shared" si="4"/>
        <v>553.4</v>
      </c>
      <c r="T19" s="148">
        <f t="shared" si="4"/>
        <v>504.1</v>
      </c>
      <c r="U19" s="148">
        <f t="shared" si="4"/>
        <v>687.59999999999991</v>
      </c>
      <c r="V19" s="148">
        <f t="shared" si="4"/>
        <v>609.23500000000001</v>
      </c>
      <c r="W19" s="148">
        <f t="shared" si="4"/>
        <v>622.76499999999999</v>
      </c>
      <c r="X19" s="148">
        <f t="shared" si="4"/>
        <v>537.16200000000003</v>
      </c>
      <c r="Y19" s="148">
        <f t="shared" si="4"/>
        <v>650.82499999999993</v>
      </c>
      <c r="Z19" s="148">
        <f t="shared" si="4"/>
        <v>548.47899999999993</v>
      </c>
      <c r="AA19" s="148">
        <f t="shared" si="4"/>
        <v>543.04500000000007</v>
      </c>
      <c r="AB19" s="148">
        <f t="shared" si="4"/>
        <v>489.64800000000002</v>
      </c>
      <c r="AC19" s="148">
        <f t="shared" si="4"/>
        <v>558.69000000000005</v>
      </c>
      <c r="AD19" s="148">
        <f t="shared" si="4"/>
        <v>489.072</v>
      </c>
      <c r="AE19" s="148">
        <f t="shared" si="4"/>
        <v>550.40199999999993</v>
      </c>
      <c r="AF19" s="148">
        <f t="shared" si="4"/>
        <v>493.59099999999995</v>
      </c>
      <c r="AG19" s="148">
        <f t="shared" si="4"/>
        <v>575</v>
      </c>
      <c r="AH19" s="148">
        <f t="shared" si="4"/>
        <v>524.20000000000005</v>
      </c>
      <c r="AI19" s="148">
        <f t="shared" si="4"/>
        <v>533.20000000000005</v>
      </c>
      <c r="AJ19" s="148">
        <f t="shared" si="4"/>
        <v>495.3</v>
      </c>
      <c r="AK19" s="148">
        <f t="shared" si="4"/>
        <v>535.89799999999991</v>
      </c>
      <c r="AL19" s="148">
        <f t="shared" si="4"/>
        <v>465.89</v>
      </c>
      <c r="AM19" s="148">
        <f t="shared" si="4"/>
        <v>487.5</v>
      </c>
      <c r="AN19" s="148">
        <f t="shared" si="4"/>
        <v>454.923</v>
      </c>
      <c r="AO19" s="148">
        <f t="shared" si="4"/>
        <v>514.36500000000001</v>
      </c>
      <c r="AP19" s="148">
        <f t="shared" si="4"/>
        <v>504.78599999999994</v>
      </c>
      <c r="AQ19" s="148">
        <f t="shared" si="4"/>
        <v>581.36400000000003</v>
      </c>
      <c r="AR19" s="148">
        <f t="shared" si="4"/>
        <v>583.322</v>
      </c>
      <c r="AS19" s="148">
        <f t="shared" si="4"/>
        <v>663.47900000000004</v>
      </c>
      <c r="AT19" s="148">
        <f t="shared" si="4"/>
        <v>584.20500000000004</v>
      </c>
      <c r="AU19" s="148">
        <f t="shared" si="4"/>
        <v>440.49</v>
      </c>
      <c r="AV19" s="148">
        <f t="shared" si="4"/>
        <v>456.613</v>
      </c>
      <c r="AW19" s="148">
        <f t="shared" si="4"/>
        <v>541.02800000000002</v>
      </c>
      <c r="AX19" s="148">
        <f t="shared" ref="AX19:BF19" si="5">AX4+AX6</f>
        <v>435.03399999999999</v>
      </c>
      <c r="AY19" s="148">
        <f t="shared" si="5"/>
        <v>499.096</v>
      </c>
      <c r="AZ19" s="148">
        <f t="shared" si="5"/>
        <v>501.47299999999996</v>
      </c>
      <c r="BA19" s="148">
        <f t="shared" si="5"/>
        <v>639.54399999999998</v>
      </c>
      <c r="BB19" s="148">
        <f t="shared" si="5"/>
        <v>629.85599999999999</v>
      </c>
      <c r="BC19" s="148">
        <f t="shared" si="5"/>
        <v>661.15899999999999</v>
      </c>
      <c r="BD19" s="148">
        <f t="shared" si="5"/>
        <v>630.35518393000007</v>
      </c>
      <c r="BE19" s="148">
        <f t="shared" ref="BE19" si="6">BE4+BE6</f>
        <v>538.54</v>
      </c>
      <c r="BF19" s="148">
        <f t="shared" si="5"/>
        <v>460.053</v>
      </c>
      <c r="BG19" s="148">
        <f t="shared" ref="BG19:BH19" si="7">BG4+BG6</f>
        <v>435.572</v>
      </c>
      <c r="BH19" s="148">
        <f t="shared" si="7"/>
        <v>253.50899999999999</v>
      </c>
    </row>
    <row r="20" spans="1:61" x14ac:dyDescent="0.35">
      <c r="A20" s="248" t="s">
        <v>54</v>
      </c>
      <c r="B20" s="150"/>
      <c r="C20" s="150"/>
      <c r="D20" s="150"/>
      <c r="E20" s="150"/>
      <c r="F20" s="150"/>
      <c r="G20" s="150"/>
      <c r="H20" s="150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</row>
    <row r="21" spans="1:61" x14ac:dyDescent="0.35">
      <c r="A21" s="88">
        <v>0.11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</row>
    <row r="22" spans="1:61" x14ac:dyDescent="0.35">
      <c r="A22" s="88" t="str">
        <f>IF('Índice - Index'!$D$14="Português","(R$ milhares)","(R$ million)")</f>
        <v>(R$ milhares)</v>
      </c>
      <c r="B22" s="88" t="str">
        <f>B$2</f>
        <v>Mar. 09</v>
      </c>
      <c r="C22" s="88" t="str">
        <f t="shared" ref="C22:AI22" si="8">C$2</f>
        <v>Jun.09</v>
      </c>
      <c r="D22" s="88" t="str">
        <f t="shared" si="8"/>
        <v>Set.09</v>
      </c>
      <c r="E22" s="88" t="str">
        <f t="shared" si="8"/>
        <v>Dez.09</v>
      </c>
      <c r="F22" s="88" t="str">
        <f t="shared" si="8"/>
        <v>Mar. 10</v>
      </c>
      <c r="G22" s="88" t="str">
        <f t="shared" si="8"/>
        <v>Jun.10</v>
      </c>
      <c r="H22" s="88" t="str">
        <f t="shared" si="8"/>
        <v>Set.10</v>
      </c>
      <c r="I22" s="88" t="str">
        <f>IF('Índice - Index'!$D$14="Português","Dez.10*","Dec.10*")</f>
        <v>Dez.10*</v>
      </c>
      <c r="J22" s="88" t="str">
        <f t="shared" si="8"/>
        <v>Mar. 11</v>
      </c>
      <c r="K22" s="88" t="str">
        <f t="shared" si="8"/>
        <v>Jun.11</v>
      </c>
      <c r="L22" s="88" t="str">
        <f t="shared" si="8"/>
        <v>Set.11</v>
      </c>
      <c r="M22" s="88" t="str">
        <f t="shared" si="8"/>
        <v>Dez.11</v>
      </c>
      <c r="N22" s="88" t="str">
        <f t="shared" si="8"/>
        <v>Mar. 12</v>
      </c>
      <c r="O22" s="88" t="str">
        <f t="shared" si="8"/>
        <v>Jun.12</v>
      </c>
      <c r="P22" s="88" t="str">
        <f t="shared" si="8"/>
        <v>Set.12</v>
      </c>
      <c r="Q22" s="88" t="str">
        <f t="shared" si="8"/>
        <v>Dez.12</v>
      </c>
      <c r="R22" s="88" t="str">
        <f t="shared" si="8"/>
        <v>Mar. 13</v>
      </c>
      <c r="S22" s="88" t="str">
        <f t="shared" si="8"/>
        <v>Jun.13</v>
      </c>
      <c r="T22" s="88" t="str">
        <f t="shared" si="8"/>
        <v>Set.13</v>
      </c>
      <c r="U22" s="88" t="str">
        <f t="shared" si="8"/>
        <v>Dez.13</v>
      </c>
      <c r="V22" s="88" t="str">
        <f t="shared" si="8"/>
        <v>Mar. 14</v>
      </c>
      <c r="W22" s="88" t="str">
        <f t="shared" si="8"/>
        <v>Jun.14</v>
      </c>
      <c r="X22" s="88" t="str">
        <f t="shared" si="8"/>
        <v>Set.14</v>
      </c>
      <c r="Y22" s="88" t="str">
        <f t="shared" si="8"/>
        <v>Dez.14</v>
      </c>
      <c r="Z22" s="88" t="str">
        <f t="shared" si="8"/>
        <v>Mar. 15</v>
      </c>
      <c r="AA22" s="88" t="str">
        <f t="shared" si="8"/>
        <v>Jun.15</v>
      </c>
      <c r="AB22" s="88" t="str">
        <f t="shared" si="8"/>
        <v>Set.15</v>
      </c>
      <c r="AC22" s="88" t="str">
        <f t="shared" si="8"/>
        <v>Dez.15</v>
      </c>
      <c r="AD22" s="88" t="str">
        <f t="shared" si="8"/>
        <v>Mar. 16</v>
      </c>
      <c r="AE22" s="88" t="str">
        <f t="shared" si="8"/>
        <v>Jun.16</v>
      </c>
      <c r="AF22" s="88" t="str">
        <f t="shared" si="8"/>
        <v>Set.16</v>
      </c>
      <c r="AG22" s="88" t="str">
        <f t="shared" si="8"/>
        <v>Dez.16</v>
      </c>
      <c r="AH22" s="88" t="str">
        <f t="shared" si="8"/>
        <v>Mar. 17</v>
      </c>
      <c r="AI22" s="88" t="str">
        <f t="shared" si="8"/>
        <v>Jun.17</v>
      </c>
      <c r="AJ22" s="88" t="s">
        <v>23</v>
      </c>
      <c r="AK22" s="88" t="s">
        <v>24</v>
      </c>
      <c r="AL22" s="88" t="s">
        <v>25</v>
      </c>
      <c r="AM22" s="88" t="s">
        <v>26</v>
      </c>
      <c r="AN22" s="88" t="str">
        <f>IF('Índice - Index'!$D$14="Português","Set.18","Sep.18")</f>
        <v>Set.18</v>
      </c>
      <c r="AO22" s="88" t="str">
        <f>IF('Índice - Index'!$D$14="Português","Dez.18","Dec.18")</f>
        <v>Dez.18</v>
      </c>
      <c r="AP22" s="88" t="str">
        <f>IF('Índice - Index'!$D$14="Português","Mar.19","Mar.19")</f>
        <v>Mar.19</v>
      </c>
      <c r="AQ22" s="88" t="str">
        <f>IF('Índice - Index'!$D$14="Português","Jun.19","Jun.19")</f>
        <v>Jun.19</v>
      </c>
      <c r="AR22" s="88" t="str">
        <f>IF('Índice - Index'!$D$14="Português","Set.19","Sep.19")</f>
        <v>Set.19</v>
      </c>
      <c r="AS22" s="88" t="str">
        <f>IF('Índice - Index'!$D$14="Português","Dez.19","Dec.19")</f>
        <v>Dez.19</v>
      </c>
      <c r="AT22" s="88" t="str">
        <f>AT2</f>
        <v>Mar.20</v>
      </c>
      <c r="AU22" s="88" t="str">
        <f>AU2</f>
        <v>Jun.20</v>
      </c>
      <c r="AV22" s="88" t="str">
        <f>AV2</f>
        <v>Set.20</v>
      </c>
      <c r="AW22" s="88" t="str">
        <f>AW2</f>
        <v>Dez.20</v>
      </c>
      <c r="AX22" s="88" t="str">
        <f>AX2</f>
        <v>Mar.21</v>
      </c>
      <c r="AY22" s="88" t="str">
        <f>IF('Índice - Index'!$D$14="Português","Jun.21","Jun.21")</f>
        <v>Jun.21</v>
      </c>
      <c r="AZ22" s="88" t="str">
        <f>IF('Índice - Index'!$D$14="Português","Set.21","Sep.21")</f>
        <v>Set.21</v>
      </c>
      <c r="BA22" s="88" t="str">
        <f>IF('Índice - Index'!$D$14="Português","Dez.21","Dec.21")</f>
        <v>Dez.21</v>
      </c>
      <c r="BB22" s="88" t="str">
        <f>IF('Índice - Index'!$D$14="Português","Mar.22","Mar.22")</f>
        <v>Mar.22</v>
      </c>
      <c r="BC22" s="88" t="str">
        <f>IF('Índice - Index'!$D$14="Português","Jun.22","Jun.22")</f>
        <v>Jun.22</v>
      </c>
      <c r="BD22" s="88" t="str">
        <f>IF('Índice - Index'!$D$14="Português","Set.22","Sep.22")</f>
        <v>Set.22</v>
      </c>
      <c r="BE22" s="88" t="str">
        <f>IF('Índice - Index'!$D$14="Português","Dez.22","Dec.22")</f>
        <v>Dez.22</v>
      </c>
      <c r="BF22" s="88" t="str">
        <f>IF('Índice - Index'!$D$14="Português","Mar.23","Mar.23")</f>
        <v>Mar.23</v>
      </c>
      <c r="BG22" s="88" t="str">
        <f>IF('Índice - Index'!$D$14="Português","Jun.23","Jun.23")</f>
        <v>Jun.23</v>
      </c>
      <c r="BH22" s="88" t="str">
        <f>IF('Índice - Index'!$D$14="Português","Set.23","Sep.23")</f>
        <v>Set.23</v>
      </c>
    </row>
    <row r="23" spans="1:61" x14ac:dyDescent="0.35">
      <c r="A23" s="90"/>
      <c r="I23" s="139"/>
      <c r="J23" s="139"/>
      <c r="K23" s="139"/>
      <c r="L23" s="139"/>
      <c r="M23" s="139"/>
      <c r="N23" s="139"/>
      <c r="O23" s="139"/>
      <c r="P23" s="138"/>
      <c r="Q23" s="138"/>
      <c r="R23" s="138"/>
      <c r="S23" s="138"/>
      <c r="T23" s="138"/>
      <c r="U23" s="138"/>
      <c r="V23" s="153"/>
      <c r="W23" s="153"/>
    </row>
    <row r="24" spans="1:61" x14ac:dyDescent="0.35">
      <c r="A24" s="40" t="str">
        <f>IF('Índice - Index'!$D$14="Português","Em dia:","On time:")</f>
        <v>Em dia:</v>
      </c>
      <c r="B24" s="76"/>
      <c r="C24" s="76"/>
      <c r="D24" s="76"/>
      <c r="E24" s="76"/>
      <c r="F24" s="76"/>
      <c r="G24" s="76"/>
      <c r="H24" s="76"/>
      <c r="I24" s="142">
        <v>18.574000000000002</v>
      </c>
      <c r="J24" s="142">
        <v>27.762999999999998</v>
      </c>
      <c r="K24" s="142">
        <v>35</v>
      </c>
      <c r="L24" s="142">
        <v>37.700000000000003</v>
      </c>
      <c r="M24" s="142">
        <v>36.677999999999997</v>
      </c>
      <c r="N24" s="142">
        <v>46.725000000000001</v>
      </c>
      <c r="O24" s="142">
        <v>54.805999999999997</v>
      </c>
      <c r="P24" s="142">
        <v>64.599999999999994</v>
      </c>
      <c r="Q24" s="142">
        <v>67.802000000000007</v>
      </c>
      <c r="R24" s="142">
        <v>91.7</v>
      </c>
      <c r="S24" s="142">
        <v>111.199</v>
      </c>
      <c r="T24" s="142">
        <v>117.5</v>
      </c>
      <c r="U24" s="142">
        <v>115</v>
      </c>
      <c r="V24" s="142">
        <v>128.923</v>
      </c>
      <c r="W24" s="142">
        <v>140.864</v>
      </c>
      <c r="X24" s="25">
        <v>143.5</v>
      </c>
      <c r="Y24" s="25">
        <v>139.30000000000001</v>
      </c>
      <c r="Z24" s="113">
        <v>154.00800000000001</v>
      </c>
      <c r="AA24" s="25">
        <v>145.5</v>
      </c>
      <c r="AB24" s="113">
        <v>134.4</v>
      </c>
      <c r="AC24" s="113">
        <v>109.1</v>
      </c>
      <c r="AD24" s="113">
        <v>95.5</v>
      </c>
      <c r="AE24" s="25">
        <v>92.7</v>
      </c>
      <c r="AF24" s="25">
        <v>101.5</v>
      </c>
      <c r="AG24" s="25">
        <v>93.9</v>
      </c>
      <c r="AH24" s="113">
        <v>103.9</v>
      </c>
      <c r="AI24" s="25">
        <v>110.9</v>
      </c>
      <c r="AJ24" s="113">
        <v>120.327</v>
      </c>
      <c r="AK24" s="113">
        <v>116.2</v>
      </c>
      <c r="AL24" s="113">
        <v>127.57199999999999</v>
      </c>
      <c r="AM24" s="113">
        <v>124.95</v>
      </c>
      <c r="AN24" s="113">
        <v>127.28100000000001</v>
      </c>
      <c r="AO24" s="113">
        <v>115.33199999999999</v>
      </c>
      <c r="AP24" s="113">
        <v>126.92700000000001</v>
      </c>
      <c r="AQ24" s="113">
        <v>133.69200000000001</v>
      </c>
      <c r="AR24" s="113">
        <v>135.98500000000001</v>
      </c>
      <c r="AS24" s="113">
        <v>128.977</v>
      </c>
      <c r="AT24" s="113">
        <v>143.10400000000001</v>
      </c>
      <c r="AU24" s="113">
        <v>88.195999999999998</v>
      </c>
      <c r="AV24" s="113">
        <v>73.634</v>
      </c>
      <c r="AW24" s="113">
        <v>81.942999999999998</v>
      </c>
      <c r="AX24" s="186">
        <v>104.974</v>
      </c>
      <c r="AY24" s="186">
        <v>101.08</v>
      </c>
      <c r="AZ24" s="186">
        <v>124.574</v>
      </c>
      <c r="BA24" s="186">
        <v>146.87799999999999</v>
      </c>
      <c r="BB24" s="186">
        <v>149.655</v>
      </c>
      <c r="BC24" s="186">
        <v>126.036</v>
      </c>
      <c r="BD24" s="186">
        <v>124.399</v>
      </c>
      <c r="BE24" s="186">
        <v>115.80500000000001</v>
      </c>
      <c r="BF24" s="186">
        <v>84.938000000000002</v>
      </c>
      <c r="BG24" s="186">
        <v>47.112000000000002</v>
      </c>
      <c r="BH24" s="186">
        <v>19.791</v>
      </c>
    </row>
    <row r="25" spans="1:61" x14ac:dyDescent="0.35">
      <c r="A25" s="40"/>
      <c r="B25" s="76"/>
      <c r="C25" s="76"/>
      <c r="D25" s="76"/>
      <c r="E25" s="76"/>
      <c r="F25" s="76"/>
      <c r="G25" s="76"/>
      <c r="H25" s="76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AH25" s="113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</row>
    <row r="26" spans="1:61" x14ac:dyDescent="0.35">
      <c r="A26" s="40" t="str">
        <f>IF('Índice - Index'!$D$14="Português","Vencidas:","Overdues:")</f>
        <v>Vencidas:</v>
      </c>
      <c r="B26" s="76"/>
      <c r="C26" s="76"/>
      <c r="D26" s="76"/>
      <c r="E26" s="76"/>
      <c r="F26" s="76"/>
      <c r="G26" s="76"/>
      <c r="H26" s="76"/>
      <c r="I26" s="113">
        <f t="shared" ref="I26:AJ26" si="9">SUM(I27:I35)</f>
        <v>6.4720000000000004</v>
      </c>
      <c r="J26" s="113">
        <f t="shared" si="9"/>
        <v>8.6909999999999989</v>
      </c>
      <c r="K26" s="113">
        <f t="shared" si="9"/>
        <v>11.8</v>
      </c>
      <c r="L26" s="113">
        <f t="shared" si="9"/>
        <v>14.9</v>
      </c>
      <c r="M26" s="113">
        <f t="shared" si="9"/>
        <v>17.514000000000003</v>
      </c>
      <c r="N26" s="113">
        <f t="shared" si="9"/>
        <v>19.308999999999997</v>
      </c>
      <c r="O26" s="113">
        <f t="shared" si="9"/>
        <v>20.686999999999998</v>
      </c>
      <c r="P26" s="113">
        <f t="shared" si="9"/>
        <v>22.400000000000002</v>
      </c>
      <c r="Q26" s="113">
        <f t="shared" si="9"/>
        <v>25.396000000000001</v>
      </c>
      <c r="R26" s="113">
        <f t="shared" si="9"/>
        <v>29.299999999999997</v>
      </c>
      <c r="S26" s="113">
        <f t="shared" si="9"/>
        <v>34.433</v>
      </c>
      <c r="T26" s="113">
        <f t="shared" si="9"/>
        <v>39.6</v>
      </c>
      <c r="U26" s="113">
        <f t="shared" si="9"/>
        <v>45.9</v>
      </c>
      <c r="V26" s="113">
        <f t="shared" si="9"/>
        <v>51.619</v>
      </c>
      <c r="W26" s="113">
        <f t="shared" si="9"/>
        <v>55.614000000000004</v>
      </c>
      <c r="X26" s="113">
        <f t="shared" si="9"/>
        <v>58</v>
      </c>
      <c r="Y26" s="113">
        <f t="shared" si="9"/>
        <v>61.6</v>
      </c>
      <c r="Z26" s="113">
        <f t="shared" si="9"/>
        <v>66.366</v>
      </c>
      <c r="AA26" s="113">
        <f t="shared" si="9"/>
        <v>71.2</v>
      </c>
      <c r="AB26" s="113">
        <f t="shared" si="9"/>
        <v>76.099999999999994</v>
      </c>
      <c r="AC26" s="113">
        <f t="shared" si="9"/>
        <v>75.024000000000001</v>
      </c>
      <c r="AD26" s="113">
        <f t="shared" si="9"/>
        <v>65.2</v>
      </c>
      <c r="AE26" s="113">
        <f t="shared" si="9"/>
        <v>54.363999999999997</v>
      </c>
      <c r="AF26" s="113">
        <f t="shared" si="9"/>
        <v>44.199999999999996</v>
      </c>
      <c r="AG26" s="113">
        <f t="shared" si="9"/>
        <v>38.900000000000006</v>
      </c>
      <c r="AH26" s="113">
        <f t="shared" si="9"/>
        <v>38.000000000000007</v>
      </c>
      <c r="AI26" s="113">
        <f t="shared" si="9"/>
        <v>38.699999999999996</v>
      </c>
      <c r="AJ26" s="113">
        <f t="shared" si="9"/>
        <v>39.831999999999994</v>
      </c>
      <c r="AK26" s="113">
        <v>42.600000000000009</v>
      </c>
      <c r="AL26" s="113">
        <f t="shared" ref="AL26:BF26" si="10">SUM(AL27:AL35)</f>
        <v>45.461000000000006</v>
      </c>
      <c r="AM26" s="113">
        <f t="shared" si="10"/>
        <v>48.427999999999997</v>
      </c>
      <c r="AN26" s="113">
        <f t="shared" si="10"/>
        <v>48.497999999999998</v>
      </c>
      <c r="AO26" s="113">
        <f t="shared" si="10"/>
        <v>47.155000000000001</v>
      </c>
      <c r="AP26" s="113">
        <f t="shared" si="10"/>
        <v>44.768999999999998</v>
      </c>
      <c r="AQ26" s="113">
        <f t="shared" si="10"/>
        <v>44.403000000000006</v>
      </c>
      <c r="AR26" s="113">
        <f t="shared" si="10"/>
        <v>46.759</v>
      </c>
      <c r="AS26" s="113">
        <f t="shared" si="10"/>
        <v>49.23</v>
      </c>
      <c r="AT26" s="113">
        <f t="shared" si="10"/>
        <v>53.009</v>
      </c>
      <c r="AU26" s="113">
        <f t="shared" si="10"/>
        <v>58.614999999999995</v>
      </c>
      <c r="AV26" s="113">
        <f t="shared" si="10"/>
        <v>53.195</v>
      </c>
      <c r="AW26" s="113">
        <f t="shared" si="10"/>
        <v>41.84</v>
      </c>
      <c r="AX26" s="113">
        <f t="shared" si="10"/>
        <v>29.425000000000001</v>
      </c>
      <c r="AY26" s="113">
        <f t="shared" si="10"/>
        <v>25.297000000000001</v>
      </c>
      <c r="AZ26" s="113">
        <f t="shared" si="10"/>
        <v>32.951999999999998</v>
      </c>
      <c r="BA26" s="113">
        <f t="shared" si="10"/>
        <v>42.550999999999995</v>
      </c>
      <c r="BB26" s="113">
        <f t="shared" si="10"/>
        <v>51.675000000000004</v>
      </c>
      <c r="BC26" s="113">
        <f t="shared" si="10"/>
        <v>61.353000000000009</v>
      </c>
      <c r="BD26" s="113">
        <f t="shared" si="10"/>
        <v>67.751000000000005</v>
      </c>
      <c r="BE26" s="113">
        <f t="shared" ref="BE26" si="11">SUM(BE27:BE35)</f>
        <v>36.295999999999999</v>
      </c>
      <c r="BF26" s="113">
        <f t="shared" si="10"/>
        <v>55.453000000000003</v>
      </c>
      <c r="BG26" s="113">
        <f t="shared" ref="BG26:BH26" si="12">SUM(BG27:BG35)</f>
        <v>67.691000000000003</v>
      </c>
      <c r="BH26" s="113">
        <f t="shared" si="12"/>
        <v>20.327999999999999</v>
      </c>
      <c r="BI26" s="213"/>
    </row>
    <row r="27" spans="1:61" x14ac:dyDescent="0.35">
      <c r="A27" s="143" t="str">
        <f>IF('Índice - Index'!$D$14="Português","1 a 30 dias","1 - 30 days")</f>
        <v>1 a 30 dias</v>
      </c>
      <c r="B27" s="76"/>
      <c r="C27" s="76"/>
      <c r="D27" s="76"/>
      <c r="E27" s="76"/>
      <c r="F27" s="76"/>
      <c r="G27" s="76"/>
      <c r="H27" s="76"/>
      <c r="I27" s="142">
        <v>1.5009999999999999</v>
      </c>
      <c r="J27" s="142">
        <v>2.1179999999999999</v>
      </c>
      <c r="K27" s="142">
        <v>2.8</v>
      </c>
      <c r="L27" s="142">
        <v>3.1</v>
      </c>
      <c r="M27" s="142">
        <v>3.3330000000000002</v>
      </c>
      <c r="N27" s="142">
        <v>3.9020000000000001</v>
      </c>
      <c r="O27" s="142">
        <v>4.2210000000000001</v>
      </c>
      <c r="P27" s="142">
        <v>4.8</v>
      </c>
      <c r="Q27" s="142">
        <v>5.5330000000000004</v>
      </c>
      <c r="R27" s="142">
        <v>6.8</v>
      </c>
      <c r="S27" s="142">
        <v>7.8209999999999997</v>
      </c>
      <c r="T27" s="142">
        <v>8.5</v>
      </c>
      <c r="U27" s="142">
        <v>9.3000000000000007</v>
      </c>
      <c r="V27" s="142">
        <v>10.446</v>
      </c>
      <c r="W27" s="142">
        <v>10.882</v>
      </c>
      <c r="X27" s="25">
        <v>10.4</v>
      </c>
      <c r="Y27" s="25">
        <v>11.3</v>
      </c>
      <c r="Z27" s="113">
        <v>13.218999999999999</v>
      </c>
      <c r="AA27" s="25">
        <v>13</v>
      </c>
      <c r="AB27" s="25">
        <v>12.4</v>
      </c>
      <c r="AC27" s="113">
        <v>10.92</v>
      </c>
      <c r="AD27" s="113">
        <v>9.6</v>
      </c>
      <c r="AE27" s="113">
        <v>7.35</v>
      </c>
      <c r="AF27" s="25">
        <v>6.7</v>
      </c>
      <c r="AG27" s="25">
        <v>7</v>
      </c>
      <c r="AH27" s="113">
        <v>7.4</v>
      </c>
      <c r="AI27" s="25">
        <v>7.2</v>
      </c>
      <c r="AJ27" s="113">
        <v>7.383</v>
      </c>
      <c r="AK27" s="113">
        <v>8.6999999999999993</v>
      </c>
      <c r="AL27" s="113">
        <v>9.3610000000000007</v>
      </c>
      <c r="AM27" s="113">
        <v>8.923</v>
      </c>
      <c r="AN27" s="113">
        <v>8.2170000000000005</v>
      </c>
      <c r="AO27" s="113">
        <v>8.407</v>
      </c>
      <c r="AP27" s="113">
        <v>8.4860000000000007</v>
      </c>
      <c r="AQ27" s="113">
        <v>8.6989999999999998</v>
      </c>
      <c r="AR27" s="113">
        <v>8.7040000000000006</v>
      </c>
      <c r="AS27" s="113">
        <v>8.9670000000000005</v>
      </c>
      <c r="AT27" s="113">
        <v>11.57</v>
      </c>
      <c r="AU27" s="113">
        <v>10.55</v>
      </c>
      <c r="AV27" s="113">
        <v>6.1840000000000002</v>
      </c>
      <c r="AW27" s="113">
        <v>4.5069999999999997</v>
      </c>
      <c r="AX27" s="186">
        <v>6.6859999999999999</v>
      </c>
      <c r="AY27" s="186">
        <v>6.52</v>
      </c>
      <c r="AZ27" s="186">
        <v>6.8719999999999999</v>
      </c>
      <c r="BA27" s="186">
        <v>9.2720000000000002</v>
      </c>
      <c r="BB27" s="186">
        <v>11.597</v>
      </c>
      <c r="BC27" s="186">
        <v>10.827999999999999</v>
      </c>
      <c r="BD27" s="186">
        <v>10.411</v>
      </c>
      <c r="BE27" s="186">
        <v>10.273999999999999</v>
      </c>
      <c r="BF27" s="186">
        <v>10.613</v>
      </c>
      <c r="BG27" s="186">
        <v>7.6630000000000003</v>
      </c>
      <c r="BH27" s="186">
        <v>3.1150000000000002</v>
      </c>
      <c r="BI27" s="213"/>
    </row>
    <row r="28" spans="1:61" x14ac:dyDescent="0.35">
      <c r="A28" s="143" t="str">
        <f>IF('Índice - Index'!$D$14="Português","31 a 60 dias","31 - 60 days")</f>
        <v>31 a 60 dias</v>
      </c>
      <c r="B28" s="76"/>
      <c r="C28" s="76"/>
      <c r="D28" s="76"/>
      <c r="E28" s="76"/>
      <c r="F28" s="76"/>
      <c r="G28" s="76"/>
      <c r="H28" s="76"/>
      <c r="I28" s="142">
        <v>0.92</v>
      </c>
      <c r="J28" s="142">
        <v>1.3140000000000001</v>
      </c>
      <c r="K28" s="142">
        <v>1.8</v>
      </c>
      <c r="L28" s="142">
        <v>2</v>
      </c>
      <c r="M28" s="142">
        <v>2.1909999999999998</v>
      </c>
      <c r="N28" s="142">
        <v>2.42</v>
      </c>
      <c r="O28" s="142">
        <v>2.6389999999999998</v>
      </c>
      <c r="P28" s="142">
        <v>3</v>
      </c>
      <c r="Q28" s="142">
        <v>3.306</v>
      </c>
      <c r="R28" s="142">
        <v>4</v>
      </c>
      <c r="S28" s="142">
        <v>4.7850000000000001</v>
      </c>
      <c r="T28" s="142">
        <v>5.5</v>
      </c>
      <c r="U28" s="142">
        <v>6.1</v>
      </c>
      <c r="V28" s="142">
        <v>6.9240000000000004</v>
      </c>
      <c r="W28" s="142">
        <v>7.4450000000000003</v>
      </c>
      <c r="X28" s="25">
        <v>7.5</v>
      </c>
      <c r="Y28" s="25">
        <v>7.5</v>
      </c>
      <c r="Z28" s="113">
        <v>9.1780000000000008</v>
      </c>
      <c r="AA28" s="25">
        <v>9.8000000000000007</v>
      </c>
      <c r="AB28" s="25">
        <v>9.5</v>
      </c>
      <c r="AC28" s="113">
        <v>8.2479999999999993</v>
      </c>
      <c r="AD28" s="113">
        <v>7.1</v>
      </c>
      <c r="AE28" s="113">
        <v>5.7130000000000001</v>
      </c>
      <c r="AF28" s="25">
        <v>4.5999999999999996</v>
      </c>
      <c r="AG28" s="25">
        <v>4.5</v>
      </c>
      <c r="AH28" s="113">
        <v>5</v>
      </c>
      <c r="AI28" s="25">
        <v>5</v>
      </c>
      <c r="AJ28" s="113">
        <v>4.9649999999999999</v>
      </c>
      <c r="AK28" s="113">
        <v>5.4</v>
      </c>
      <c r="AL28" s="113">
        <v>6.3040000000000003</v>
      </c>
      <c r="AM28" s="113">
        <v>6.6120000000000001</v>
      </c>
      <c r="AN28" s="113">
        <v>6.1449999999999996</v>
      </c>
      <c r="AO28" s="113">
        <v>5.5529999999999999</v>
      </c>
      <c r="AP28" s="113">
        <v>5.7240000000000002</v>
      </c>
      <c r="AQ28" s="113">
        <v>5.8840000000000003</v>
      </c>
      <c r="AR28" s="113">
        <v>6.2850000000000001</v>
      </c>
      <c r="AS28" s="113">
        <v>6.0709999999999997</v>
      </c>
      <c r="AT28" s="113">
        <v>6.6050000000000004</v>
      </c>
      <c r="AU28" s="113">
        <v>9.5969999999999995</v>
      </c>
      <c r="AV28" s="113">
        <v>6.2130000000000001</v>
      </c>
      <c r="AW28" s="113">
        <v>3.2120000000000002</v>
      </c>
      <c r="AX28" s="186">
        <v>3.5089999999999999</v>
      </c>
      <c r="AY28" s="186">
        <v>4.3520000000000003</v>
      </c>
      <c r="AZ28" s="186">
        <v>4.7350000000000003</v>
      </c>
      <c r="BA28" s="186">
        <v>5.8860000000000001</v>
      </c>
      <c r="BB28" s="186">
        <v>8.6110000000000007</v>
      </c>
      <c r="BC28" s="186">
        <v>8.6920000000000002</v>
      </c>
      <c r="BD28" s="186">
        <v>8.3109999999999999</v>
      </c>
      <c r="BE28" s="186">
        <v>7.3979999999999997</v>
      </c>
      <c r="BF28" s="186">
        <v>9.0969999999999995</v>
      </c>
      <c r="BG28" s="186">
        <v>7.6740000000000004</v>
      </c>
      <c r="BH28" s="186">
        <v>3.056</v>
      </c>
      <c r="BI28" s="213"/>
    </row>
    <row r="29" spans="1:61" x14ac:dyDescent="0.35">
      <c r="A29" s="143" t="str">
        <f>IF('Índice - Index'!$D$14="Português","61 a 90 dias","61 - 90 days")</f>
        <v>61 a 90 dias</v>
      </c>
      <c r="B29" s="76"/>
      <c r="C29" s="76"/>
      <c r="D29" s="76"/>
      <c r="E29" s="76"/>
      <c r="F29" s="76"/>
      <c r="G29" s="76"/>
      <c r="H29" s="76"/>
      <c r="I29" s="142">
        <v>0.77600000000000002</v>
      </c>
      <c r="J29" s="142">
        <v>1.0009999999999999</v>
      </c>
      <c r="K29" s="142">
        <v>1.5</v>
      </c>
      <c r="L29" s="142">
        <v>1.8</v>
      </c>
      <c r="M29" s="142">
        <v>1.992</v>
      </c>
      <c r="N29" s="142">
        <v>2.1419999999999999</v>
      </c>
      <c r="O29" s="142">
        <v>2.343</v>
      </c>
      <c r="P29" s="142">
        <v>2.5</v>
      </c>
      <c r="Q29" s="142">
        <v>2.8769999999999998</v>
      </c>
      <c r="R29" s="142">
        <v>3.2</v>
      </c>
      <c r="S29" s="142">
        <v>4.0330000000000004</v>
      </c>
      <c r="T29" s="142">
        <v>4.7</v>
      </c>
      <c r="U29" s="142">
        <v>5.3</v>
      </c>
      <c r="V29" s="142">
        <v>5.66</v>
      </c>
      <c r="W29" s="142">
        <v>6.577</v>
      </c>
      <c r="X29" s="25">
        <v>6.8</v>
      </c>
      <c r="Y29" s="25">
        <v>6.7</v>
      </c>
      <c r="Z29" s="113">
        <v>7.2409999999999997</v>
      </c>
      <c r="AA29" s="25">
        <v>8.9</v>
      </c>
      <c r="AB29" s="25">
        <v>8.8000000000000007</v>
      </c>
      <c r="AC29" s="113">
        <v>7.91</v>
      </c>
      <c r="AD29" s="113">
        <v>6.8</v>
      </c>
      <c r="AE29" s="113">
        <v>5.665</v>
      </c>
      <c r="AF29" s="25">
        <v>4.3</v>
      </c>
      <c r="AG29" s="25">
        <v>4</v>
      </c>
      <c r="AH29" s="113">
        <v>4.0999999999999996</v>
      </c>
      <c r="AI29" s="25">
        <v>4.5</v>
      </c>
      <c r="AJ29" s="113">
        <v>4.4409999999999998</v>
      </c>
      <c r="AK29" s="113">
        <v>4.7</v>
      </c>
      <c r="AL29" s="113">
        <v>5.16</v>
      </c>
      <c r="AM29" s="113">
        <v>5.9130000000000003</v>
      </c>
      <c r="AN29" s="113">
        <v>5.6959999999999997</v>
      </c>
      <c r="AO29" s="113">
        <v>5.0999999999999996</v>
      </c>
      <c r="AP29" s="113">
        <v>4.7110000000000003</v>
      </c>
      <c r="AQ29" s="113">
        <v>5.226</v>
      </c>
      <c r="AR29" s="113">
        <v>5.6479999999999997</v>
      </c>
      <c r="AS29" s="113">
        <v>5.5659999999999998</v>
      </c>
      <c r="AT29" s="113">
        <v>5.81</v>
      </c>
      <c r="AU29" s="113">
        <v>9.093</v>
      </c>
      <c r="AV29" s="113">
        <v>6.6950000000000003</v>
      </c>
      <c r="AW29" s="113">
        <v>3.47</v>
      </c>
      <c r="AX29" s="186">
        <v>2.448</v>
      </c>
      <c r="AY29" s="186">
        <v>3.601</v>
      </c>
      <c r="AZ29" s="186">
        <v>4.13</v>
      </c>
      <c r="BA29" s="186">
        <v>4.758</v>
      </c>
      <c r="BB29" s="186">
        <v>6.6189999999999998</v>
      </c>
      <c r="BC29" s="186">
        <v>8.1120000000000001</v>
      </c>
      <c r="BD29" s="186">
        <v>7.5339999999999998</v>
      </c>
      <c r="BE29" s="186">
        <v>5.7770000000000001</v>
      </c>
      <c r="BF29" s="186">
        <v>7.7389999999999999</v>
      </c>
      <c r="BG29" s="186">
        <v>8.0310000000000006</v>
      </c>
      <c r="BH29" s="186">
        <v>3.0819999999999999</v>
      </c>
      <c r="BI29" s="213"/>
    </row>
    <row r="30" spans="1:61" x14ac:dyDescent="0.35">
      <c r="A30" s="143" t="str">
        <f>IF('Índice - Index'!$D$14="Português","91 a 120 dias","91 - 120 days")</f>
        <v>91 a 120 dias</v>
      </c>
      <c r="B30" s="76"/>
      <c r="C30" s="76"/>
      <c r="D30" s="76"/>
      <c r="E30" s="76"/>
      <c r="F30" s="76"/>
      <c r="G30" s="76"/>
      <c r="H30" s="76"/>
      <c r="I30" s="142">
        <v>0.67500000000000004</v>
      </c>
      <c r="J30" s="142">
        <v>0.89500000000000002</v>
      </c>
      <c r="K30" s="142">
        <v>1.3</v>
      </c>
      <c r="L30" s="142">
        <v>1.6</v>
      </c>
      <c r="M30" s="142">
        <v>1.893</v>
      </c>
      <c r="N30" s="142">
        <v>1.9239999999999999</v>
      </c>
      <c r="O30" s="142">
        <v>2.0979999999999999</v>
      </c>
      <c r="P30" s="142">
        <v>2.2999999999999998</v>
      </c>
      <c r="Q30" s="142">
        <v>2.6360000000000001</v>
      </c>
      <c r="R30" s="142">
        <v>3</v>
      </c>
      <c r="S30" s="142">
        <v>3.43</v>
      </c>
      <c r="T30" s="142">
        <v>4.3</v>
      </c>
      <c r="U30" s="142">
        <v>4.9000000000000004</v>
      </c>
      <c r="V30" s="142">
        <v>5.37</v>
      </c>
      <c r="W30" s="142">
        <v>5.8040000000000003</v>
      </c>
      <c r="X30" s="25">
        <v>6.4</v>
      </c>
      <c r="Y30" s="25">
        <v>6.4</v>
      </c>
      <c r="Z30" s="113">
        <v>6.7069999999999999</v>
      </c>
      <c r="AA30" s="25">
        <v>7.9</v>
      </c>
      <c r="AB30" s="25">
        <v>8.6</v>
      </c>
      <c r="AC30" s="113">
        <v>7.9059999999999997</v>
      </c>
      <c r="AD30" s="113">
        <v>6.5</v>
      </c>
      <c r="AE30" s="113">
        <v>5.4939999999999998</v>
      </c>
      <c r="AF30" s="25">
        <v>4.4000000000000004</v>
      </c>
      <c r="AG30" s="25">
        <v>3.8</v>
      </c>
      <c r="AH30" s="113">
        <v>3.9</v>
      </c>
      <c r="AI30" s="25">
        <v>4.0999999999999996</v>
      </c>
      <c r="AJ30" s="113">
        <v>4.2359999999999998</v>
      </c>
      <c r="AK30" s="113">
        <v>4.4000000000000004</v>
      </c>
      <c r="AL30" s="113">
        <v>4.7779999999999996</v>
      </c>
      <c r="AM30" s="113">
        <v>5.2</v>
      </c>
      <c r="AN30" s="113">
        <v>5.5469999999999997</v>
      </c>
      <c r="AO30" s="113">
        <v>4.976</v>
      </c>
      <c r="AP30" s="113">
        <v>4.5519999999999996</v>
      </c>
      <c r="AQ30" s="113">
        <v>4.601</v>
      </c>
      <c r="AR30" s="113">
        <v>5.29</v>
      </c>
      <c r="AS30" s="113">
        <v>5.3810000000000002</v>
      </c>
      <c r="AT30" s="113">
        <v>5.1769999999999996</v>
      </c>
      <c r="AU30" s="113">
        <v>6.8120000000000003</v>
      </c>
      <c r="AV30" s="113">
        <v>7.085</v>
      </c>
      <c r="AW30" s="113">
        <v>4.1059999999999999</v>
      </c>
      <c r="AX30" s="186">
        <v>2.153</v>
      </c>
      <c r="AY30" s="186">
        <v>2.9039999999999999</v>
      </c>
      <c r="AZ30" s="186">
        <v>3.7959999999999998</v>
      </c>
      <c r="BA30" s="186">
        <v>4.0979999999999999</v>
      </c>
      <c r="BB30" s="186">
        <v>5.5540000000000003</v>
      </c>
      <c r="BC30" s="186">
        <v>7.3129999999999997</v>
      </c>
      <c r="BD30" s="186">
        <v>7.2679999999999998</v>
      </c>
      <c r="BE30" s="186">
        <v>4.6150000000000002</v>
      </c>
      <c r="BF30" s="186">
        <v>7.0960000000000001</v>
      </c>
      <c r="BG30" s="186">
        <v>7.99</v>
      </c>
      <c r="BH30" s="186">
        <v>3.0219999999999998</v>
      </c>
      <c r="BI30" s="213"/>
    </row>
    <row r="31" spans="1:61" x14ac:dyDescent="0.35">
      <c r="A31" s="143" t="str">
        <f>IF('Índice - Index'!$D$14="Português","121 a 150 dias","121 - 150 days")</f>
        <v>121 a 150 dias</v>
      </c>
      <c r="B31" s="76"/>
      <c r="C31" s="76"/>
      <c r="D31" s="76"/>
      <c r="E31" s="76"/>
      <c r="F31" s="76"/>
      <c r="G31" s="76"/>
      <c r="H31" s="76"/>
      <c r="I31" s="142">
        <v>0.58299999999999996</v>
      </c>
      <c r="J31" s="142">
        <v>0.78100000000000003</v>
      </c>
      <c r="K31" s="142">
        <v>1.1000000000000001</v>
      </c>
      <c r="L31" s="142">
        <v>1.4</v>
      </c>
      <c r="M31" s="142">
        <v>1.6930000000000001</v>
      </c>
      <c r="N31" s="142">
        <v>1.863</v>
      </c>
      <c r="O31" s="142">
        <v>2.0110000000000001</v>
      </c>
      <c r="P31" s="142">
        <v>2.1</v>
      </c>
      <c r="Q31" s="142">
        <v>2.323</v>
      </c>
      <c r="R31" s="142">
        <v>2.7</v>
      </c>
      <c r="S31" s="142">
        <v>3.173</v>
      </c>
      <c r="T31" s="142">
        <v>3.8</v>
      </c>
      <c r="U31" s="142">
        <v>4.4000000000000004</v>
      </c>
      <c r="V31" s="142">
        <v>4.9610000000000003</v>
      </c>
      <c r="W31" s="142">
        <v>5.423</v>
      </c>
      <c r="X31" s="25">
        <v>5.8</v>
      </c>
      <c r="Y31" s="25">
        <v>5.9</v>
      </c>
      <c r="Z31" s="113">
        <v>6.1139999999999999</v>
      </c>
      <c r="AA31" s="25">
        <v>7.3</v>
      </c>
      <c r="AB31" s="25">
        <v>7.8</v>
      </c>
      <c r="AC31" s="113">
        <v>7.5170000000000003</v>
      </c>
      <c r="AD31" s="113">
        <v>6.6</v>
      </c>
      <c r="AE31" s="113">
        <v>5.6710000000000003</v>
      </c>
      <c r="AF31" s="25">
        <v>4.3</v>
      </c>
      <c r="AG31" s="25">
        <v>3.5</v>
      </c>
      <c r="AH31" s="113">
        <v>3.6</v>
      </c>
      <c r="AI31" s="25">
        <v>3.9</v>
      </c>
      <c r="AJ31" s="113">
        <v>3.839</v>
      </c>
      <c r="AK31" s="113">
        <v>3.9</v>
      </c>
      <c r="AL31" s="113">
        <v>4.327</v>
      </c>
      <c r="AM31" s="113">
        <v>4.9180000000000001</v>
      </c>
      <c r="AN31" s="113">
        <v>5.0049999999999999</v>
      </c>
      <c r="AO31" s="113">
        <v>4.6559999999999997</v>
      </c>
      <c r="AP31" s="113">
        <v>4.2969999999999997</v>
      </c>
      <c r="AQ31" s="113">
        <v>4.3540000000000001</v>
      </c>
      <c r="AR31" s="113">
        <v>4.6109999999999998</v>
      </c>
      <c r="AS31" s="113">
        <v>4.9589999999999996</v>
      </c>
      <c r="AT31" s="113">
        <v>4.9649999999999999</v>
      </c>
      <c r="AU31" s="113">
        <v>5.25</v>
      </c>
      <c r="AV31" s="113">
        <v>6.6710000000000003</v>
      </c>
      <c r="AW31" s="113">
        <v>4.5140000000000002</v>
      </c>
      <c r="AX31" s="186">
        <v>2.0009999999999999</v>
      </c>
      <c r="AY31" s="186">
        <v>2.2309999999999999</v>
      </c>
      <c r="AZ31" s="186">
        <v>3.286</v>
      </c>
      <c r="BA31" s="186">
        <v>3.6280000000000001</v>
      </c>
      <c r="BB31" s="186">
        <v>4.72</v>
      </c>
      <c r="BC31" s="186">
        <v>6.9569999999999999</v>
      </c>
      <c r="BD31" s="186">
        <v>6.7839999999999998</v>
      </c>
      <c r="BE31" s="186">
        <v>3.2360000000000002</v>
      </c>
      <c r="BF31" s="186">
        <v>6.1989999999999998</v>
      </c>
      <c r="BG31" s="186">
        <v>7.8609999999999998</v>
      </c>
      <c r="BH31" s="186">
        <v>2.5790000000000002</v>
      </c>
      <c r="BI31" s="213"/>
    </row>
    <row r="32" spans="1:61" x14ac:dyDescent="0.35">
      <c r="A32" s="143" t="str">
        <f>IF('Índice - Index'!$D$14="Português","151 a 180 dias","151 - 180 days")</f>
        <v>151 a 180 dias</v>
      </c>
      <c r="B32" s="76"/>
      <c r="C32" s="76"/>
      <c r="D32" s="76"/>
      <c r="E32" s="76"/>
      <c r="F32" s="76"/>
      <c r="G32" s="76"/>
      <c r="H32" s="76"/>
      <c r="I32" s="142">
        <v>0.51900000000000002</v>
      </c>
      <c r="J32" s="142">
        <v>0.67400000000000004</v>
      </c>
      <c r="K32" s="142">
        <v>0.9</v>
      </c>
      <c r="L32" s="142">
        <v>1.3</v>
      </c>
      <c r="M32" s="142">
        <v>1.548</v>
      </c>
      <c r="N32" s="142">
        <v>1.6990000000000001</v>
      </c>
      <c r="O32" s="142">
        <v>1.744</v>
      </c>
      <c r="P32" s="142">
        <v>1.9</v>
      </c>
      <c r="Q32" s="142">
        <v>2.0659999999999998</v>
      </c>
      <c r="R32" s="142">
        <v>2.4</v>
      </c>
      <c r="S32" s="142">
        <v>2.7589999999999999</v>
      </c>
      <c r="T32" s="142">
        <v>3.3</v>
      </c>
      <c r="U32" s="142">
        <v>4</v>
      </c>
      <c r="V32" s="142">
        <v>4.4390000000000001</v>
      </c>
      <c r="W32" s="142">
        <v>4.8179999999999996</v>
      </c>
      <c r="X32" s="25">
        <v>5.3</v>
      </c>
      <c r="Y32" s="25">
        <v>5.6</v>
      </c>
      <c r="Z32" s="113">
        <v>5.532</v>
      </c>
      <c r="AA32" s="25">
        <v>6.2</v>
      </c>
      <c r="AB32" s="25">
        <v>7.4</v>
      </c>
      <c r="AC32" s="113">
        <v>7.2439999999999998</v>
      </c>
      <c r="AD32" s="113">
        <v>6.3</v>
      </c>
      <c r="AE32" s="113">
        <v>5.306</v>
      </c>
      <c r="AF32" s="25">
        <v>4.3</v>
      </c>
      <c r="AG32" s="25">
        <v>3.3</v>
      </c>
      <c r="AH32" s="113">
        <v>3.2</v>
      </c>
      <c r="AI32" s="25">
        <v>3.4</v>
      </c>
      <c r="AJ32" s="113">
        <v>3.6440000000000001</v>
      </c>
      <c r="AK32" s="113">
        <v>3.6</v>
      </c>
      <c r="AL32" s="113">
        <v>3.7850000000000001</v>
      </c>
      <c r="AM32" s="113">
        <v>4.3010000000000002</v>
      </c>
      <c r="AN32" s="113">
        <v>4.593</v>
      </c>
      <c r="AO32" s="113">
        <v>4.4029999999999996</v>
      </c>
      <c r="AP32" s="113">
        <v>3.94</v>
      </c>
      <c r="AQ32" s="113">
        <v>3.7989999999999999</v>
      </c>
      <c r="AR32" s="113">
        <v>4.1909999999999998</v>
      </c>
      <c r="AS32" s="113">
        <v>4.5220000000000002</v>
      </c>
      <c r="AT32" s="113">
        <v>4.4560000000000004</v>
      </c>
      <c r="AU32" s="113">
        <v>4.3289999999999997</v>
      </c>
      <c r="AV32" s="113">
        <v>6.1539999999999999</v>
      </c>
      <c r="AW32" s="113">
        <v>4.7409999999999997</v>
      </c>
      <c r="AX32" s="186">
        <v>2.0750000000000002</v>
      </c>
      <c r="AY32" s="186">
        <v>1.6519999999999999</v>
      </c>
      <c r="AZ32" s="186">
        <v>3.016</v>
      </c>
      <c r="BA32" s="186">
        <v>3.4449999999999998</v>
      </c>
      <c r="BB32" s="186">
        <v>3.9169999999999998</v>
      </c>
      <c r="BC32" s="186">
        <v>1.3859999999999999</v>
      </c>
      <c r="BD32" s="186">
        <v>6.6879999999999997</v>
      </c>
      <c r="BE32" s="186">
        <v>2.117</v>
      </c>
      <c r="BF32" s="186">
        <v>4.96</v>
      </c>
      <c r="BG32" s="186">
        <v>7.1429999999999998</v>
      </c>
      <c r="BH32" s="186">
        <v>0.40200000000000002</v>
      </c>
      <c r="BI32" s="213"/>
    </row>
    <row r="33" spans="1:61" x14ac:dyDescent="0.35">
      <c r="A33" s="143" t="str">
        <f>IF('Índice - Index'!$D$14="Português","181 a 240 dias","181 - 240 days")</f>
        <v>181 a 240 dias</v>
      </c>
      <c r="B33" s="76"/>
      <c r="C33" s="76"/>
      <c r="D33" s="76"/>
      <c r="E33" s="76"/>
      <c r="F33" s="76"/>
      <c r="G33" s="76"/>
      <c r="H33" s="76"/>
      <c r="I33" s="142">
        <v>0.83</v>
      </c>
      <c r="J33" s="142">
        <v>1.026</v>
      </c>
      <c r="K33" s="142">
        <v>1.4</v>
      </c>
      <c r="L33" s="142">
        <v>2</v>
      </c>
      <c r="M33" s="142">
        <v>2.5830000000000002</v>
      </c>
      <c r="N33" s="142">
        <v>2.82</v>
      </c>
      <c r="O33" s="142">
        <v>2.9279999999999999</v>
      </c>
      <c r="P33" s="142">
        <v>3.1</v>
      </c>
      <c r="Q33" s="142">
        <v>3.4409999999999998</v>
      </c>
      <c r="R33" s="142">
        <v>3.9</v>
      </c>
      <c r="S33" s="142">
        <v>4.4660000000000002</v>
      </c>
      <c r="T33" s="142">
        <v>5.2</v>
      </c>
      <c r="U33" s="142">
        <v>6.4</v>
      </c>
      <c r="V33" s="142">
        <v>7.3029999999999999</v>
      </c>
      <c r="W33" s="142">
        <v>7.7489999999999997</v>
      </c>
      <c r="X33" s="25">
        <v>8.6</v>
      </c>
      <c r="Y33" s="25">
        <v>9.5</v>
      </c>
      <c r="Z33" s="113">
        <v>9.343</v>
      </c>
      <c r="AA33" s="25">
        <v>9.6</v>
      </c>
      <c r="AB33" s="25">
        <v>12</v>
      </c>
      <c r="AC33" s="113">
        <v>12.805999999999999</v>
      </c>
      <c r="AD33" s="113">
        <v>11.2</v>
      </c>
      <c r="AE33" s="113">
        <v>9.4670000000000005</v>
      </c>
      <c r="AF33" s="25">
        <v>7.8</v>
      </c>
      <c r="AG33" s="25">
        <v>6.2</v>
      </c>
      <c r="AH33" s="113">
        <v>5.4</v>
      </c>
      <c r="AI33" s="25">
        <v>5.6</v>
      </c>
      <c r="AJ33" s="113">
        <v>6.0419999999999998</v>
      </c>
      <c r="AK33" s="113">
        <v>6.2</v>
      </c>
      <c r="AL33" s="113">
        <v>6.15</v>
      </c>
      <c r="AM33" s="113">
        <v>6.7169999999999996</v>
      </c>
      <c r="AN33" s="113">
        <v>7.2679999999999998</v>
      </c>
      <c r="AO33" s="113">
        <v>7.4589999999999996</v>
      </c>
      <c r="AP33" s="113">
        <v>6.6790000000000003</v>
      </c>
      <c r="AQ33" s="113">
        <v>6.1589999999999998</v>
      </c>
      <c r="AR33" s="113">
        <v>6.5419999999999998</v>
      </c>
      <c r="AS33" s="113">
        <v>7.3819999999999997</v>
      </c>
      <c r="AT33" s="113">
        <v>7.508</v>
      </c>
      <c r="AU33" s="113">
        <v>6.8630000000000004</v>
      </c>
      <c r="AV33" s="113">
        <v>8.1080000000000005</v>
      </c>
      <c r="AW33" s="113">
        <v>8.9749999999999996</v>
      </c>
      <c r="AX33" s="186">
        <v>4.3479999999999999</v>
      </c>
      <c r="AY33" s="186">
        <v>2.23</v>
      </c>
      <c r="AZ33" s="186">
        <v>4.3890000000000002</v>
      </c>
      <c r="BA33" s="186">
        <v>5.8769999999999998</v>
      </c>
      <c r="BB33" s="186">
        <v>5.6269999999999998</v>
      </c>
      <c r="BC33" s="186">
        <v>5.7549999999999999</v>
      </c>
      <c r="BD33" s="186">
        <v>17.949000000000002</v>
      </c>
      <c r="BE33" s="186">
        <v>1.8220000000000001</v>
      </c>
      <c r="BF33" s="186">
        <v>9.2680000000000007</v>
      </c>
      <c r="BG33" s="186">
        <v>11.513</v>
      </c>
      <c r="BH33" s="186">
        <v>2.4969999999999999</v>
      </c>
      <c r="BI33" s="213"/>
    </row>
    <row r="34" spans="1:61" x14ac:dyDescent="0.35">
      <c r="A34" s="143" t="str">
        <f>IF('Índice - Index'!$D$14="Português","241 a 300 dias","241 - 300 days")</f>
        <v>241 a 300 dias</v>
      </c>
      <c r="B34" s="76"/>
      <c r="C34" s="76"/>
      <c r="D34" s="76"/>
      <c r="E34" s="76"/>
      <c r="F34" s="76"/>
      <c r="G34" s="76"/>
      <c r="H34" s="76"/>
      <c r="I34" s="142">
        <v>0.49199999999999999</v>
      </c>
      <c r="J34" s="142">
        <v>0.628</v>
      </c>
      <c r="K34" s="142">
        <v>0.8</v>
      </c>
      <c r="L34" s="142">
        <v>1.2</v>
      </c>
      <c r="M34" s="142">
        <v>1.6379999999999999</v>
      </c>
      <c r="N34" s="142">
        <v>1.784</v>
      </c>
      <c r="O34" s="142">
        <v>1.9470000000000001</v>
      </c>
      <c r="P34" s="142">
        <v>1.9</v>
      </c>
      <c r="Q34" s="142">
        <v>2.2690000000000001</v>
      </c>
      <c r="R34" s="142">
        <v>2.2999999999999998</v>
      </c>
      <c r="S34" s="142">
        <v>2.8410000000000002</v>
      </c>
      <c r="T34" s="142">
        <v>3</v>
      </c>
      <c r="U34" s="142">
        <v>3.9</v>
      </c>
      <c r="V34" s="142">
        <v>4.6289999999999996</v>
      </c>
      <c r="W34" s="142">
        <v>4.92</v>
      </c>
      <c r="X34" s="25">
        <v>5.0999999999999996</v>
      </c>
      <c r="Y34" s="25">
        <v>6.1</v>
      </c>
      <c r="Z34" s="113">
        <v>6.3090000000000002</v>
      </c>
      <c r="AA34" s="25">
        <v>6</v>
      </c>
      <c r="AB34" s="25">
        <v>6.8</v>
      </c>
      <c r="AC34" s="113">
        <v>8.6820000000000004</v>
      </c>
      <c r="AD34" s="113">
        <v>7.7</v>
      </c>
      <c r="AE34" s="113">
        <v>6.7670000000000003</v>
      </c>
      <c r="AF34" s="25">
        <v>5.3</v>
      </c>
      <c r="AG34" s="25">
        <v>4.5</v>
      </c>
      <c r="AH34" s="113">
        <v>3.7</v>
      </c>
      <c r="AI34" s="25">
        <v>3.6</v>
      </c>
      <c r="AJ34" s="113">
        <v>3.6629999999999998</v>
      </c>
      <c r="AK34" s="113">
        <v>4</v>
      </c>
      <c r="AL34" s="113">
        <v>3.923</v>
      </c>
      <c r="AM34" s="113">
        <v>4.1980000000000004</v>
      </c>
      <c r="AN34" s="113">
        <v>4.2329999999999997</v>
      </c>
      <c r="AO34" s="113">
        <v>4.5919999999999996</v>
      </c>
      <c r="AP34" s="113">
        <v>4.4189999999999996</v>
      </c>
      <c r="AQ34" s="113">
        <v>4.0049999999999999</v>
      </c>
      <c r="AR34" s="113">
        <v>3.819</v>
      </c>
      <c r="AS34" s="113">
        <v>4.5030000000000001</v>
      </c>
      <c r="AT34" s="113">
        <v>4.8789999999999996</v>
      </c>
      <c r="AU34" s="113">
        <v>4.3179999999999996</v>
      </c>
      <c r="AV34" s="113">
        <v>4.3120000000000003</v>
      </c>
      <c r="AW34" s="113">
        <v>6.2889999999999997</v>
      </c>
      <c r="AX34" s="186">
        <v>3.7970000000000002</v>
      </c>
      <c r="AY34" s="186">
        <v>1.286</v>
      </c>
      <c r="AZ34" s="186">
        <v>2.0230000000000001</v>
      </c>
      <c r="BA34" s="186">
        <v>3.976</v>
      </c>
      <c r="BB34" s="186">
        <v>3.5</v>
      </c>
      <c r="BC34" s="186">
        <v>12.31</v>
      </c>
      <c r="BD34" s="186">
        <v>2.806</v>
      </c>
      <c r="BE34" s="186">
        <v>0.76300000000000001</v>
      </c>
      <c r="BF34" s="186">
        <v>0.48099999999999998</v>
      </c>
      <c r="BG34" s="186">
        <v>7.0250000000000004</v>
      </c>
      <c r="BH34" s="186">
        <v>2.3889999999999998</v>
      </c>
      <c r="BI34" s="213"/>
    </row>
    <row r="35" spans="1:61" x14ac:dyDescent="0.35">
      <c r="A35" s="143" t="str">
        <f>IF('Índice - Index'!$D$14="Português","301 a 360 dias","301 - 360 days")</f>
        <v>301 a 360 dias</v>
      </c>
      <c r="B35" s="76"/>
      <c r="C35" s="76"/>
      <c r="D35" s="76"/>
      <c r="E35" s="76"/>
      <c r="F35" s="76"/>
      <c r="G35" s="76"/>
      <c r="H35" s="76"/>
      <c r="I35" s="142">
        <v>0.17599999999999999</v>
      </c>
      <c r="J35" s="142">
        <v>0.254</v>
      </c>
      <c r="K35" s="142">
        <v>0.2</v>
      </c>
      <c r="L35" s="142">
        <v>0.5</v>
      </c>
      <c r="M35" s="142">
        <v>0.64300000000000002</v>
      </c>
      <c r="N35" s="142">
        <v>0.755</v>
      </c>
      <c r="O35" s="142">
        <v>0.75600000000000001</v>
      </c>
      <c r="P35" s="142">
        <v>0.8</v>
      </c>
      <c r="Q35" s="142">
        <v>0.94499999999999995</v>
      </c>
      <c r="R35" s="142">
        <v>1</v>
      </c>
      <c r="S35" s="142">
        <v>1.125</v>
      </c>
      <c r="T35" s="142">
        <v>1.3</v>
      </c>
      <c r="U35" s="142">
        <v>1.6</v>
      </c>
      <c r="V35" s="142">
        <v>1.887</v>
      </c>
      <c r="W35" s="142">
        <v>1.996</v>
      </c>
      <c r="X35" s="25">
        <v>2.1</v>
      </c>
      <c r="Y35" s="25">
        <v>2.6</v>
      </c>
      <c r="Z35" s="113">
        <v>2.7229999999999999</v>
      </c>
      <c r="AA35" s="25">
        <v>2.5</v>
      </c>
      <c r="AB35" s="25">
        <v>2.8</v>
      </c>
      <c r="AC35" s="113">
        <v>3.7909999999999999</v>
      </c>
      <c r="AD35" s="113">
        <v>3.4</v>
      </c>
      <c r="AE35" s="113">
        <v>2.931</v>
      </c>
      <c r="AF35" s="25">
        <v>2.5</v>
      </c>
      <c r="AG35" s="25">
        <v>2.1</v>
      </c>
      <c r="AH35" s="113">
        <v>1.7</v>
      </c>
      <c r="AI35" s="25">
        <v>1.4</v>
      </c>
      <c r="AJ35" s="113">
        <v>1.619</v>
      </c>
      <c r="AK35" s="113">
        <v>1.7</v>
      </c>
      <c r="AL35" s="113">
        <v>1.673</v>
      </c>
      <c r="AM35" s="113">
        <v>1.6459999999999999</v>
      </c>
      <c r="AN35" s="113">
        <v>1.794</v>
      </c>
      <c r="AO35" s="113">
        <v>2.0089999999999999</v>
      </c>
      <c r="AP35" s="113">
        <v>1.9610000000000001</v>
      </c>
      <c r="AQ35" s="113">
        <v>1.6759999999999999</v>
      </c>
      <c r="AR35" s="113">
        <v>1.669</v>
      </c>
      <c r="AS35" s="113">
        <v>1.879</v>
      </c>
      <c r="AT35" s="113">
        <v>2.0390000000000001</v>
      </c>
      <c r="AU35" s="113">
        <v>1.8029999999999999</v>
      </c>
      <c r="AV35" s="113">
        <v>1.7729999999999999</v>
      </c>
      <c r="AW35" s="113">
        <v>2.0259999999999998</v>
      </c>
      <c r="AX35" s="186">
        <v>2.4079999999999999</v>
      </c>
      <c r="AY35" s="186">
        <v>0.52100000000000002</v>
      </c>
      <c r="AZ35" s="186">
        <v>0.70499999999999996</v>
      </c>
      <c r="BA35" s="186">
        <v>1.611</v>
      </c>
      <c r="BB35" s="186">
        <v>1.53</v>
      </c>
      <c r="BC35" s="186">
        <v>0</v>
      </c>
      <c r="BD35" s="186">
        <v>0</v>
      </c>
      <c r="BE35" s="186">
        <v>0.29399999999999998</v>
      </c>
      <c r="BF35" s="186">
        <v>0</v>
      </c>
      <c r="BG35" s="186">
        <v>2.7909999999999999</v>
      </c>
      <c r="BH35" s="186">
        <v>0.186</v>
      </c>
    </row>
    <row r="36" spans="1:61" ht="6.75" customHeight="1" x14ac:dyDescent="0.35">
      <c r="A36" s="143"/>
      <c r="B36" s="76"/>
      <c r="C36" s="76"/>
      <c r="D36" s="76"/>
      <c r="E36" s="76"/>
      <c r="F36" s="76"/>
      <c r="G36" s="76"/>
      <c r="H36" s="76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Z36" s="113"/>
      <c r="AC36" s="113"/>
      <c r="AD36" s="113"/>
      <c r="AE36" s="113"/>
      <c r="AH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</row>
    <row r="37" spans="1:61" x14ac:dyDescent="0.35">
      <c r="A37" s="143" t="str">
        <f>IF('Índice - Index'!$D$14="Português","Saldo da PDD","Allowance for Losses")</f>
        <v>Saldo da PDD</v>
      </c>
      <c r="B37" s="76"/>
      <c r="C37" s="76"/>
      <c r="D37" s="76"/>
      <c r="E37" s="76"/>
      <c r="F37" s="76"/>
      <c r="G37" s="76"/>
      <c r="H37" s="7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Z37" s="113"/>
      <c r="AB37" s="206">
        <v>-72.288745629999994</v>
      </c>
      <c r="AC37" s="206">
        <v>-71.900000000000006</v>
      </c>
      <c r="AD37" s="206">
        <v>-60.388418600000001</v>
      </c>
      <c r="AE37" s="206">
        <v>-50.078000000000003</v>
      </c>
      <c r="AF37" s="206">
        <v>-40.515626140000002</v>
      </c>
      <c r="AG37" s="206">
        <v>-35.1</v>
      </c>
      <c r="AH37" s="206">
        <v>-33.708952689999997</v>
      </c>
      <c r="AI37" s="206">
        <v>-34.869999999999997</v>
      </c>
      <c r="AJ37" s="206">
        <v>-36.178673880000005</v>
      </c>
      <c r="AK37" s="206">
        <v>-38.4</v>
      </c>
      <c r="AL37" s="206">
        <v>-37.591868779999999</v>
      </c>
      <c r="AM37" s="206">
        <v>-35.283999999999999</v>
      </c>
      <c r="AN37" s="206">
        <v>-36.099999999999994</v>
      </c>
      <c r="AO37" s="206">
        <v>-60.651999999999994</v>
      </c>
      <c r="AP37" s="209">
        <v>-31.997637680000004</v>
      </c>
      <c r="AQ37" s="209">
        <v>-3.6589999999999989</v>
      </c>
      <c r="AR37" s="209">
        <v>-2.6410000000000053</v>
      </c>
      <c r="AS37" s="209">
        <v>-35.013999999999996</v>
      </c>
      <c r="AT37" s="206">
        <v>-35.146999999999998</v>
      </c>
      <c r="AU37" s="206">
        <v>-36.869</v>
      </c>
      <c r="AV37" s="206">
        <v>-36.177</v>
      </c>
      <c r="AW37" s="206">
        <v>-27.718999999999998</v>
      </c>
      <c r="AX37" s="214">
        <v>-17.470185000000001</v>
      </c>
      <c r="AY37" s="214">
        <v>-17.168999999999997</v>
      </c>
      <c r="AZ37" s="214">
        <v>-22.246000000000002</v>
      </c>
      <c r="BA37" s="214">
        <v>-26.039000000000001</v>
      </c>
      <c r="BB37" s="214">
        <v>-29.383999999999997</v>
      </c>
      <c r="BC37" s="214">
        <v>-35.807000000000002</v>
      </c>
      <c r="BD37" s="214">
        <v>-37.363</v>
      </c>
      <c r="BE37" s="214">
        <v>-30.084</v>
      </c>
      <c r="BF37" s="214">
        <v>-41.588999999999999</v>
      </c>
      <c r="BG37" s="214">
        <v>-46.552999999999997</v>
      </c>
      <c r="BH37" s="214">
        <v>-13.587</v>
      </c>
    </row>
    <row r="38" spans="1:61" ht="6.75" customHeight="1" x14ac:dyDescent="0.35">
      <c r="A38" s="143"/>
      <c r="B38" s="76"/>
      <c r="C38" s="76"/>
      <c r="D38" s="76"/>
      <c r="E38" s="76"/>
      <c r="F38" s="76"/>
      <c r="G38" s="76"/>
      <c r="H38" s="76"/>
      <c r="I38" s="154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55"/>
      <c r="U38" s="155"/>
      <c r="V38" s="155"/>
      <c r="W38" s="155"/>
      <c r="AH38" s="113"/>
    </row>
    <row r="39" spans="1:61" x14ac:dyDescent="0.35">
      <c r="A39" s="145" t="s">
        <v>6</v>
      </c>
      <c r="B39" s="146"/>
      <c r="C39" s="146"/>
      <c r="D39" s="146"/>
      <c r="E39" s="146"/>
      <c r="F39" s="146"/>
      <c r="G39" s="146"/>
      <c r="H39" s="146"/>
      <c r="I39" s="147">
        <f t="shared" ref="I39:AF39" si="13">I24+I26</f>
        <v>25.046000000000003</v>
      </c>
      <c r="J39" s="147">
        <f t="shared" si="13"/>
        <v>36.453999999999994</v>
      </c>
      <c r="K39" s="147">
        <f t="shared" si="13"/>
        <v>46.8</v>
      </c>
      <c r="L39" s="147">
        <f t="shared" si="13"/>
        <v>52.6</v>
      </c>
      <c r="M39" s="147">
        <f t="shared" si="13"/>
        <v>54.192</v>
      </c>
      <c r="N39" s="147">
        <f t="shared" si="13"/>
        <v>66.033999999999992</v>
      </c>
      <c r="O39" s="147">
        <f t="shared" si="13"/>
        <v>75.492999999999995</v>
      </c>
      <c r="P39" s="147">
        <f t="shared" si="13"/>
        <v>87</v>
      </c>
      <c r="Q39" s="147">
        <f t="shared" si="13"/>
        <v>93.198000000000008</v>
      </c>
      <c r="R39" s="147">
        <f t="shared" si="13"/>
        <v>121</v>
      </c>
      <c r="S39" s="147">
        <f t="shared" si="13"/>
        <v>145.63200000000001</v>
      </c>
      <c r="T39" s="147">
        <f t="shared" si="13"/>
        <v>157.1</v>
      </c>
      <c r="U39" s="147">
        <f t="shared" si="13"/>
        <v>160.9</v>
      </c>
      <c r="V39" s="147">
        <f t="shared" si="13"/>
        <v>180.542</v>
      </c>
      <c r="W39" s="147">
        <f t="shared" si="13"/>
        <v>196.47800000000001</v>
      </c>
      <c r="X39" s="147">
        <f t="shared" si="13"/>
        <v>201.5</v>
      </c>
      <c r="Y39" s="147">
        <f t="shared" si="13"/>
        <v>200.9</v>
      </c>
      <c r="Z39" s="147">
        <f t="shared" si="13"/>
        <v>220.37400000000002</v>
      </c>
      <c r="AA39" s="147">
        <f t="shared" si="13"/>
        <v>216.7</v>
      </c>
      <c r="AB39" s="147">
        <f t="shared" si="13"/>
        <v>210.5</v>
      </c>
      <c r="AC39" s="147">
        <f t="shared" si="13"/>
        <v>184.124</v>
      </c>
      <c r="AD39" s="147">
        <f t="shared" si="13"/>
        <v>160.69999999999999</v>
      </c>
      <c r="AE39" s="147">
        <f t="shared" si="13"/>
        <v>147.06399999999999</v>
      </c>
      <c r="AF39" s="147">
        <f t="shared" si="13"/>
        <v>145.69999999999999</v>
      </c>
      <c r="AG39" s="147">
        <v>132.80000000000001</v>
      </c>
      <c r="AH39" s="148">
        <v>141.9</v>
      </c>
      <c r="AI39" s="148">
        <v>149.6</v>
      </c>
      <c r="AJ39" s="148">
        <v>160.15899999999999</v>
      </c>
      <c r="AK39" s="148">
        <v>158.80000000000001</v>
      </c>
      <c r="AL39" s="148">
        <f t="shared" ref="AL39:AW39" si="14">AL24+AL26</f>
        <v>173.03299999999999</v>
      </c>
      <c r="AM39" s="148">
        <f t="shared" si="14"/>
        <v>173.37799999999999</v>
      </c>
      <c r="AN39" s="148">
        <f t="shared" si="14"/>
        <v>175.779</v>
      </c>
      <c r="AO39" s="148">
        <f t="shared" si="14"/>
        <v>162.48699999999999</v>
      </c>
      <c r="AP39" s="148">
        <f t="shared" si="14"/>
        <v>171.696</v>
      </c>
      <c r="AQ39" s="148">
        <f t="shared" si="14"/>
        <v>178.09500000000003</v>
      </c>
      <c r="AR39" s="148">
        <f t="shared" si="14"/>
        <v>182.74400000000003</v>
      </c>
      <c r="AS39" s="148">
        <f t="shared" si="14"/>
        <v>178.20699999999999</v>
      </c>
      <c r="AT39" s="148">
        <f t="shared" si="14"/>
        <v>196.113</v>
      </c>
      <c r="AU39" s="148">
        <f t="shared" si="14"/>
        <v>146.81099999999998</v>
      </c>
      <c r="AV39" s="148">
        <f t="shared" si="14"/>
        <v>126.82900000000001</v>
      </c>
      <c r="AW39" s="148">
        <f t="shared" si="14"/>
        <v>123.783</v>
      </c>
      <c r="AX39" s="148">
        <f t="shared" ref="AX39:BF39" si="15">AX24+AX26</f>
        <v>134.399</v>
      </c>
      <c r="AY39" s="148">
        <f t="shared" si="15"/>
        <v>126.377</v>
      </c>
      <c r="AZ39" s="148">
        <f t="shared" si="15"/>
        <v>157.52600000000001</v>
      </c>
      <c r="BA39" s="148">
        <f t="shared" si="15"/>
        <v>189.42899999999997</v>
      </c>
      <c r="BB39" s="148">
        <f t="shared" si="15"/>
        <v>201.33</v>
      </c>
      <c r="BC39" s="148">
        <f t="shared" si="15"/>
        <v>187.38900000000001</v>
      </c>
      <c r="BD39" s="148">
        <f t="shared" si="15"/>
        <v>192.15</v>
      </c>
      <c r="BE39" s="148">
        <f t="shared" ref="BE39" si="16">BE24+BE26</f>
        <v>152.101</v>
      </c>
      <c r="BF39" s="148">
        <f t="shared" si="15"/>
        <v>140.39100000000002</v>
      </c>
      <c r="BG39" s="148">
        <f t="shared" ref="BG39:BH39" si="17">BG24+BG26</f>
        <v>114.803</v>
      </c>
      <c r="BH39" s="148">
        <f t="shared" si="17"/>
        <v>40.119</v>
      </c>
    </row>
    <row r="40" spans="1:61" x14ac:dyDescent="0.35">
      <c r="A40" s="156" t="str">
        <f>IF('Índice - Index'!$D$14="Português","*Operação da SAX iniciou em 4T10","*SAX operations started as of 4Q10")</f>
        <v>*Operação da SAX iniciou em 4T10</v>
      </c>
      <c r="B40" s="149"/>
      <c r="C40" s="149"/>
      <c r="D40" s="149"/>
      <c r="E40" s="149"/>
      <c r="F40" s="149"/>
      <c r="G40" s="149"/>
      <c r="H40" s="149"/>
    </row>
    <row r="41" spans="1:61" x14ac:dyDescent="0.35">
      <c r="A41" s="157"/>
      <c r="B41" s="149"/>
      <c r="C41" s="149"/>
      <c r="D41" s="149"/>
      <c r="E41" s="149"/>
      <c r="F41" s="149"/>
      <c r="G41" s="149"/>
      <c r="H41" s="149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</row>
    <row r="42" spans="1:61" x14ac:dyDescent="0.35">
      <c r="A42" s="88" t="s">
        <v>14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</row>
    <row r="43" spans="1:61" x14ac:dyDescent="0.35">
      <c r="A43" s="88" t="str">
        <f>IF('Índice - Index'!$D$14="Português","(R$ milhares)","(R$ million)")</f>
        <v>(R$ milhares)</v>
      </c>
      <c r="B43" s="88" t="str">
        <f>B$2</f>
        <v>Mar. 09</v>
      </c>
      <c r="C43" s="88" t="str">
        <f t="shared" ref="C43:AI43" si="18">C$2</f>
        <v>Jun.09</v>
      </c>
      <c r="D43" s="88" t="str">
        <f t="shared" si="18"/>
        <v>Set.09</v>
      </c>
      <c r="E43" s="88" t="str">
        <f t="shared" si="18"/>
        <v>Dez.09</v>
      </c>
      <c r="F43" s="88" t="str">
        <f t="shared" si="18"/>
        <v>Mar. 10</v>
      </c>
      <c r="G43" s="88" t="str">
        <f t="shared" si="18"/>
        <v>Jun.10</v>
      </c>
      <c r="H43" s="88" t="str">
        <f t="shared" si="18"/>
        <v>Set.10</v>
      </c>
      <c r="I43" s="88" t="str">
        <f>IF('Índice - Index'!$D$14="Português","Dez.10*","Dec.10*")</f>
        <v>Dez.10*</v>
      </c>
      <c r="J43" s="88" t="str">
        <f t="shared" si="18"/>
        <v>Mar. 11</v>
      </c>
      <c r="K43" s="88" t="str">
        <f t="shared" si="18"/>
        <v>Jun.11</v>
      </c>
      <c r="L43" s="88" t="str">
        <f t="shared" si="18"/>
        <v>Set.11</v>
      </c>
      <c r="M43" s="88" t="str">
        <f t="shared" si="18"/>
        <v>Dez.11</v>
      </c>
      <c r="N43" s="88" t="str">
        <f t="shared" si="18"/>
        <v>Mar. 12</v>
      </c>
      <c r="O43" s="88" t="str">
        <f t="shared" si="18"/>
        <v>Jun.12</v>
      </c>
      <c r="P43" s="88" t="str">
        <f t="shared" si="18"/>
        <v>Set.12</v>
      </c>
      <c r="Q43" s="88" t="str">
        <f t="shared" si="18"/>
        <v>Dez.12</v>
      </c>
      <c r="R43" s="88" t="str">
        <f t="shared" si="18"/>
        <v>Mar. 13</v>
      </c>
      <c r="S43" s="88" t="str">
        <f t="shared" si="18"/>
        <v>Jun.13</v>
      </c>
      <c r="T43" s="88" t="str">
        <f t="shared" si="18"/>
        <v>Set.13</v>
      </c>
      <c r="U43" s="88" t="str">
        <f t="shared" si="18"/>
        <v>Dez.13</v>
      </c>
      <c r="V43" s="88" t="str">
        <f t="shared" si="18"/>
        <v>Mar. 14</v>
      </c>
      <c r="W43" s="88" t="str">
        <f t="shared" si="18"/>
        <v>Jun.14</v>
      </c>
      <c r="X43" s="88" t="str">
        <f t="shared" si="18"/>
        <v>Set.14</v>
      </c>
      <c r="Y43" s="88" t="str">
        <f t="shared" si="18"/>
        <v>Dez.14</v>
      </c>
      <c r="Z43" s="88" t="str">
        <f t="shared" si="18"/>
        <v>Mar. 15</v>
      </c>
      <c r="AA43" s="88" t="str">
        <f t="shared" si="18"/>
        <v>Jun.15</v>
      </c>
      <c r="AB43" s="88" t="str">
        <f t="shared" si="18"/>
        <v>Set.15</v>
      </c>
      <c r="AC43" s="88" t="str">
        <f t="shared" si="18"/>
        <v>Dez.15</v>
      </c>
      <c r="AD43" s="88" t="str">
        <f t="shared" si="18"/>
        <v>Mar. 16</v>
      </c>
      <c r="AE43" s="88" t="str">
        <f t="shared" si="18"/>
        <v>Jun.16</v>
      </c>
      <c r="AF43" s="88" t="str">
        <f t="shared" si="18"/>
        <v>Set.16</v>
      </c>
      <c r="AG43" s="88" t="str">
        <f t="shared" si="18"/>
        <v>Dez.16</v>
      </c>
      <c r="AH43" s="88" t="str">
        <f t="shared" si="18"/>
        <v>Mar. 17</v>
      </c>
      <c r="AI43" s="88" t="str">
        <f t="shared" si="18"/>
        <v>Jun.17</v>
      </c>
      <c r="AJ43" s="88" t="s">
        <v>23</v>
      </c>
      <c r="AK43" s="88" t="s">
        <v>24</v>
      </c>
      <c r="AL43" s="88" t="s">
        <v>25</v>
      </c>
      <c r="AM43" s="88" t="s">
        <v>26</v>
      </c>
      <c r="AN43" s="88" t="str">
        <f>IF('Índice - Index'!$D$14="Português","Set.18","Sep.18")</f>
        <v>Set.18</v>
      </c>
      <c r="AO43" s="88" t="str">
        <f>IF('Índice - Index'!$D$14="Português","Dez.18","Dec.18")</f>
        <v>Dez.18</v>
      </c>
      <c r="AP43" s="88" t="str">
        <f>IF('Índice - Index'!$D$14="Português","Mar.19","Mar.19")</f>
        <v>Mar.19</v>
      </c>
      <c r="AQ43" s="88" t="str">
        <f>IF('Índice - Index'!$D$14="Português","Jun.19","Jun.19")</f>
        <v>Jun.19</v>
      </c>
      <c r="AR43" s="88" t="str">
        <f>IF('Índice - Index'!$D$14="Português","Set.19","Sep.19")</f>
        <v>Set.19</v>
      </c>
      <c r="AS43" s="88" t="str">
        <f>IF('Índice - Index'!$D$14="Português","Dez.19","Dec.19")</f>
        <v>Dez.19</v>
      </c>
      <c r="AT43" s="88" t="str">
        <f>AT22</f>
        <v>Mar.20</v>
      </c>
      <c r="AU43" s="88" t="str">
        <f>AU22</f>
        <v>Jun.20</v>
      </c>
      <c r="AV43" s="88" t="str">
        <f>AV22</f>
        <v>Set.20</v>
      </c>
      <c r="AW43" s="88" t="str">
        <f t="shared" ref="AW43:AX43" si="19">AW22</f>
        <v>Dez.20</v>
      </c>
      <c r="AX43" s="88" t="str">
        <f t="shared" si="19"/>
        <v>Mar.21</v>
      </c>
      <c r="AY43" s="88" t="str">
        <f>IF('Índice - Index'!$D$14="Português","Jun.21","Jun.21")</f>
        <v>Jun.21</v>
      </c>
      <c r="AZ43" s="88" t="str">
        <f>IF('Índice - Index'!$D$14="Português","Set.21","Sep.21")</f>
        <v>Set.21</v>
      </c>
      <c r="BA43" s="88" t="str">
        <f>IF('Índice - Index'!$D$14="Português","Dez.21","Dec.21")</f>
        <v>Dez.21</v>
      </c>
      <c r="BB43" s="88" t="str">
        <f>IF('Índice - Index'!$D$14="Português","Mar.22","Mar.22")</f>
        <v>Mar.22</v>
      </c>
      <c r="BC43" s="88" t="str">
        <f>IF('Índice - Index'!$D$14="Português","Jun.22","Jun.22")</f>
        <v>Jun.22</v>
      </c>
      <c r="BD43" s="88" t="str">
        <f>IF('Índice - Index'!$D$14="Português","Set.22","Sep.22")</f>
        <v>Set.22</v>
      </c>
      <c r="BE43" s="88" t="str">
        <f>IF('Índice - Index'!$D$14="Português","Dez.22","Dec.22")</f>
        <v>Dez.22</v>
      </c>
      <c r="BF43" s="88" t="str">
        <f>IF('Índice - Index'!$D$14="Português","Mar.23","Mar.23")</f>
        <v>Mar.23</v>
      </c>
      <c r="BG43" s="88" t="str">
        <f>IF('Índice - Index'!$D$14="Português","Jun.23","Jun.23")</f>
        <v>Jun.23</v>
      </c>
      <c r="BH43" s="88" t="str">
        <f>IF('Índice - Index'!$D$14="Português","Set.23","Sep.23")</f>
        <v>Set.23</v>
      </c>
    </row>
    <row r="44" spans="1:61" x14ac:dyDescent="0.35">
      <c r="A44" s="90"/>
      <c r="I44" s="139"/>
      <c r="J44" s="139"/>
      <c r="K44" s="139"/>
      <c r="L44" s="139"/>
      <c r="M44" s="139"/>
      <c r="N44" s="139"/>
      <c r="O44" s="139"/>
      <c r="P44" s="138"/>
      <c r="Q44" s="138"/>
      <c r="R44" s="138"/>
      <c r="S44" s="138"/>
      <c r="T44" s="138"/>
      <c r="U44" s="138"/>
      <c r="V44" s="153"/>
      <c r="W44" s="15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</row>
    <row r="45" spans="1:61" x14ac:dyDescent="0.35">
      <c r="A45" s="40" t="str">
        <f>IF('Índice - Index'!$D$14="Português","Em dia:","On time:")</f>
        <v>Em dia: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42">
        <v>33.912002400000105</v>
      </c>
      <c r="O45" s="142">
        <v>41.069155440000031</v>
      </c>
      <c r="P45" s="142">
        <v>47.583566990000911</v>
      </c>
      <c r="Q45" s="142">
        <v>49.411731660000193</v>
      </c>
      <c r="R45" s="142">
        <v>67.725383679999524</v>
      </c>
      <c r="S45" s="142">
        <v>82.423019670001281</v>
      </c>
      <c r="T45" s="142">
        <v>87.209080839999771</v>
      </c>
      <c r="U45" s="142">
        <v>84.401554570000414</v>
      </c>
      <c r="V45" s="142">
        <v>94.357893810000007</v>
      </c>
      <c r="W45" s="142">
        <v>103.10518244000099</v>
      </c>
      <c r="X45" s="142">
        <v>109.07820823000024</v>
      </c>
      <c r="Y45" s="142">
        <v>103.40824684000098</v>
      </c>
      <c r="Z45" s="142">
        <v>110.55152147000034</v>
      </c>
      <c r="AA45" s="142">
        <v>102.04421022000014</v>
      </c>
      <c r="AB45" s="142">
        <v>94.503080030000717</v>
      </c>
      <c r="AC45" s="142">
        <v>77.115938009999837</v>
      </c>
      <c r="AD45" s="142">
        <v>70.131843050000043</v>
      </c>
      <c r="AE45" s="142">
        <v>71.091265360000307</v>
      </c>
      <c r="AF45" s="142">
        <v>78.587260219999294</v>
      </c>
      <c r="AG45" s="142">
        <v>73.254448240000372</v>
      </c>
      <c r="AH45" s="142">
        <v>81.188580820001135</v>
      </c>
      <c r="AI45" s="142">
        <v>88.074999000000005</v>
      </c>
      <c r="AJ45" s="142">
        <v>105.716336</v>
      </c>
      <c r="AK45" s="158">
        <v>99.507121260000005</v>
      </c>
      <c r="AL45" s="186">
        <v>108.77248406</v>
      </c>
      <c r="AM45" s="186">
        <v>104.97570902</v>
      </c>
      <c r="AN45" s="186">
        <v>109.64963888</v>
      </c>
      <c r="AO45" s="186">
        <v>99.931259030000007</v>
      </c>
      <c r="AP45" s="186">
        <v>109.94596803</v>
      </c>
      <c r="AQ45" s="186">
        <v>103.28288664</v>
      </c>
      <c r="AR45" s="186">
        <v>110.77938929000001</v>
      </c>
      <c r="AS45" s="186">
        <v>99.537882260000003</v>
      </c>
      <c r="AT45" s="186">
        <v>102.45252286</v>
      </c>
      <c r="AU45" s="186">
        <v>53.53492164</v>
      </c>
      <c r="AV45" s="186">
        <v>58.688900500000003</v>
      </c>
      <c r="AW45" s="186">
        <v>68.094268060000005</v>
      </c>
      <c r="AX45" s="186">
        <v>73.2</v>
      </c>
      <c r="AY45" s="186">
        <v>75.3</v>
      </c>
      <c r="AZ45" s="113">
        <v>92.745852400000004</v>
      </c>
      <c r="BA45" s="113">
        <v>105.78630582</v>
      </c>
      <c r="BB45" s="113">
        <v>101.46284351</v>
      </c>
      <c r="BC45" s="113">
        <v>85.209247829999995</v>
      </c>
      <c r="BD45" s="113">
        <v>86.265771590001549</v>
      </c>
      <c r="BE45" s="113">
        <v>76.335306300001321</v>
      </c>
      <c r="BF45" s="113">
        <v>48.982107110000044</v>
      </c>
      <c r="BG45" s="113">
        <v>25.429226710000052</v>
      </c>
      <c r="BH45" s="113">
        <v>11.958311530000039</v>
      </c>
    </row>
    <row r="46" spans="1:61" x14ac:dyDescent="0.35">
      <c r="A46" s="40"/>
      <c r="B46" s="76"/>
      <c r="C46" s="76"/>
      <c r="D46" s="76"/>
      <c r="E46" s="76"/>
      <c r="F46" s="76"/>
      <c r="G46" s="76"/>
      <c r="H46" s="76"/>
      <c r="I46" s="159"/>
      <c r="J46" s="159"/>
      <c r="K46" s="159"/>
      <c r="L46" s="159"/>
      <c r="M46" s="159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AJ46" s="142"/>
      <c r="AK46" s="158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</row>
    <row r="47" spans="1:61" x14ac:dyDescent="0.35">
      <c r="A47" s="40" t="str">
        <f>IF('Índice - Index'!$D$14="Português","Vencidas:","Overdues:")</f>
        <v>Vencidas: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142">
        <f>SUM(N48:N56)</f>
        <v>32.122077630000035</v>
      </c>
      <c r="O47" s="142">
        <f t="shared" ref="O47:AK47" si="20">SUM(O48:O56)</f>
        <v>34.423827690000032</v>
      </c>
      <c r="P47" s="142">
        <f t="shared" si="20"/>
        <v>39.426412710000072</v>
      </c>
      <c r="Q47" s="142">
        <f t="shared" si="20"/>
        <v>43.786349749999928</v>
      </c>
      <c r="R47" s="142">
        <f t="shared" si="20"/>
        <v>53.310206670000035</v>
      </c>
      <c r="S47" s="142">
        <f t="shared" si="20"/>
        <v>63.209366300000084</v>
      </c>
      <c r="T47" s="142">
        <f t="shared" si="20"/>
        <v>69.931078069999899</v>
      </c>
      <c r="U47" s="142">
        <f t="shared" si="20"/>
        <v>76.432287740000035</v>
      </c>
      <c r="V47" s="142">
        <f t="shared" si="20"/>
        <v>86.184274949999974</v>
      </c>
      <c r="W47" s="142">
        <f t="shared" si="20"/>
        <v>93.373027670000099</v>
      </c>
      <c r="X47" s="142">
        <f t="shared" si="20"/>
        <v>92.347472390000021</v>
      </c>
      <c r="Y47" s="142">
        <f t="shared" si="20"/>
        <v>97.24359424999993</v>
      </c>
      <c r="Z47" s="142">
        <f t="shared" si="20"/>
        <v>109.82208648999986</v>
      </c>
      <c r="AA47" s="142">
        <f t="shared" si="20"/>
        <v>114.66859122999989</v>
      </c>
      <c r="AB47" s="142">
        <f t="shared" si="20"/>
        <v>115.97851940000005</v>
      </c>
      <c r="AC47" s="142">
        <f t="shared" si="20"/>
        <v>106.99630183000011</v>
      </c>
      <c r="AD47" s="142">
        <f t="shared" si="20"/>
        <v>90.615247460000006</v>
      </c>
      <c r="AE47" s="142">
        <f t="shared" si="20"/>
        <v>75.988194439999887</v>
      </c>
      <c r="AF47" s="142">
        <f t="shared" si="20"/>
        <v>67.110424929999922</v>
      </c>
      <c r="AG47" s="142">
        <f t="shared" si="20"/>
        <v>59.550638590000077</v>
      </c>
      <c r="AH47" s="142">
        <f t="shared" si="20"/>
        <v>60.671236359999995</v>
      </c>
      <c r="AI47" s="142">
        <f t="shared" si="20"/>
        <v>61.505162000000006</v>
      </c>
      <c r="AJ47" s="142">
        <f t="shared" si="20"/>
        <v>54.442205630000004</v>
      </c>
      <c r="AK47" s="142">
        <f t="shared" si="20"/>
        <v>59.314816259999994</v>
      </c>
      <c r="AL47" s="187">
        <f t="shared" ref="AL47:AW47" si="21">SUM(AL48:AL56)</f>
        <v>64.260601980000004</v>
      </c>
      <c r="AM47" s="187">
        <f t="shared" si="21"/>
        <v>68.437532570000002</v>
      </c>
      <c r="AN47" s="187">
        <f t="shared" si="21"/>
        <v>66.152282749999998</v>
      </c>
      <c r="AO47" s="187">
        <f t="shared" si="21"/>
        <v>62.589471279999998</v>
      </c>
      <c r="AP47" s="187">
        <f t="shared" si="21"/>
        <v>61.705571770000006</v>
      </c>
      <c r="AQ47" s="187">
        <f t="shared" si="21"/>
        <v>74.811607079999987</v>
      </c>
      <c r="AR47" s="187">
        <f t="shared" si="21"/>
        <v>71.959435410000012</v>
      </c>
      <c r="AS47" s="187">
        <f t="shared" si="21"/>
        <v>78.660266129999997</v>
      </c>
      <c r="AT47" s="187">
        <f t="shared" si="21"/>
        <v>93.661044499999974</v>
      </c>
      <c r="AU47" s="187">
        <f t="shared" si="21"/>
        <v>93.275990660000019</v>
      </c>
      <c r="AV47" s="187">
        <f t="shared" si="21"/>
        <v>68.139420999999999</v>
      </c>
      <c r="AW47" s="187">
        <f t="shared" si="21"/>
        <v>55.689267969999996</v>
      </c>
      <c r="AX47" s="187">
        <v>61.2</v>
      </c>
      <c r="AY47" s="187">
        <v>51.065851360000003</v>
      </c>
      <c r="AZ47" s="113">
        <f>SUM(AZ48:AZ56)</f>
        <v>64.780140009999997</v>
      </c>
      <c r="BA47" s="113">
        <f>SUM(BA48:BA56)</f>
        <v>79.91733751999999</v>
      </c>
      <c r="BB47" s="113">
        <f>SUM(BB48:BB56)</f>
        <v>99.868523120000006</v>
      </c>
      <c r="BC47" s="113">
        <f>SUM(BC48:BC56)</f>
        <v>102.17604647000002</v>
      </c>
      <c r="BD47" s="113">
        <f>(SUM(BD48:BD56))</f>
        <v>105.88667619999994</v>
      </c>
      <c r="BE47" s="113">
        <f>((SUM(BE48:BE56)))</f>
        <v>75.765532619999959</v>
      </c>
      <c r="BF47" s="113">
        <f>((SUM(BF48:BF56)))</f>
        <v>91.408466379999993</v>
      </c>
      <c r="BG47" s="113">
        <f>(((SUM(BG48:BG56))))</f>
        <v>89.373076239999961</v>
      </c>
      <c r="BH47" s="113">
        <f>(((SUM(BH48:BH56))))</f>
        <v>28.180745600000002</v>
      </c>
    </row>
    <row r="48" spans="1:61" x14ac:dyDescent="0.35">
      <c r="A48" s="143" t="str">
        <f>IF('Índice - Index'!$D$14="Português","1 a 30 dias","1 - 30 days")</f>
        <v>1 a 30 dias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142">
        <v>9.1632399099999979</v>
      </c>
      <c r="O48" s="142">
        <v>9.3837781200000308</v>
      </c>
      <c r="P48" s="142">
        <v>12.006564830000087</v>
      </c>
      <c r="Q48" s="142">
        <v>12.940525879999949</v>
      </c>
      <c r="R48" s="142">
        <v>17.770492250000018</v>
      </c>
      <c r="S48" s="142">
        <v>19.736074680000062</v>
      </c>
      <c r="T48" s="142">
        <v>19.776821789999868</v>
      </c>
      <c r="U48" s="142">
        <v>19.799509229999948</v>
      </c>
      <c r="V48" s="142">
        <v>23.321017799999996</v>
      </c>
      <c r="W48" s="142">
        <v>23.677789830000076</v>
      </c>
      <c r="X48" s="142">
        <v>21.000127230000068</v>
      </c>
      <c r="Y48" s="142">
        <v>23.355987740000018</v>
      </c>
      <c r="Z48" s="142">
        <v>27.505384379999981</v>
      </c>
      <c r="AA48" s="142">
        <v>24.334635569999865</v>
      </c>
      <c r="AB48" s="142">
        <v>23.004509839999944</v>
      </c>
      <c r="AC48" s="142">
        <v>18.595893010000019</v>
      </c>
      <c r="AD48" s="142">
        <v>16.065224500000053</v>
      </c>
      <c r="AE48" s="142">
        <v>13.774689950000027</v>
      </c>
      <c r="AF48" s="142">
        <v>16.137724009999896</v>
      </c>
      <c r="AG48" s="142">
        <v>13.359923450000089</v>
      </c>
      <c r="AH48" s="142">
        <v>15.290945060000013</v>
      </c>
      <c r="AI48" s="142">
        <v>14.755451000000001</v>
      </c>
      <c r="AJ48" s="142">
        <v>6.3617882400000001</v>
      </c>
      <c r="AK48" s="158">
        <v>6.9196006199999998</v>
      </c>
      <c r="AL48" s="186">
        <v>8.0854315700000008</v>
      </c>
      <c r="AM48" s="186">
        <v>6.7959027999999995</v>
      </c>
      <c r="AN48" s="186">
        <v>6.3059623299999998</v>
      </c>
      <c r="AO48" s="186">
        <v>5.9494084800000007</v>
      </c>
      <c r="AP48" s="186">
        <v>7.7117498399999995</v>
      </c>
      <c r="AQ48" s="186">
        <v>18.902962079999998</v>
      </c>
      <c r="AR48" s="186">
        <v>12.80502559</v>
      </c>
      <c r="AS48" s="186">
        <v>18.09745792</v>
      </c>
      <c r="AT48" s="186">
        <v>29.725435440000002</v>
      </c>
      <c r="AU48" s="186">
        <v>11.213214499999999</v>
      </c>
      <c r="AV48" s="186">
        <v>6.0350712800000004</v>
      </c>
      <c r="AW48" s="186">
        <v>9.6823678300000005</v>
      </c>
      <c r="AX48" s="186">
        <v>21.3</v>
      </c>
      <c r="AY48" s="186">
        <v>12.146442689999999</v>
      </c>
      <c r="AZ48" s="113">
        <v>14.425195840000001</v>
      </c>
      <c r="BA48" s="113">
        <v>23.149026750000001</v>
      </c>
      <c r="BB48" s="113">
        <v>23.746510010000002</v>
      </c>
      <c r="BC48" s="113">
        <v>18.485974510000002</v>
      </c>
      <c r="BD48" s="113">
        <v>18.748852789999965</v>
      </c>
      <c r="BE48" s="113">
        <v>18.553189119999974</v>
      </c>
      <c r="BF48" s="113">
        <v>14.093551149999977</v>
      </c>
      <c r="BG48" s="113">
        <v>6.2311968199999841</v>
      </c>
      <c r="BH48" s="113">
        <v>3.064255009999997</v>
      </c>
    </row>
    <row r="49" spans="1:60" x14ac:dyDescent="0.35">
      <c r="A49" s="143" t="str">
        <f>IF('Índice - Index'!$D$14="Português","31 a 60 dias","31 - 60 days")</f>
        <v>31 a 60 dias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42">
        <v>3.2690741900000027</v>
      </c>
      <c r="O49" s="142">
        <v>3.3485826599999902</v>
      </c>
      <c r="P49" s="142">
        <v>4.3262081399999861</v>
      </c>
      <c r="Q49" s="142">
        <v>4.1561386499999982</v>
      </c>
      <c r="R49" s="142">
        <v>6.1858966200000074</v>
      </c>
      <c r="S49" s="142">
        <v>7.1824460300000013</v>
      </c>
      <c r="T49" s="142">
        <v>7.4099145599999874</v>
      </c>
      <c r="U49" s="142">
        <v>7.2439996399999833</v>
      </c>
      <c r="V49" s="142">
        <v>9.7017913299999847</v>
      </c>
      <c r="W49" s="142">
        <v>9.6773006699999922</v>
      </c>
      <c r="X49" s="142">
        <v>8.3078771899999797</v>
      </c>
      <c r="Y49" s="142">
        <v>9.0818013899999723</v>
      </c>
      <c r="Z49" s="142">
        <v>13.638834669999984</v>
      </c>
      <c r="AA49" s="142">
        <v>11.87684652000002</v>
      </c>
      <c r="AB49" s="142">
        <v>10.476003319999975</v>
      </c>
      <c r="AC49" s="142">
        <v>7.8027573599999966</v>
      </c>
      <c r="AD49" s="142">
        <v>7.0172767000000142</v>
      </c>
      <c r="AE49" s="142">
        <v>5.9746986099999999</v>
      </c>
      <c r="AF49" s="142">
        <v>5.5715648800000031</v>
      </c>
      <c r="AG49" s="142">
        <v>5.4</v>
      </c>
      <c r="AH49" s="142">
        <v>6.7402281900000203</v>
      </c>
      <c r="AI49" s="142">
        <v>5.8959140000000003</v>
      </c>
      <c r="AJ49" s="142">
        <v>6.43614087</v>
      </c>
      <c r="AK49" s="158">
        <v>7.31972208</v>
      </c>
      <c r="AL49" s="186">
        <v>8.3716222600000005</v>
      </c>
      <c r="AM49" s="186">
        <v>8.224072360000001</v>
      </c>
      <c r="AN49" s="186">
        <v>6.6918560400000002</v>
      </c>
      <c r="AO49" s="186">
        <v>6.3807163899999999</v>
      </c>
      <c r="AP49" s="186">
        <v>7.8527667999999995</v>
      </c>
      <c r="AQ49" s="186">
        <v>7.7509924200000002</v>
      </c>
      <c r="AR49" s="186">
        <v>7.642243689999999</v>
      </c>
      <c r="AS49" s="186">
        <v>6.9731541500000001</v>
      </c>
      <c r="AT49" s="186">
        <v>9.7075957899999992</v>
      </c>
      <c r="AU49" s="186">
        <v>7.7648532699999997</v>
      </c>
      <c r="AV49" s="186">
        <v>2.5605260599999999</v>
      </c>
      <c r="AW49" s="186">
        <v>3.2954992000000001</v>
      </c>
      <c r="AX49" s="186">
        <v>9</v>
      </c>
      <c r="AY49" s="186">
        <v>5.7436990799999998</v>
      </c>
      <c r="AZ49" s="113">
        <v>6.7850782000000001</v>
      </c>
      <c r="BA49" s="113">
        <v>10.690761800000001</v>
      </c>
      <c r="BB49" s="113">
        <v>15.0510029</v>
      </c>
      <c r="BC49" s="113">
        <v>9.0987805700000006</v>
      </c>
      <c r="BD49" s="113">
        <v>10.975791590000012</v>
      </c>
      <c r="BE49" s="113">
        <v>12.570852199999996</v>
      </c>
      <c r="BF49" s="113">
        <v>10.574428269999986</v>
      </c>
      <c r="BG49" s="113">
        <v>4.4986649100000013</v>
      </c>
      <c r="BH49" s="113">
        <v>1.9920061500000033</v>
      </c>
    </row>
    <row r="50" spans="1:60" x14ac:dyDescent="0.35">
      <c r="A50" s="143" t="str">
        <f>IF('Índice - Index'!$D$14="Português","61 a 90 dias","61 - 90 days")</f>
        <v>61 a 90 dias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42">
        <v>2.5515177900000001</v>
      </c>
      <c r="O50" s="142">
        <v>3.0637864199999911</v>
      </c>
      <c r="P50" s="142">
        <v>3.2685104399999951</v>
      </c>
      <c r="Q50" s="142">
        <v>3.8408097100000074</v>
      </c>
      <c r="R50" s="142">
        <v>4.117955789999991</v>
      </c>
      <c r="S50" s="142">
        <v>5.8980976800000047</v>
      </c>
      <c r="T50" s="142">
        <v>6.2132705799999979</v>
      </c>
      <c r="U50" s="142">
        <v>6.6672474099999928</v>
      </c>
      <c r="V50" s="142">
        <v>7.0028902599999716</v>
      </c>
      <c r="W50" s="142">
        <v>8.9950535100000302</v>
      </c>
      <c r="X50" s="142">
        <v>7.6721354200000169</v>
      </c>
      <c r="Y50" s="142">
        <v>7.9312709200000038</v>
      </c>
      <c r="Z50" s="142">
        <v>9.9695526799999179</v>
      </c>
      <c r="AA50" s="142">
        <v>10.87137559000003</v>
      </c>
      <c r="AB50" s="142">
        <v>9.0221537799999929</v>
      </c>
      <c r="AC50" s="142">
        <v>7.5510322000000469</v>
      </c>
      <c r="AD50" s="142">
        <v>6.4804682199999997</v>
      </c>
      <c r="AE50" s="142">
        <v>5.6525607899999954</v>
      </c>
      <c r="AF50" s="142">
        <v>4.5417878099999873</v>
      </c>
      <c r="AG50" s="142">
        <v>5.4751713300000082</v>
      </c>
      <c r="AH50" s="142">
        <v>4.6775660000000014</v>
      </c>
      <c r="AI50" s="142">
        <v>5.6705490000000003</v>
      </c>
      <c r="AJ50" s="142">
        <v>5.21817654</v>
      </c>
      <c r="AK50" s="158">
        <v>6.3386483799999995</v>
      </c>
      <c r="AL50" s="186">
        <v>6.6627348099999999</v>
      </c>
      <c r="AM50" s="186">
        <v>7.9306112100000004</v>
      </c>
      <c r="AN50" s="186">
        <v>6.0192675800000002</v>
      </c>
      <c r="AO50" s="186">
        <v>5.7366205399999997</v>
      </c>
      <c r="AP50" s="186">
        <v>5.50613727</v>
      </c>
      <c r="AQ50" s="186">
        <v>7.1760809000000005</v>
      </c>
      <c r="AR50" s="186">
        <v>6.8262603300000002</v>
      </c>
      <c r="AS50" s="186">
        <v>6.1891321599999998</v>
      </c>
      <c r="AT50" s="186">
        <v>7.3404820599999994</v>
      </c>
      <c r="AU50" s="186">
        <v>17.52113361</v>
      </c>
      <c r="AV50" s="186">
        <v>3.0576569999999998</v>
      </c>
      <c r="AW50" s="186">
        <v>2.8586516800000004</v>
      </c>
      <c r="AX50" s="186">
        <v>5.5</v>
      </c>
      <c r="AY50" s="186">
        <v>6.7273244999999999</v>
      </c>
      <c r="AZ50" s="113">
        <v>6.8175208400000002</v>
      </c>
      <c r="BA50" s="113">
        <v>9.1625338000000003</v>
      </c>
      <c r="BB50" s="113">
        <v>11.67178919</v>
      </c>
      <c r="BC50" s="113">
        <v>9.4895912500000001</v>
      </c>
      <c r="BD50" s="113">
        <v>8.0135986199999891</v>
      </c>
      <c r="BE50" s="113">
        <v>10.282179720000022</v>
      </c>
      <c r="BF50" s="113">
        <v>9.5602411200000166</v>
      </c>
      <c r="BG50" s="113">
        <v>5.9871985900000002</v>
      </c>
      <c r="BH50" s="113">
        <v>1.9569865700000011</v>
      </c>
    </row>
    <row r="51" spans="1:60" x14ac:dyDescent="0.35">
      <c r="A51" s="143" t="str">
        <f>IF('Índice - Index'!$D$14="Português","91 a 120 dias","91 - 120 days")</f>
        <v>91 a 120 dias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42">
        <v>1.9987001700000002</v>
      </c>
      <c r="O51" s="142">
        <v>2.8595812699999978</v>
      </c>
      <c r="P51" s="142">
        <v>2.832952440000001</v>
      </c>
      <c r="Q51" s="142">
        <v>3.5721666299999906</v>
      </c>
      <c r="R51" s="142">
        <v>3.5098746900000051</v>
      </c>
      <c r="S51" s="142">
        <v>5.0981392500000018</v>
      </c>
      <c r="T51" s="142">
        <v>6.0392613100000183</v>
      </c>
      <c r="U51" s="142">
        <v>6.3447143100000023</v>
      </c>
      <c r="V51" s="142">
        <v>6.1380241999999905</v>
      </c>
      <c r="W51" s="142">
        <v>8.1228242699999882</v>
      </c>
      <c r="X51" s="142">
        <v>8.0063735599999966</v>
      </c>
      <c r="Y51" s="142">
        <v>7.4782521099999899</v>
      </c>
      <c r="Z51" s="142">
        <v>8.5001029000000514</v>
      </c>
      <c r="AA51" s="142">
        <v>11.070037200000021</v>
      </c>
      <c r="AB51" s="142">
        <v>9.4957060500000221</v>
      </c>
      <c r="AC51" s="142">
        <v>8.3378891499999881</v>
      </c>
      <c r="AD51" s="142">
        <v>5.81656715</v>
      </c>
      <c r="AE51" s="142">
        <v>5.0577938300000005</v>
      </c>
      <c r="AF51" s="142">
        <v>4.5086829799999917</v>
      </c>
      <c r="AG51" s="142">
        <v>4.9665967600000185</v>
      </c>
      <c r="AH51" s="142">
        <v>4.2502213600000047</v>
      </c>
      <c r="AI51" s="142">
        <v>4.9641859999999998</v>
      </c>
      <c r="AJ51" s="142">
        <v>5.0726544699999998</v>
      </c>
      <c r="AK51" s="158">
        <v>6.1263216199999997</v>
      </c>
      <c r="AL51" s="186">
        <v>5.9365792400000004</v>
      </c>
      <c r="AM51" s="186">
        <v>6.91566203</v>
      </c>
      <c r="AN51" s="186">
        <v>6.1794928899999997</v>
      </c>
      <c r="AO51" s="186">
        <v>5.5396109299999994</v>
      </c>
      <c r="AP51" s="186">
        <v>4.9759365400000002</v>
      </c>
      <c r="AQ51" s="186">
        <v>6.4074886600000003</v>
      </c>
      <c r="AR51" s="186">
        <v>7.19854225</v>
      </c>
      <c r="AS51" s="186">
        <v>6.1982005400000002</v>
      </c>
      <c r="AT51" s="186">
        <v>5.7403164000000002</v>
      </c>
      <c r="AU51" s="186">
        <v>15.316024220000001</v>
      </c>
      <c r="AV51" s="186">
        <v>4.7026245499999995</v>
      </c>
      <c r="AW51" s="186">
        <v>2.3990510499999997</v>
      </c>
      <c r="AX51" s="186">
        <v>3.7</v>
      </c>
      <c r="AY51" s="186">
        <v>7.1638322199999998</v>
      </c>
      <c r="AZ51" s="113">
        <v>6.09024565</v>
      </c>
      <c r="BA51" s="113">
        <v>5.96229546</v>
      </c>
      <c r="BB51" s="113">
        <v>9.5389200199999991</v>
      </c>
      <c r="BC51" s="113">
        <v>8.8230092899999999</v>
      </c>
      <c r="BD51" s="113">
        <v>7.1355315999999975</v>
      </c>
      <c r="BE51" s="113">
        <v>10.090308469999979</v>
      </c>
      <c r="BF51" s="113">
        <v>9.5187780800000112</v>
      </c>
      <c r="BG51" s="113">
        <v>7.346489349999997</v>
      </c>
      <c r="BH51" s="113">
        <v>2.4314860700000005</v>
      </c>
    </row>
    <row r="52" spans="1:60" x14ac:dyDescent="0.35">
      <c r="A52" s="143" t="str">
        <f>IF('Índice - Index'!$D$14="Português","121 a 150 dias","121 - 150 days")</f>
        <v>121 a 150 dias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42">
        <v>1.932061810000002</v>
      </c>
      <c r="O52" s="142">
        <v>2.612630129999987</v>
      </c>
      <c r="P52" s="142">
        <v>2.4829027299999922</v>
      </c>
      <c r="Q52" s="142">
        <v>3.3209386999999957</v>
      </c>
      <c r="R52" s="142">
        <v>3.4306708499999998</v>
      </c>
      <c r="S52" s="142">
        <v>4.7217303700000093</v>
      </c>
      <c r="T52" s="142">
        <v>5.3978689700000073</v>
      </c>
      <c r="U52" s="142">
        <v>5.7554204600000167</v>
      </c>
      <c r="V52" s="142">
        <v>5.8771742099999944</v>
      </c>
      <c r="W52" s="142">
        <v>7.4916525699999985</v>
      </c>
      <c r="X52" s="142">
        <v>7.4220938099999829</v>
      </c>
      <c r="Y52" s="142">
        <v>6.5279630300000049</v>
      </c>
      <c r="Z52" s="142">
        <v>7.6082024000000068</v>
      </c>
      <c r="AA52" s="142">
        <v>11.079494779999981</v>
      </c>
      <c r="AB52" s="142">
        <v>8.9755689499999818</v>
      </c>
      <c r="AC52" s="142">
        <v>8.2063961499999802</v>
      </c>
      <c r="AD52" s="142">
        <v>6.4175785599999928</v>
      </c>
      <c r="AE52" s="142">
        <v>5.5291809700000032</v>
      </c>
      <c r="AF52" s="142">
        <v>4.5073785200000014</v>
      </c>
      <c r="AG52" s="142">
        <v>4.2081044999999868</v>
      </c>
      <c r="AH52" s="142">
        <v>4.6647363299999949</v>
      </c>
      <c r="AI52" s="142">
        <v>5.3238260000000004</v>
      </c>
      <c r="AJ52" s="142">
        <v>4.5116447800000001</v>
      </c>
      <c r="AK52" s="158">
        <v>5.1821930599999995</v>
      </c>
      <c r="AL52" s="186">
        <v>5.7829432499999998</v>
      </c>
      <c r="AM52" s="186">
        <v>6.6398301599999998</v>
      </c>
      <c r="AN52" s="186">
        <v>6.3080528600000001</v>
      </c>
      <c r="AO52" s="186">
        <v>5.16518488</v>
      </c>
      <c r="AP52" s="186">
        <v>5.1362509999999997</v>
      </c>
      <c r="AQ52" s="186">
        <v>6.1309780999999992</v>
      </c>
      <c r="AR52" s="186">
        <v>6.0012003299999996</v>
      </c>
      <c r="AS52" s="186">
        <v>6.2301566199999998</v>
      </c>
      <c r="AT52" s="186">
        <v>6.0156429800000009</v>
      </c>
      <c r="AU52" s="186">
        <v>8.4226635200000004</v>
      </c>
      <c r="AV52" s="186">
        <v>6.2042909999999996</v>
      </c>
      <c r="AW52" s="186">
        <v>2.36694205</v>
      </c>
      <c r="AX52" s="186">
        <v>2.7</v>
      </c>
      <c r="AY52" s="186">
        <v>5.3873477000000003</v>
      </c>
      <c r="AZ52" s="113">
        <v>4.4625089299999994</v>
      </c>
      <c r="BA52" s="113">
        <v>3.7542678299999999</v>
      </c>
      <c r="BB52" s="113">
        <v>8.1844857599999994</v>
      </c>
      <c r="BC52" s="113">
        <v>11.05242634</v>
      </c>
      <c r="BD52" s="113">
        <v>6.0859613700000015</v>
      </c>
      <c r="BE52" s="113">
        <v>8.75724999</v>
      </c>
      <c r="BF52" s="113">
        <v>10.164207940000001</v>
      </c>
      <c r="BG52" s="113">
        <v>8.7104866600000044</v>
      </c>
      <c r="BH52" s="113">
        <v>3.1859721800000003</v>
      </c>
    </row>
    <row r="53" spans="1:60" x14ac:dyDescent="0.35">
      <c r="A53" s="143" t="str">
        <f>IF('Índice - Index'!$D$14="Português","151 a 180 dias","151 - 180 days")</f>
        <v>151 a 180 dias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42">
        <v>2.1789401900000018</v>
      </c>
      <c r="O53" s="142">
        <v>2.1210077300000041</v>
      </c>
      <c r="P53" s="142">
        <v>2.5507452699999957</v>
      </c>
      <c r="Q53" s="142">
        <v>2.7666572199999919</v>
      </c>
      <c r="R53" s="142">
        <v>3.2870390900000093</v>
      </c>
      <c r="S53" s="142">
        <v>3.5720846999999938</v>
      </c>
      <c r="T53" s="142">
        <v>5.0572827500000059</v>
      </c>
      <c r="U53" s="142">
        <v>5.2831943599999995</v>
      </c>
      <c r="V53" s="142">
        <v>5.5805664899999963</v>
      </c>
      <c r="W53" s="142">
        <v>6.1073141499999881</v>
      </c>
      <c r="X53" s="142">
        <v>7.1695951800000053</v>
      </c>
      <c r="Y53" s="142">
        <v>6.4066458000000059</v>
      </c>
      <c r="Z53" s="142">
        <v>6.8052311600000159</v>
      </c>
      <c r="AA53" s="142">
        <v>8.8971406999999552</v>
      </c>
      <c r="AB53" s="142">
        <v>9.5605243900000207</v>
      </c>
      <c r="AC53" s="142">
        <v>7.7328676300000296</v>
      </c>
      <c r="AD53" s="142">
        <v>6.4799184500000111</v>
      </c>
      <c r="AE53" s="142">
        <v>5.2713979899999943</v>
      </c>
      <c r="AF53" s="142">
        <v>4.5509598600000007</v>
      </c>
      <c r="AG53" s="142">
        <v>3.7573813699999929</v>
      </c>
      <c r="AH53" s="142">
        <v>4.5039603200000062</v>
      </c>
      <c r="AI53" s="142">
        <v>4.0874360000000003</v>
      </c>
      <c r="AJ53" s="142">
        <v>4.6658502000000004</v>
      </c>
      <c r="AK53" s="158">
        <v>4.3841224699999994</v>
      </c>
      <c r="AL53" s="186">
        <v>5.4268984500000004</v>
      </c>
      <c r="AM53" s="186">
        <v>5.8503419599999997</v>
      </c>
      <c r="AN53" s="186">
        <v>6.42149809</v>
      </c>
      <c r="AO53" s="186">
        <v>5.0132764400000003</v>
      </c>
      <c r="AP53" s="186">
        <v>4.7390908400000002</v>
      </c>
      <c r="AQ53" s="186">
        <v>4.7804447300000001</v>
      </c>
      <c r="AR53" s="186">
        <v>6.23230109</v>
      </c>
      <c r="AS53" s="186">
        <v>5.7921647400000005</v>
      </c>
      <c r="AT53" s="186">
        <v>5.3649958799999995</v>
      </c>
      <c r="AU53" s="186">
        <v>6.1087091900000008</v>
      </c>
      <c r="AV53" s="186">
        <v>11.790114050000001</v>
      </c>
      <c r="AW53" s="186">
        <v>2.6536687999999997</v>
      </c>
      <c r="AX53" s="186">
        <v>2.4</v>
      </c>
      <c r="AY53" s="186">
        <v>3.6868932400000003</v>
      </c>
      <c r="AZ53" s="113">
        <v>4.8950713300000004</v>
      </c>
      <c r="BA53" s="113">
        <v>3.3586322100000001</v>
      </c>
      <c r="BB53" s="113">
        <v>7.8535068299999997</v>
      </c>
      <c r="BC53" s="113">
        <v>10.16135742</v>
      </c>
      <c r="BD53" s="113">
        <v>7.6481925000000022</v>
      </c>
      <c r="BE53" s="113">
        <v>6.8892324699999836</v>
      </c>
      <c r="BF53" s="113">
        <v>8.6647024400000063</v>
      </c>
      <c r="BG53" s="113">
        <v>8.6548744099999979</v>
      </c>
      <c r="BH53" s="113">
        <v>4.8185965699999977</v>
      </c>
    </row>
    <row r="54" spans="1:60" x14ac:dyDescent="0.35">
      <c r="A54" s="143" t="str">
        <f>IF('Índice - Index'!$D$14="Português","181 a 240 dias","181 - 240 days")</f>
        <v>181 a 240 dias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142">
        <v>4.1400076800000116</v>
      </c>
      <c r="O54" s="142">
        <v>3.5543155700000075</v>
      </c>
      <c r="P54" s="142">
        <v>4.8968860299999983</v>
      </c>
      <c r="Q54" s="142">
        <v>4.5904222499999925</v>
      </c>
      <c r="R54" s="142">
        <v>6.0753174200000162</v>
      </c>
      <c r="S54" s="142">
        <v>6.0542589699999994</v>
      </c>
      <c r="T54" s="142">
        <v>8.5255708500000171</v>
      </c>
      <c r="U54" s="142">
        <v>9.8318391500000519</v>
      </c>
      <c r="V54" s="142">
        <v>10.457986679999994</v>
      </c>
      <c r="W54" s="142">
        <v>10.322337189999997</v>
      </c>
      <c r="X54" s="142">
        <v>13.556630559999983</v>
      </c>
      <c r="Y54" s="142">
        <v>12.885928169999943</v>
      </c>
      <c r="Z54" s="142">
        <v>12.059091059999981</v>
      </c>
      <c r="AA54" s="142">
        <v>13.803052920000006</v>
      </c>
      <c r="AB54" s="142">
        <v>19.267766470000069</v>
      </c>
      <c r="AC54" s="142">
        <v>15.590677890000016</v>
      </c>
      <c r="AD54" s="142">
        <v>13.982530419999934</v>
      </c>
      <c r="AE54" s="142">
        <v>10.313549149999963</v>
      </c>
      <c r="AF54" s="142">
        <v>8.634683230000034</v>
      </c>
      <c r="AG54" s="142">
        <v>7.3613231799999879</v>
      </c>
      <c r="AH54" s="142">
        <v>7.6485621899999856</v>
      </c>
      <c r="AI54" s="142">
        <v>7.429805</v>
      </c>
      <c r="AJ54" s="142">
        <v>8.8079636199999989</v>
      </c>
      <c r="AK54" s="158">
        <v>8.1063404900000009</v>
      </c>
      <c r="AL54" s="186">
        <v>9.5016835900000007</v>
      </c>
      <c r="AM54" s="186">
        <v>9.7238039500000006</v>
      </c>
      <c r="AN54" s="186">
        <v>11.486109870000002</v>
      </c>
      <c r="AO54" s="186">
        <v>10.22355583</v>
      </c>
      <c r="AP54" s="186">
        <v>8.9374395100000008</v>
      </c>
      <c r="AQ54" s="186">
        <v>8.3276569800000004</v>
      </c>
      <c r="AR54" s="186">
        <v>10.793985500000002</v>
      </c>
      <c r="AS54" s="186">
        <v>11.12</v>
      </c>
      <c r="AT54" s="186">
        <v>10.56737118</v>
      </c>
      <c r="AU54" s="186">
        <v>9.8819179699999999</v>
      </c>
      <c r="AV54" s="186">
        <v>16.611540160000001</v>
      </c>
      <c r="AW54" s="186">
        <v>6.7535989799999996</v>
      </c>
      <c r="AX54" s="186">
        <v>3.1</v>
      </c>
      <c r="AY54" s="186">
        <v>4.4860447400000005</v>
      </c>
      <c r="AZ54" s="113">
        <v>12.521400629999999</v>
      </c>
      <c r="BA54" s="113">
        <v>7.1619890299999991</v>
      </c>
      <c r="BB54" s="113">
        <v>9.57387473</v>
      </c>
      <c r="BC54" s="113">
        <v>16.004863440000001</v>
      </c>
      <c r="BD54" s="113">
        <v>17.879503959999994</v>
      </c>
      <c r="BE54" s="113">
        <v>5.0690178999999969</v>
      </c>
      <c r="BF54" s="113">
        <v>16.807460379999998</v>
      </c>
      <c r="BG54" s="113">
        <v>18.356793399999976</v>
      </c>
      <c r="BH54" s="113">
        <v>9.1862371700000018</v>
      </c>
    </row>
    <row r="55" spans="1:60" x14ac:dyDescent="0.35">
      <c r="A55" s="143" t="str">
        <f>IF('Índice - Index'!$D$14="Português","241 a 300 dias","241 - 300 days")</f>
        <v>241 a 300 dias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142">
        <v>3.5537690400000166</v>
      </c>
      <c r="O55" s="142">
        <v>4.0712303600000173</v>
      </c>
      <c r="P55" s="142">
        <v>3.6172512700000028</v>
      </c>
      <c r="Q55" s="142">
        <v>4.5506817400000115</v>
      </c>
      <c r="R55" s="142">
        <v>4.7546050700000055</v>
      </c>
      <c r="S55" s="142">
        <v>5.8285816900000027</v>
      </c>
      <c r="T55" s="142">
        <v>5.9331728700000026</v>
      </c>
      <c r="U55" s="142">
        <v>8.4718543400000126</v>
      </c>
      <c r="V55" s="142">
        <v>9.4878239200000252</v>
      </c>
      <c r="W55" s="142">
        <v>9.9021859200000151</v>
      </c>
      <c r="X55" s="142">
        <v>9.9242928099999652</v>
      </c>
      <c r="Y55" s="142">
        <v>12.551293189999967</v>
      </c>
      <c r="Z55" s="142">
        <v>11.769224339999939</v>
      </c>
      <c r="AA55" s="142">
        <v>12.038855429999979</v>
      </c>
      <c r="AB55" s="142">
        <v>14.238630010000005</v>
      </c>
      <c r="AC55" s="142">
        <v>16.797898880000076</v>
      </c>
      <c r="AD55" s="142">
        <v>13.943512950000025</v>
      </c>
      <c r="AE55" s="142">
        <v>12.061984339999947</v>
      </c>
      <c r="AF55" s="142">
        <v>8.7655553600000182</v>
      </c>
      <c r="AG55" s="142">
        <v>7.2128496199999974</v>
      </c>
      <c r="AH55" s="142">
        <v>6.2287706999999903</v>
      </c>
      <c r="AI55" s="142">
        <v>7.46943</v>
      </c>
      <c r="AJ55" s="142">
        <v>6.4383804000000007</v>
      </c>
      <c r="AK55" s="158">
        <v>7.5970865099999996</v>
      </c>
      <c r="AL55" s="186">
        <v>7.5897006900000008</v>
      </c>
      <c r="AM55" s="186">
        <v>9.016533690000001</v>
      </c>
      <c r="AN55" s="186">
        <v>8.7254371699999993</v>
      </c>
      <c r="AO55" s="186">
        <v>9.7455581700000007</v>
      </c>
      <c r="AP55" s="186">
        <v>8.1102094900000008</v>
      </c>
      <c r="AQ55" s="186">
        <v>7.9021783599999997</v>
      </c>
      <c r="AR55" s="186">
        <v>7.1817500499999998</v>
      </c>
      <c r="AS55" s="186">
        <v>9.92</v>
      </c>
      <c r="AT55" s="186">
        <v>10.044000610000001</v>
      </c>
      <c r="AU55" s="186">
        <v>8.8401487000000003</v>
      </c>
      <c r="AV55" s="186">
        <v>8.9624377300000013</v>
      </c>
      <c r="AW55" s="186">
        <v>16.357926749999997</v>
      </c>
      <c r="AX55" s="186">
        <v>3.5</v>
      </c>
      <c r="AY55" s="186">
        <v>3.0093201000000001</v>
      </c>
      <c r="AZ55" s="113">
        <v>5.5114093400000002</v>
      </c>
      <c r="BA55" s="113">
        <v>8.8795085900000004</v>
      </c>
      <c r="BB55" s="113">
        <v>7.2447119899999999</v>
      </c>
      <c r="BC55" s="113">
        <v>12.534549670000001</v>
      </c>
      <c r="BD55" s="113">
        <v>15.592282910000014</v>
      </c>
      <c r="BE55" s="113">
        <v>2.2004630100000004</v>
      </c>
      <c r="BF55" s="113">
        <v>9.6568132899999828</v>
      </c>
      <c r="BG55" s="113">
        <v>16.199052600000002</v>
      </c>
      <c r="BH55" s="113">
        <v>0.75841926999999998</v>
      </c>
    </row>
    <row r="56" spans="1:60" x14ac:dyDescent="0.35">
      <c r="A56" s="143" t="str">
        <f>IF('Índice - Index'!$D$14="Português","301 a 360 dias","301 - 360 days")</f>
        <v>301 a 360 dias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142">
        <v>3.3347668500000061</v>
      </c>
      <c r="O56" s="142">
        <v>3.408915430000008</v>
      </c>
      <c r="P56" s="142">
        <v>3.4443915600000117</v>
      </c>
      <c r="Q56" s="142">
        <v>4.0480089699999882</v>
      </c>
      <c r="R56" s="142">
        <v>4.1783548899999863</v>
      </c>
      <c r="S56" s="142">
        <v>5.1179529300000137</v>
      </c>
      <c r="T56" s="142">
        <v>5.5779143899999912</v>
      </c>
      <c r="U56" s="142">
        <v>7.0345088400000284</v>
      </c>
      <c r="V56" s="142">
        <v>8.6170000600000254</v>
      </c>
      <c r="W56" s="142">
        <v>9.0765695600000118</v>
      </c>
      <c r="X56" s="142">
        <v>9.2883466300000013</v>
      </c>
      <c r="Y56" s="142">
        <v>11.024451900000017</v>
      </c>
      <c r="Z56" s="142">
        <v>11.966462899999986</v>
      </c>
      <c r="AA56" s="142">
        <v>10.697152520000033</v>
      </c>
      <c r="AB56" s="142">
        <v>11.93765659000003</v>
      </c>
      <c r="AC56" s="142">
        <v>16.380889559999954</v>
      </c>
      <c r="AD56" s="142">
        <v>14.412170509999978</v>
      </c>
      <c r="AE56" s="142">
        <v>12.352338809999944</v>
      </c>
      <c r="AF56" s="142">
        <v>9.8920882799999781</v>
      </c>
      <c r="AG56" s="142">
        <v>7.809288379999999</v>
      </c>
      <c r="AH56" s="142">
        <v>6.6662462099999766</v>
      </c>
      <c r="AI56" s="142">
        <v>5.9085650000000003</v>
      </c>
      <c r="AJ56" s="142">
        <v>6.9296065100000002</v>
      </c>
      <c r="AK56" s="158">
        <v>7.3407810300000005</v>
      </c>
      <c r="AL56" s="186">
        <v>6.90300812</v>
      </c>
      <c r="AM56" s="186">
        <v>7.3407744099999999</v>
      </c>
      <c r="AN56" s="186">
        <v>8.0146059199999993</v>
      </c>
      <c r="AO56" s="186">
        <v>8.8355396200000005</v>
      </c>
      <c r="AP56" s="186">
        <v>8.7359904800000017</v>
      </c>
      <c r="AQ56" s="186">
        <v>7.4328248499999958</v>
      </c>
      <c r="AR56" s="186">
        <v>7.2781265800000003</v>
      </c>
      <c r="AS56" s="186">
        <v>8.14</v>
      </c>
      <c r="AT56" s="186">
        <v>9.155204159999986</v>
      </c>
      <c r="AU56" s="186">
        <v>8.2073256800000145</v>
      </c>
      <c r="AV56" s="186">
        <v>8.2151591699999891</v>
      </c>
      <c r="AW56" s="186">
        <v>9.3215616299999997</v>
      </c>
      <c r="AX56" s="186">
        <v>9.9</v>
      </c>
      <c r="AY56" s="186">
        <v>2.7149470899999999</v>
      </c>
      <c r="AZ56" s="113">
        <v>3.2717092499999998</v>
      </c>
      <c r="BA56" s="113">
        <v>7.7983220499999995</v>
      </c>
      <c r="BB56" s="113">
        <v>7.0037216899999999</v>
      </c>
      <c r="BC56" s="113">
        <v>6.5254939800000002</v>
      </c>
      <c r="BD56" s="113">
        <v>13.806960859999981</v>
      </c>
      <c r="BE56" s="113">
        <v>1.3530397399999994</v>
      </c>
      <c r="BF56" s="113">
        <v>2.3682837100000009</v>
      </c>
      <c r="BG56" s="113">
        <v>13.3883195</v>
      </c>
      <c r="BH56" s="113">
        <v>0.78678661000000005</v>
      </c>
    </row>
    <row r="57" spans="1:60" ht="3.75" customHeight="1" x14ac:dyDescent="0.35">
      <c r="A57" s="143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58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BA57" s="113"/>
      <c r="BB57" s="113"/>
      <c r="BC57" s="113"/>
      <c r="BD57" s="113">
        <v>7606709.7800000142</v>
      </c>
      <c r="BE57" s="113"/>
      <c r="BF57" s="113"/>
      <c r="BG57" s="113"/>
      <c r="BH57" s="113"/>
    </row>
    <row r="58" spans="1:60" x14ac:dyDescent="0.35">
      <c r="A58" s="143" t="str">
        <f>IF('Índice - Index'!$D$14="Português","Saldo da PDD","Allowance for Losses")</f>
        <v>Saldo da PDD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>
        <f>AB37</f>
        <v>-72.288745629999994</v>
      </c>
      <c r="AC58" s="142">
        <f t="shared" ref="AC58:AS58" si="22">AC37</f>
        <v>-71.900000000000006</v>
      </c>
      <c r="AD58" s="142">
        <f t="shared" si="22"/>
        <v>-60.388418600000001</v>
      </c>
      <c r="AE58" s="142">
        <f t="shared" si="22"/>
        <v>-50.078000000000003</v>
      </c>
      <c r="AF58" s="142">
        <f t="shared" si="22"/>
        <v>-40.515626140000002</v>
      </c>
      <c r="AG58" s="142">
        <f t="shared" si="22"/>
        <v>-35.1</v>
      </c>
      <c r="AH58" s="142">
        <f t="shared" si="22"/>
        <v>-33.708952689999997</v>
      </c>
      <c r="AI58" s="142">
        <f t="shared" si="22"/>
        <v>-34.869999999999997</v>
      </c>
      <c r="AJ58" s="142">
        <f t="shared" si="22"/>
        <v>-36.178673880000005</v>
      </c>
      <c r="AK58" s="142">
        <f t="shared" si="22"/>
        <v>-38.4</v>
      </c>
      <c r="AL58" s="142">
        <f t="shared" si="22"/>
        <v>-37.591868779999999</v>
      </c>
      <c r="AM58" s="142">
        <f t="shared" si="22"/>
        <v>-35.283999999999999</v>
      </c>
      <c r="AN58" s="142">
        <f t="shared" si="22"/>
        <v>-36.099999999999994</v>
      </c>
      <c r="AO58" s="142">
        <f t="shared" si="22"/>
        <v>-60.651999999999994</v>
      </c>
      <c r="AP58" s="142">
        <f t="shared" si="22"/>
        <v>-31.997637680000004</v>
      </c>
      <c r="AQ58" s="142">
        <f t="shared" si="22"/>
        <v>-3.6589999999999989</v>
      </c>
      <c r="AR58" s="142">
        <f t="shared" si="22"/>
        <v>-2.6410000000000053</v>
      </c>
      <c r="AS58" s="142">
        <f t="shared" si="22"/>
        <v>-35.013999999999996</v>
      </c>
      <c r="AT58" s="142">
        <f t="shared" ref="AT58:AY58" si="23">AT37</f>
        <v>-35.146999999999998</v>
      </c>
      <c r="AU58" s="142">
        <f t="shared" si="23"/>
        <v>-36.869</v>
      </c>
      <c r="AV58" s="142">
        <f t="shared" si="23"/>
        <v>-36.177</v>
      </c>
      <c r="AW58" s="142">
        <f t="shared" si="23"/>
        <v>-27.718999999999998</v>
      </c>
      <c r="AX58" s="142">
        <f t="shared" si="23"/>
        <v>-17.470185000000001</v>
      </c>
      <c r="AY58" s="142">
        <f t="shared" si="23"/>
        <v>-17.168999999999997</v>
      </c>
      <c r="AZ58" s="224">
        <f>AZ37</f>
        <v>-22.246000000000002</v>
      </c>
      <c r="BA58" s="224">
        <f>BA37</f>
        <v>-26.039000000000001</v>
      </c>
      <c r="BB58" s="224">
        <f t="shared" ref="BB58:BG58" si="24">BB37</f>
        <v>-29.383999999999997</v>
      </c>
      <c r="BC58" s="224">
        <f t="shared" si="24"/>
        <v>-35.807000000000002</v>
      </c>
      <c r="BD58" s="224">
        <f t="shared" si="24"/>
        <v>-37.363</v>
      </c>
      <c r="BE58" s="224">
        <f t="shared" ref="BE58" si="25">BE37</f>
        <v>-30.084</v>
      </c>
      <c r="BF58" s="224">
        <f t="shared" si="24"/>
        <v>-41.588999999999999</v>
      </c>
      <c r="BG58" s="224">
        <f t="shared" si="24"/>
        <v>-46.552999999999997</v>
      </c>
      <c r="BH58" s="224">
        <f t="shared" ref="BH58" si="26">BH37</f>
        <v>-13.587</v>
      </c>
    </row>
    <row r="59" spans="1:60" ht="3.75" customHeight="1" x14ac:dyDescent="0.35">
      <c r="A59" s="143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42"/>
      <c r="O59" s="142"/>
      <c r="P59" s="142"/>
      <c r="Q59" s="142"/>
      <c r="R59" s="142"/>
      <c r="S59" s="142"/>
      <c r="T59" s="155"/>
      <c r="U59" s="155"/>
      <c r="V59" s="155"/>
      <c r="W59" s="155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</row>
    <row r="60" spans="1:60" x14ac:dyDescent="0.35">
      <c r="A60" s="145" t="s">
        <v>6</v>
      </c>
      <c r="B60" s="146"/>
      <c r="C60" s="146"/>
      <c r="D60" s="146"/>
      <c r="E60" s="146"/>
      <c r="F60" s="146"/>
      <c r="G60" s="146"/>
      <c r="H60" s="146"/>
      <c r="I60" s="147"/>
      <c r="J60" s="147"/>
      <c r="K60" s="147"/>
      <c r="L60" s="147"/>
      <c r="M60" s="147"/>
      <c r="N60" s="147">
        <f t="shared" ref="N60:AK60" si="27">N45+N47</f>
        <v>66.03408003000014</v>
      </c>
      <c r="O60" s="147">
        <f t="shared" si="27"/>
        <v>75.492983130000056</v>
      </c>
      <c r="P60" s="147">
        <f t="shared" si="27"/>
        <v>87.009979700000983</v>
      </c>
      <c r="Q60" s="147">
        <f t="shared" si="27"/>
        <v>93.198081410000128</v>
      </c>
      <c r="R60" s="147">
        <f t="shared" si="27"/>
        <v>121.03559034999955</v>
      </c>
      <c r="S60" s="147">
        <f t="shared" si="27"/>
        <v>145.63238597000137</v>
      </c>
      <c r="T60" s="147">
        <f t="shared" si="27"/>
        <v>157.14015890999968</v>
      </c>
      <c r="U60" s="147">
        <f t="shared" si="27"/>
        <v>160.83384231000045</v>
      </c>
      <c r="V60" s="147">
        <f t="shared" si="27"/>
        <v>180.54216875999998</v>
      </c>
      <c r="W60" s="147">
        <f t="shared" si="27"/>
        <v>196.4782101100011</v>
      </c>
      <c r="X60" s="147">
        <f t="shared" si="27"/>
        <v>201.42568062000026</v>
      </c>
      <c r="Y60" s="147">
        <f t="shared" si="27"/>
        <v>200.65184109000091</v>
      </c>
      <c r="Z60" s="147">
        <f t="shared" si="27"/>
        <v>220.37360796000019</v>
      </c>
      <c r="AA60" s="147">
        <f t="shared" si="27"/>
        <v>216.71280145000003</v>
      </c>
      <c r="AB60" s="147">
        <f t="shared" si="27"/>
        <v>210.48159943000076</v>
      </c>
      <c r="AC60" s="147">
        <f t="shared" si="27"/>
        <v>184.11223983999994</v>
      </c>
      <c r="AD60" s="147">
        <f t="shared" si="27"/>
        <v>160.74709051000005</v>
      </c>
      <c r="AE60" s="147">
        <f t="shared" si="27"/>
        <v>147.07945980000019</v>
      </c>
      <c r="AF60" s="147">
        <f t="shared" si="27"/>
        <v>145.69768514999922</v>
      </c>
      <c r="AG60" s="147">
        <f t="shared" si="27"/>
        <v>132.80508683000045</v>
      </c>
      <c r="AH60" s="148">
        <f t="shared" si="27"/>
        <v>141.85981718000113</v>
      </c>
      <c r="AI60" s="148">
        <f t="shared" si="27"/>
        <v>149.580161</v>
      </c>
      <c r="AJ60" s="148">
        <f t="shared" si="27"/>
        <v>160.15854163</v>
      </c>
      <c r="AK60" s="148">
        <f t="shared" si="27"/>
        <v>158.82193752000001</v>
      </c>
      <c r="AL60" s="148">
        <f t="shared" ref="AL60:AZ60" si="28">AL45+AL47</f>
        <v>173.03308604</v>
      </c>
      <c r="AM60" s="148">
        <f t="shared" si="28"/>
        <v>173.41324158999998</v>
      </c>
      <c r="AN60" s="148">
        <f t="shared" si="28"/>
        <v>175.80192162999998</v>
      </c>
      <c r="AO60" s="148">
        <f t="shared" si="28"/>
        <v>162.52073031</v>
      </c>
      <c r="AP60" s="148">
        <f t="shared" si="28"/>
        <v>171.65153980000002</v>
      </c>
      <c r="AQ60" s="148">
        <f t="shared" si="28"/>
        <v>178.09449372</v>
      </c>
      <c r="AR60" s="148">
        <f t="shared" si="28"/>
        <v>182.73882470000001</v>
      </c>
      <c r="AS60" s="148">
        <f t="shared" si="28"/>
        <v>178.19814839</v>
      </c>
      <c r="AT60" s="148">
        <f t="shared" si="28"/>
        <v>196.11356735999999</v>
      </c>
      <c r="AU60" s="148">
        <f t="shared" si="28"/>
        <v>146.81091230000001</v>
      </c>
      <c r="AV60" s="148">
        <f t="shared" si="28"/>
        <v>126.8283215</v>
      </c>
      <c r="AW60" s="148">
        <f t="shared" si="28"/>
        <v>123.78353602999999</v>
      </c>
      <c r="AX60" s="148">
        <f t="shared" si="28"/>
        <v>134.4</v>
      </c>
      <c r="AY60" s="148">
        <f t="shared" si="28"/>
        <v>126.36585135999999</v>
      </c>
      <c r="AZ60" s="148">
        <f t="shared" si="28"/>
        <v>157.52599241000001</v>
      </c>
      <c r="BA60" s="148">
        <f t="shared" ref="BA60:BG60" si="29">BA45+BA47</f>
        <v>185.70364333999999</v>
      </c>
      <c r="BB60" s="148">
        <f t="shared" si="29"/>
        <v>201.33136662999999</v>
      </c>
      <c r="BC60" s="148">
        <f t="shared" si="29"/>
        <v>187.3852943</v>
      </c>
      <c r="BD60" s="148">
        <f t="shared" si="29"/>
        <v>192.15244779000147</v>
      </c>
      <c r="BE60" s="148">
        <f t="shared" ref="BE60" si="30">BE45+BE47</f>
        <v>152.10083892000128</v>
      </c>
      <c r="BF60" s="148">
        <f t="shared" si="29"/>
        <v>140.39057349000004</v>
      </c>
      <c r="BG60" s="148">
        <f t="shared" si="29"/>
        <v>114.80230295000001</v>
      </c>
      <c r="BH60" s="148">
        <f t="shared" ref="BH60" si="31">BH45+BH47</f>
        <v>40.13905713000004</v>
      </c>
    </row>
    <row r="61" spans="1:60" x14ac:dyDescent="0.35">
      <c r="A61" s="157"/>
      <c r="B61" s="149"/>
      <c r="C61" s="149"/>
      <c r="D61" s="149"/>
      <c r="E61" s="149"/>
      <c r="F61" s="149"/>
      <c r="G61" s="149"/>
      <c r="H61" s="149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J61" s="38"/>
      <c r="AK61" s="38"/>
    </row>
    <row r="64" spans="1:60" x14ac:dyDescent="0.35">
      <c r="AE64" s="113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3C5C-FB39-40E5-A8DF-7F405CDC612E}">
  <sheetPr>
    <tabColor theme="1" tint="0.499984740745262"/>
  </sheetPr>
  <dimension ref="B1:J254"/>
  <sheetViews>
    <sheetView showGridLines="0" tabSelected="1" zoomScale="90" zoomScaleNormal="90" workbookViewId="0">
      <pane ySplit="1" topLeftCell="A2" activePane="bottomLeft" state="frozen"/>
      <selection pane="bottomLeft" activeCell="B1" sqref="B1"/>
    </sheetView>
  </sheetViews>
  <sheetFormatPr defaultColWidth="9.1796875" defaultRowHeight="14.5" x14ac:dyDescent="0.35"/>
  <cols>
    <col min="1" max="1" width="10.81640625" style="199" customWidth="1"/>
    <col min="2" max="2" width="11.1796875" style="199" customWidth="1"/>
    <col min="3" max="3" width="39.1796875" style="199" bestFit="1" customWidth="1"/>
    <col min="4" max="4" width="14.453125" style="199" customWidth="1"/>
    <col min="5" max="5" width="19.81640625" style="199" bestFit="1" customWidth="1"/>
    <col min="6" max="6" width="11" style="199" customWidth="1"/>
    <col min="7" max="7" width="27.1796875" style="199" bestFit="1" customWidth="1"/>
    <col min="8" max="8" width="39.453125" style="199" bestFit="1" customWidth="1"/>
    <col min="9" max="9" width="17.1796875" style="199" customWidth="1"/>
    <col min="10" max="10" width="17.453125" style="199" bestFit="1" customWidth="1"/>
    <col min="11" max="16384" width="9.1796875" style="199"/>
  </cols>
  <sheetData>
    <row r="1" spans="2:10" s="203" customFormat="1" ht="21" customHeight="1" x14ac:dyDescent="0.3">
      <c r="B1" s="200" t="s">
        <v>41</v>
      </c>
      <c r="C1" s="200" t="s">
        <v>42</v>
      </c>
      <c r="D1" s="200" t="s">
        <v>43</v>
      </c>
      <c r="E1" s="200" t="s">
        <v>44</v>
      </c>
      <c r="F1" s="200" t="s">
        <v>45</v>
      </c>
      <c r="G1" s="200" t="s">
        <v>46</v>
      </c>
      <c r="H1" s="200" t="s">
        <v>47</v>
      </c>
      <c r="I1" s="200" t="s">
        <v>48</v>
      </c>
      <c r="J1" s="200" t="s">
        <v>28</v>
      </c>
    </row>
    <row r="2" spans="2:10" x14ac:dyDescent="0.35">
      <c r="B2" s="204">
        <v>22</v>
      </c>
      <c r="C2" s="204" t="s">
        <v>55</v>
      </c>
      <c r="D2" s="204" t="s">
        <v>56</v>
      </c>
      <c r="E2" s="204" t="s">
        <v>57</v>
      </c>
      <c r="F2" s="204" t="s">
        <v>58</v>
      </c>
      <c r="G2" s="204" t="s">
        <v>59</v>
      </c>
      <c r="H2" s="204" t="s">
        <v>60</v>
      </c>
      <c r="I2" s="261">
        <v>25204</v>
      </c>
      <c r="J2" s="205">
        <v>1292.7766999999999</v>
      </c>
    </row>
    <row r="3" spans="2:10" x14ac:dyDescent="0.35">
      <c r="B3" s="204">
        <v>43</v>
      </c>
      <c r="C3" s="204" t="s">
        <v>61</v>
      </c>
      <c r="D3" s="204" t="s">
        <v>56</v>
      </c>
      <c r="E3" s="204" t="s">
        <v>62</v>
      </c>
      <c r="F3" s="204" t="s">
        <v>63</v>
      </c>
      <c r="G3" s="204" t="s">
        <v>61</v>
      </c>
      <c r="H3" s="204" t="s">
        <v>64</v>
      </c>
      <c r="I3" s="261">
        <v>27522</v>
      </c>
      <c r="J3" s="205">
        <v>1147.0410999999999</v>
      </c>
    </row>
    <row r="4" spans="2:10" x14ac:dyDescent="0.35">
      <c r="B4" s="204">
        <v>80</v>
      </c>
      <c r="C4" s="204" t="s">
        <v>65</v>
      </c>
      <c r="D4" s="204" t="s">
        <v>56</v>
      </c>
      <c r="E4" s="204" t="s">
        <v>66</v>
      </c>
      <c r="F4" s="204" t="s">
        <v>67</v>
      </c>
      <c r="G4" s="204" t="s">
        <v>65</v>
      </c>
      <c r="H4" s="204" t="s">
        <v>68</v>
      </c>
      <c r="I4" s="261">
        <v>30936</v>
      </c>
      <c r="J4" s="205">
        <v>1154.7883999999999</v>
      </c>
    </row>
    <row r="5" spans="2:10" x14ac:dyDescent="0.35">
      <c r="B5" s="204">
        <v>87</v>
      </c>
      <c r="C5" s="204" t="s">
        <v>69</v>
      </c>
      <c r="D5" s="204" t="s">
        <v>56</v>
      </c>
      <c r="E5" s="204" t="s">
        <v>66</v>
      </c>
      <c r="F5" s="204" t="s">
        <v>70</v>
      </c>
      <c r="G5" s="204" t="s">
        <v>71</v>
      </c>
      <c r="H5" s="204" t="s">
        <v>72</v>
      </c>
      <c r="I5" s="261">
        <v>31524</v>
      </c>
      <c r="J5" s="205">
        <v>1121.9168</v>
      </c>
    </row>
    <row r="6" spans="2:10" x14ac:dyDescent="0.35">
      <c r="B6" s="204">
        <v>120</v>
      </c>
      <c r="C6" s="204" t="s">
        <v>74</v>
      </c>
      <c r="D6" s="204" t="s">
        <v>56</v>
      </c>
      <c r="E6" s="204" t="s">
        <v>66</v>
      </c>
      <c r="F6" s="204" t="s">
        <v>75</v>
      </c>
      <c r="G6" s="204" t="s">
        <v>76</v>
      </c>
      <c r="H6" s="204" t="s">
        <v>77</v>
      </c>
      <c r="I6" s="261">
        <v>33880</v>
      </c>
      <c r="J6" s="205">
        <v>510.60980000000001</v>
      </c>
    </row>
    <row r="7" spans="2:10" x14ac:dyDescent="0.35">
      <c r="B7" s="204">
        <v>125</v>
      </c>
      <c r="C7" s="204" t="s">
        <v>78</v>
      </c>
      <c r="D7" s="204" t="s">
        <v>56</v>
      </c>
      <c r="E7" s="204" t="s">
        <v>66</v>
      </c>
      <c r="F7" s="204" t="s">
        <v>79</v>
      </c>
      <c r="G7" s="204" t="s">
        <v>80</v>
      </c>
      <c r="H7" s="204" t="s">
        <v>81</v>
      </c>
      <c r="I7" s="261">
        <v>34478</v>
      </c>
      <c r="J7" s="205">
        <v>1136.4422</v>
      </c>
    </row>
    <row r="8" spans="2:10" x14ac:dyDescent="0.35">
      <c r="B8" s="204">
        <v>130</v>
      </c>
      <c r="C8" s="204" t="s">
        <v>82</v>
      </c>
      <c r="D8" s="204" t="s">
        <v>56</v>
      </c>
      <c r="E8" s="204" t="s">
        <v>57</v>
      </c>
      <c r="F8" s="204" t="s">
        <v>83</v>
      </c>
      <c r="G8" s="204" t="s">
        <v>82</v>
      </c>
      <c r="H8" s="204" t="s">
        <v>84</v>
      </c>
      <c r="I8" s="261">
        <v>34611</v>
      </c>
      <c r="J8" s="205">
        <v>979.77819999999997</v>
      </c>
    </row>
    <row r="9" spans="2:10" x14ac:dyDescent="0.35">
      <c r="B9" s="204">
        <v>133</v>
      </c>
      <c r="C9" s="204" t="s">
        <v>85</v>
      </c>
      <c r="D9" s="204" t="s">
        <v>86</v>
      </c>
      <c r="E9" s="204" t="s">
        <v>62</v>
      </c>
      <c r="F9" s="204" t="s">
        <v>63</v>
      </c>
      <c r="G9" s="204" t="s">
        <v>73</v>
      </c>
      <c r="H9" s="204" t="s">
        <v>87</v>
      </c>
      <c r="I9" s="261">
        <v>34823</v>
      </c>
      <c r="J9" s="205">
        <v>1865.68</v>
      </c>
    </row>
    <row r="10" spans="2:10" x14ac:dyDescent="0.35">
      <c r="B10" s="204">
        <v>135</v>
      </c>
      <c r="C10" s="204" t="s">
        <v>88</v>
      </c>
      <c r="D10" s="204" t="s">
        <v>86</v>
      </c>
      <c r="E10" s="204" t="s">
        <v>57</v>
      </c>
      <c r="F10" s="204" t="s">
        <v>83</v>
      </c>
      <c r="G10" s="204" t="s">
        <v>89</v>
      </c>
      <c r="H10" s="204" t="s">
        <v>90</v>
      </c>
      <c r="I10" s="261">
        <v>34856</v>
      </c>
      <c r="J10" s="205">
        <v>1003</v>
      </c>
    </row>
    <row r="11" spans="2:10" x14ac:dyDescent="0.35">
      <c r="B11" s="204">
        <v>136</v>
      </c>
      <c r="C11" s="204" t="s">
        <v>91</v>
      </c>
      <c r="D11" s="204" t="s">
        <v>86</v>
      </c>
      <c r="E11" s="204" t="s">
        <v>62</v>
      </c>
      <c r="F11" s="204" t="s">
        <v>63</v>
      </c>
      <c r="G11" s="204" t="s">
        <v>92</v>
      </c>
      <c r="H11" s="204" t="s">
        <v>93</v>
      </c>
      <c r="I11" s="261">
        <v>34914</v>
      </c>
      <c r="J11" s="205">
        <v>1266.9670000000001</v>
      </c>
    </row>
    <row r="12" spans="2:10" x14ac:dyDescent="0.35">
      <c r="B12" s="204">
        <v>140</v>
      </c>
      <c r="C12" s="204" t="s">
        <v>94</v>
      </c>
      <c r="D12" s="204" t="s">
        <v>86</v>
      </c>
      <c r="E12" s="204" t="s">
        <v>66</v>
      </c>
      <c r="F12" s="204" t="s">
        <v>95</v>
      </c>
      <c r="G12" s="204" t="s">
        <v>96</v>
      </c>
      <c r="H12" s="204" t="s">
        <v>97</v>
      </c>
      <c r="I12" s="261">
        <v>35010</v>
      </c>
      <c r="J12" s="205">
        <v>1456.5898</v>
      </c>
    </row>
    <row r="13" spans="2:10" x14ac:dyDescent="0.35">
      <c r="B13" s="204">
        <v>142</v>
      </c>
      <c r="C13" s="204" t="s">
        <v>98</v>
      </c>
      <c r="D13" s="204" t="s">
        <v>86</v>
      </c>
      <c r="E13" s="204" t="s">
        <v>62</v>
      </c>
      <c r="F13" s="204" t="s">
        <v>99</v>
      </c>
      <c r="G13" s="204" t="s">
        <v>100</v>
      </c>
      <c r="H13" s="204" t="s">
        <v>101</v>
      </c>
      <c r="I13" s="261">
        <v>35257</v>
      </c>
      <c r="J13" s="205">
        <v>1380.5695000000001</v>
      </c>
    </row>
    <row r="14" spans="2:10" x14ac:dyDescent="0.35">
      <c r="B14" s="204">
        <v>148</v>
      </c>
      <c r="C14" s="204" t="s">
        <v>102</v>
      </c>
      <c r="D14" s="204" t="s">
        <v>86</v>
      </c>
      <c r="E14" s="204" t="s">
        <v>62</v>
      </c>
      <c r="F14" s="204" t="s">
        <v>63</v>
      </c>
      <c r="G14" s="204" t="s">
        <v>103</v>
      </c>
      <c r="H14" s="204" t="s">
        <v>104</v>
      </c>
      <c r="I14" s="261">
        <v>35187</v>
      </c>
      <c r="J14" s="205">
        <v>712.9402</v>
      </c>
    </row>
    <row r="15" spans="2:10" x14ac:dyDescent="0.35">
      <c r="B15" s="204">
        <v>150</v>
      </c>
      <c r="C15" s="204" t="s">
        <v>105</v>
      </c>
      <c r="D15" s="204" t="s">
        <v>86</v>
      </c>
      <c r="E15" s="204" t="s">
        <v>106</v>
      </c>
      <c r="F15" s="204" t="s">
        <v>107</v>
      </c>
      <c r="G15" s="204" t="s">
        <v>108</v>
      </c>
      <c r="H15" s="204" t="s">
        <v>109</v>
      </c>
      <c r="I15" s="261">
        <v>35766</v>
      </c>
      <c r="J15" s="205">
        <v>382.52539999999999</v>
      </c>
    </row>
    <row r="16" spans="2:10" x14ac:dyDescent="0.35">
      <c r="B16" s="204">
        <v>160</v>
      </c>
      <c r="C16" s="204" t="s">
        <v>110</v>
      </c>
      <c r="D16" s="204" t="s">
        <v>86</v>
      </c>
      <c r="E16" s="204" t="s">
        <v>66</v>
      </c>
      <c r="F16" s="204" t="s">
        <v>70</v>
      </c>
      <c r="G16" s="204" t="s">
        <v>71</v>
      </c>
      <c r="H16" s="204" t="s">
        <v>111</v>
      </c>
      <c r="I16" s="261">
        <v>35488</v>
      </c>
      <c r="J16" s="205">
        <v>635.04269999999997</v>
      </c>
    </row>
    <row r="17" spans="2:10" x14ac:dyDescent="0.35">
      <c r="B17" s="204">
        <v>165</v>
      </c>
      <c r="C17" s="204" t="s">
        <v>112</v>
      </c>
      <c r="D17" s="204" t="s">
        <v>86</v>
      </c>
      <c r="E17" s="204" t="s">
        <v>62</v>
      </c>
      <c r="F17" s="204" t="s">
        <v>63</v>
      </c>
      <c r="G17" s="204" t="s">
        <v>113</v>
      </c>
      <c r="H17" s="204" t="s">
        <v>114</v>
      </c>
      <c r="I17" s="261">
        <v>35710</v>
      </c>
      <c r="J17" s="205">
        <v>1097.1655000000001</v>
      </c>
    </row>
    <row r="18" spans="2:10" x14ac:dyDescent="0.35">
      <c r="B18" s="204">
        <v>171</v>
      </c>
      <c r="C18" s="204" t="s">
        <v>115</v>
      </c>
      <c r="D18" s="204" t="s">
        <v>86</v>
      </c>
      <c r="E18" s="204" t="s">
        <v>57</v>
      </c>
      <c r="F18" s="204" t="s">
        <v>83</v>
      </c>
      <c r="G18" s="204" t="s">
        <v>116</v>
      </c>
      <c r="H18" s="204" t="s">
        <v>117</v>
      </c>
      <c r="I18" s="261">
        <v>35766</v>
      </c>
      <c r="J18" s="205">
        <v>1059.3404</v>
      </c>
    </row>
    <row r="19" spans="2:10" x14ac:dyDescent="0.35">
      <c r="B19" s="204">
        <v>176</v>
      </c>
      <c r="C19" s="204" t="s">
        <v>118</v>
      </c>
      <c r="D19" s="204" t="s">
        <v>86</v>
      </c>
      <c r="E19" s="204" t="s">
        <v>62</v>
      </c>
      <c r="F19" s="204" t="s">
        <v>63</v>
      </c>
      <c r="G19" s="204" t="s">
        <v>119</v>
      </c>
      <c r="H19" s="204" t="s">
        <v>120</v>
      </c>
      <c r="I19" s="261">
        <v>36123</v>
      </c>
      <c r="J19" s="205">
        <v>1294.7175999999999</v>
      </c>
    </row>
    <row r="20" spans="2:10" x14ac:dyDescent="0.35">
      <c r="B20" s="204">
        <v>178</v>
      </c>
      <c r="C20" s="204" t="s">
        <v>121</v>
      </c>
      <c r="D20" s="204" t="s">
        <v>86</v>
      </c>
      <c r="E20" s="204" t="s">
        <v>106</v>
      </c>
      <c r="F20" s="204" t="s">
        <v>122</v>
      </c>
      <c r="G20" s="204" t="s">
        <v>123</v>
      </c>
      <c r="H20" s="204" t="s">
        <v>124</v>
      </c>
      <c r="I20" s="261">
        <v>36132</v>
      </c>
      <c r="J20" s="205">
        <v>1133.5643</v>
      </c>
    </row>
    <row r="21" spans="2:10" x14ac:dyDescent="0.35">
      <c r="B21" s="204">
        <v>180</v>
      </c>
      <c r="C21" s="204" t="s">
        <v>125</v>
      </c>
      <c r="D21" s="204" t="s">
        <v>86</v>
      </c>
      <c r="E21" s="204" t="s">
        <v>62</v>
      </c>
      <c r="F21" s="204" t="s">
        <v>63</v>
      </c>
      <c r="G21" s="204" t="s">
        <v>126</v>
      </c>
      <c r="H21" s="204" t="s">
        <v>127</v>
      </c>
      <c r="I21" s="261">
        <v>36405</v>
      </c>
      <c r="J21" s="205">
        <v>1356.7118</v>
      </c>
    </row>
    <row r="22" spans="2:10" x14ac:dyDescent="0.35">
      <c r="B22" s="204">
        <v>196</v>
      </c>
      <c r="C22" s="204" t="s">
        <v>128</v>
      </c>
      <c r="D22" s="204" t="s">
        <v>86</v>
      </c>
      <c r="E22" s="204" t="s">
        <v>66</v>
      </c>
      <c r="F22" s="204" t="s">
        <v>67</v>
      </c>
      <c r="G22" s="204" t="s">
        <v>129</v>
      </c>
      <c r="H22" s="204" t="s">
        <v>130</v>
      </c>
      <c r="I22" s="261">
        <v>38594</v>
      </c>
      <c r="J22" s="205">
        <v>1559.9333999999999</v>
      </c>
    </row>
    <row r="23" spans="2:10" x14ac:dyDescent="0.35">
      <c r="B23" s="204">
        <v>508</v>
      </c>
      <c r="C23" s="204" t="s">
        <v>131</v>
      </c>
      <c r="D23" s="204" t="s">
        <v>86</v>
      </c>
      <c r="E23" s="204" t="s">
        <v>106</v>
      </c>
      <c r="F23" s="204" t="s">
        <v>107</v>
      </c>
      <c r="G23" s="204" t="s">
        <v>108</v>
      </c>
      <c r="H23" s="204" t="s">
        <v>132</v>
      </c>
      <c r="I23" s="261">
        <v>36496</v>
      </c>
      <c r="J23" s="205">
        <v>1264.6524999999999</v>
      </c>
    </row>
    <row r="24" spans="2:10" x14ac:dyDescent="0.35">
      <c r="B24" s="204">
        <v>510</v>
      </c>
      <c r="C24" s="204" t="s">
        <v>133</v>
      </c>
      <c r="D24" s="204" t="s">
        <v>86</v>
      </c>
      <c r="E24" s="204" t="s">
        <v>62</v>
      </c>
      <c r="F24" s="204" t="s">
        <v>63</v>
      </c>
      <c r="G24" s="204" t="s">
        <v>73</v>
      </c>
      <c r="H24" s="204" t="s">
        <v>134</v>
      </c>
      <c r="I24" s="261">
        <v>36489</v>
      </c>
      <c r="J24" s="205">
        <v>2470.21</v>
      </c>
    </row>
    <row r="25" spans="2:10" x14ac:dyDescent="0.35">
      <c r="B25" s="204">
        <v>511</v>
      </c>
      <c r="C25" s="204" t="s">
        <v>135</v>
      </c>
      <c r="D25" s="204" t="s">
        <v>86</v>
      </c>
      <c r="E25" s="204" t="s">
        <v>62</v>
      </c>
      <c r="F25" s="204" t="s">
        <v>63</v>
      </c>
      <c r="G25" s="204" t="s">
        <v>73</v>
      </c>
      <c r="H25" s="204" t="s">
        <v>136</v>
      </c>
      <c r="I25" s="261">
        <v>36489</v>
      </c>
      <c r="J25" s="205">
        <v>1313.0328999999999</v>
      </c>
    </row>
    <row r="26" spans="2:10" x14ac:dyDescent="0.35">
      <c r="B26" s="204">
        <v>512</v>
      </c>
      <c r="C26" s="204" t="s">
        <v>137</v>
      </c>
      <c r="D26" s="204" t="s">
        <v>56</v>
      </c>
      <c r="E26" s="204" t="s">
        <v>106</v>
      </c>
      <c r="F26" s="204" t="s">
        <v>138</v>
      </c>
      <c r="G26" s="204" t="s">
        <v>137</v>
      </c>
      <c r="H26" s="204" t="s">
        <v>139</v>
      </c>
      <c r="I26" s="261">
        <v>36678</v>
      </c>
      <c r="J26" s="205">
        <v>1359.8461</v>
      </c>
    </row>
    <row r="27" spans="2:10" x14ac:dyDescent="0.35">
      <c r="B27" s="204">
        <v>513</v>
      </c>
      <c r="C27" s="204" t="s">
        <v>140</v>
      </c>
      <c r="D27" s="204" t="s">
        <v>56</v>
      </c>
      <c r="E27" s="204" t="s">
        <v>141</v>
      </c>
      <c r="F27" s="204" t="s">
        <v>142</v>
      </c>
      <c r="G27" s="204" t="s">
        <v>140</v>
      </c>
      <c r="H27" s="204" t="s">
        <v>143</v>
      </c>
      <c r="I27" s="261">
        <v>36650</v>
      </c>
      <c r="J27" s="205">
        <v>2007.8185000000001</v>
      </c>
    </row>
    <row r="28" spans="2:10" x14ac:dyDescent="0.35">
      <c r="B28" s="204">
        <v>514</v>
      </c>
      <c r="C28" s="204" t="s">
        <v>144</v>
      </c>
      <c r="D28" s="204" t="s">
        <v>56</v>
      </c>
      <c r="E28" s="204" t="s">
        <v>141</v>
      </c>
      <c r="F28" s="204" t="s">
        <v>145</v>
      </c>
      <c r="G28" s="204" t="s">
        <v>144</v>
      </c>
      <c r="H28" s="204" t="s">
        <v>146</v>
      </c>
      <c r="I28" s="261">
        <v>36664</v>
      </c>
      <c r="J28" s="205">
        <v>1946.4236000000001</v>
      </c>
    </row>
    <row r="29" spans="2:10" x14ac:dyDescent="0.35">
      <c r="B29" s="204">
        <v>515</v>
      </c>
      <c r="C29" s="204" t="s">
        <v>147</v>
      </c>
      <c r="D29" s="204" t="s">
        <v>56</v>
      </c>
      <c r="E29" s="204" t="s">
        <v>62</v>
      </c>
      <c r="F29" s="204" t="s">
        <v>63</v>
      </c>
      <c r="G29" s="204" t="s">
        <v>73</v>
      </c>
      <c r="H29" s="204" t="s">
        <v>148</v>
      </c>
      <c r="I29" s="261">
        <v>36650</v>
      </c>
      <c r="J29" s="205">
        <v>2387.5117</v>
      </c>
    </row>
    <row r="30" spans="2:10" x14ac:dyDescent="0.35">
      <c r="B30" s="204">
        <v>517</v>
      </c>
      <c r="C30" s="204" t="s">
        <v>149</v>
      </c>
      <c r="D30" s="204" t="s">
        <v>56</v>
      </c>
      <c r="E30" s="204" t="s">
        <v>141</v>
      </c>
      <c r="F30" s="204" t="s">
        <v>150</v>
      </c>
      <c r="G30" s="204" t="s">
        <v>149</v>
      </c>
      <c r="H30" s="204" t="s">
        <v>151</v>
      </c>
      <c r="I30" s="261">
        <v>36678</v>
      </c>
      <c r="J30" s="205">
        <v>1848.2607</v>
      </c>
    </row>
    <row r="31" spans="2:10" x14ac:dyDescent="0.35">
      <c r="B31" s="204">
        <v>518</v>
      </c>
      <c r="C31" s="204" t="s">
        <v>152</v>
      </c>
      <c r="D31" s="204" t="s">
        <v>56</v>
      </c>
      <c r="E31" s="204" t="s">
        <v>62</v>
      </c>
      <c r="F31" s="204" t="s">
        <v>63</v>
      </c>
      <c r="G31" s="204" t="s">
        <v>152</v>
      </c>
      <c r="H31" s="204" t="s">
        <v>153</v>
      </c>
      <c r="I31" s="261">
        <v>36676</v>
      </c>
      <c r="J31" s="205">
        <v>1423.0998999999999</v>
      </c>
    </row>
    <row r="32" spans="2:10" x14ac:dyDescent="0.35">
      <c r="B32" s="204">
        <v>519</v>
      </c>
      <c r="C32" s="204" t="s">
        <v>154</v>
      </c>
      <c r="D32" s="204" t="s">
        <v>56</v>
      </c>
      <c r="E32" s="204" t="s">
        <v>141</v>
      </c>
      <c r="F32" s="204" t="s">
        <v>155</v>
      </c>
      <c r="G32" s="204" t="s">
        <v>154</v>
      </c>
      <c r="H32" s="204" t="s">
        <v>143</v>
      </c>
      <c r="I32" s="261">
        <v>36746</v>
      </c>
      <c r="J32" s="205">
        <v>1496.2627</v>
      </c>
    </row>
    <row r="33" spans="2:10" x14ac:dyDescent="0.35">
      <c r="B33" s="204">
        <v>520</v>
      </c>
      <c r="C33" s="204" t="s">
        <v>156</v>
      </c>
      <c r="D33" s="204" t="s">
        <v>86</v>
      </c>
      <c r="E33" s="204" t="s">
        <v>62</v>
      </c>
      <c r="F33" s="204" t="s">
        <v>63</v>
      </c>
      <c r="G33" s="204" t="s">
        <v>157</v>
      </c>
      <c r="H33" s="204" t="s">
        <v>158</v>
      </c>
      <c r="I33" s="261">
        <v>37378</v>
      </c>
      <c r="J33" s="205">
        <v>1822.6107999999999</v>
      </c>
    </row>
    <row r="34" spans="2:10" x14ac:dyDescent="0.35">
      <c r="B34" s="204">
        <v>522</v>
      </c>
      <c r="C34" s="204" t="s">
        <v>159</v>
      </c>
      <c r="D34" s="204" t="s">
        <v>86</v>
      </c>
      <c r="E34" s="204" t="s">
        <v>62</v>
      </c>
      <c r="F34" s="204" t="s">
        <v>63</v>
      </c>
      <c r="G34" s="204" t="s">
        <v>73</v>
      </c>
      <c r="H34" s="204" t="s">
        <v>160</v>
      </c>
      <c r="I34" s="261">
        <v>37411</v>
      </c>
      <c r="J34" s="205">
        <v>1068.9493</v>
      </c>
    </row>
    <row r="35" spans="2:10" x14ac:dyDescent="0.35">
      <c r="B35" s="204">
        <v>525</v>
      </c>
      <c r="C35" s="204" t="s">
        <v>161</v>
      </c>
      <c r="D35" s="204" t="s">
        <v>86</v>
      </c>
      <c r="E35" s="204" t="s">
        <v>66</v>
      </c>
      <c r="F35" s="204" t="s">
        <v>79</v>
      </c>
      <c r="G35" s="204" t="s">
        <v>80</v>
      </c>
      <c r="H35" s="204" t="s">
        <v>162</v>
      </c>
      <c r="I35" s="261">
        <v>37523</v>
      </c>
      <c r="J35" s="205">
        <v>1196.6872000000001</v>
      </c>
    </row>
    <row r="36" spans="2:10" x14ac:dyDescent="0.35">
      <c r="B36" s="204">
        <v>526</v>
      </c>
      <c r="C36" s="204" t="s">
        <v>163</v>
      </c>
      <c r="D36" s="204" t="s">
        <v>86</v>
      </c>
      <c r="E36" s="204" t="s">
        <v>57</v>
      </c>
      <c r="F36" s="204" t="s">
        <v>58</v>
      </c>
      <c r="G36" s="204" t="s">
        <v>164</v>
      </c>
      <c r="H36" s="204" t="s">
        <v>165</v>
      </c>
      <c r="I36" s="261">
        <v>37581</v>
      </c>
      <c r="J36" s="205">
        <v>1352.3506</v>
      </c>
    </row>
    <row r="37" spans="2:10" x14ac:dyDescent="0.35">
      <c r="B37" s="204">
        <v>527</v>
      </c>
      <c r="C37" s="204" t="s">
        <v>166</v>
      </c>
      <c r="D37" s="204" t="s">
        <v>86</v>
      </c>
      <c r="E37" s="204" t="s">
        <v>66</v>
      </c>
      <c r="F37" s="204" t="s">
        <v>167</v>
      </c>
      <c r="G37" s="204" t="s">
        <v>168</v>
      </c>
      <c r="H37" s="204" t="s">
        <v>169</v>
      </c>
      <c r="I37" s="261">
        <v>37588</v>
      </c>
      <c r="J37" s="205">
        <v>1222.7237</v>
      </c>
    </row>
    <row r="38" spans="2:10" x14ac:dyDescent="0.35">
      <c r="B38" s="204">
        <v>529</v>
      </c>
      <c r="C38" s="204" t="s">
        <v>170</v>
      </c>
      <c r="D38" s="204" t="s">
        <v>56</v>
      </c>
      <c r="E38" s="204" t="s">
        <v>57</v>
      </c>
      <c r="F38" s="204" t="s">
        <v>58</v>
      </c>
      <c r="G38" s="204" t="s">
        <v>171</v>
      </c>
      <c r="H38" s="204" t="s">
        <v>172</v>
      </c>
      <c r="I38" s="261">
        <v>37714</v>
      </c>
      <c r="J38" s="205">
        <v>998.22770000000003</v>
      </c>
    </row>
    <row r="39" spans="2:10" x14ac:dyDescent="0.35">
      <c r="B39" s="204">
        <v>531</v>
      </c>
      <c r="C39" s="204" t="s">
        <v>173</v>
      </c>
      <c r="D39" s="204" t="s">
        <v>86</v>
      </c>
      <c r="E39" s="204" t="s">
        <v>62</v>
      </c>
      <c r="F39" s="204" t="s">
        <v>174</v>
      </c>
      <c r="G39" s="204" t="s">
        <v>175</v>
      </c>
      <c r="H39" s="204" t="s">
        <v>176</v>
      </c>
      <c r="I39" s="261">
        <v>37747</v>
      </c>
      <c r="J39" s="205">
        <v>1175.7440999999999</v>
      </c>
    </row>
    <row r="40" spans="2:10" x14ac:dyDescent="0.35">
      <c r="B40" s="204">
        <v>534</v>
      </c>
      <c r="C40" s="204" t="s">
        <v>177</v>
      </c>
      <c r="D40" s="204" t="s">
        <v>86</v>
      </c>
      <c r="E40" s="204" t="s">
        <v>62</v>
      </c>
      <c r="F40" s="204" t="s">
        <v>63</v>
      </c>
      <c r="G40" s="204" t="s">
        <v>178</v>
      </c>
      <c r="H40" s="204" t="s">
        <v>179</v>
      </c>
      <c r="I40" s="261">
        <v>37735</v>
      </c>
      <c r="J40" s="205">
        <v>1241.7238</v>
      </c>
    </row>
    <row r="41" spans="2:10" x14ac:dyDescent="0.35">
      <c r="B41" s="204">
        <v>535</v>
      </c>
      <c r="C41" s="204" t="s">
        <v>180</v>
      </c>
      <c r="D41" s="204" t="s">
        <v>56</v>
      </c>
      <c r="E41" s="204" t="s">
        <v>57</v>
      </c>
      <c r="F41" s="204" t="s">
        <v>181</v>
      </c>
      <c r="G41" s="204" t="s">
        <v>180</v>
      </c>
      <c r="H41" s="204" t="s">
        <v>182</v>
      </c>
      <c r="I41" s="261">
        <v>37740</v>
      </c>
      <c r="J41" s="205">
        <v>958.81600000000003</v>
      </c>
    </row>
    <row r="42" spans="2:10" x14ac:dyDescent="0.35">
      <c r="B42" s="204">
        <v>536</v>
      </c>
      <c r="C42" s="204" t="s">
        <v>183</v>
      </c>
      <c r="D42" s="204" t="s">
        <v>56</v>
      </c>
      <c r="E42" s="204" t="s">
        <v>62</v>
      </c>
      <c r="F42" s="204" t="s">
        <v>174</v>
      </c>
      <c r="G42" s="204" t="s">
        <v>175</v>
      </c>
      <c r="H42" s="204" t="s">
        <v>184</v>
      </c>
      <c r="I42" s="261">
        <v>37712</v>
      </c>
      <c r="J42" s="205">
        <v>1420.415</v>
      </c>
    </row>
    <row r="43" spans="2:10" x14ac:dyDescent="0.35">
      <c r="B43" s="204">
        <v>543</v>
      </c>
      <c r="C43" s="204" t="s">
        <v>185</v>
      </c>
      <c r="D43" s="204" t="s">
        <v>56</v>
      </c>
      <c r="E43" s="204" t="s">
        <v>62</v>
      </c>
      <c r="F43" s="204" t="s">
        <v>99</v>
      </c>
      <c r="G43" s="204" t="s">
        <v>100</v>
      </c>
      <c r="H43" s="204" t="s">
        <v>186</v>
      </c>
      <c r="I43" s="261">
        <v>38231</v>
      </c>
      <c r="J43" s="205">
        <v>1541.7209</v>
      </c>
    </row>
    <row r="44" spans="2:10" x14ac:dyDescent="0.35">
      <c r="B44" s="204">
        <v>544</v>
      </c>
      <c r="C44" s="204" t="s">
        <v>187</v>
      </c>
      <c r="D44" s="204" t="s">
        <v>86</v>
      </c>
      <c r="E44" s="204" t="s">
        <v>62</v>
      </c>
      <c r="F44" s="204" t="s">
        <v>63</v>
      </c>
      <c r="G44" s="204" t="s">
        <v>73</v>
      </c>
      <c r="H44" s="204" t="s">
        <v>188</v>
      </c>
      <c r="I44" s="261">
        <v>38267</v>
      </c>
      <c r="J44" s="205">
        <v>1001.1364</v>
      </c>
    </row>
    <row r="45" spans="2:10" x14ac:dyDescent="0.35">
      <c r="B45" s="204">
        <v>546</v>
      </c>
      <c r="C45" s="204" t="s">
        <v>189</v>
      </c>
      <c r="D45" s="204" t="s">
        <v>56</v>
      </c>
      <c r="E45" s="204" t="s">
        <v>62</v>
      </c>
      <c r="F45" s="204" t="s">
        <v>63</v>
      </c>
      <c r="G45" s="204" t="s">
        <v>92</v>
      </c>
      <c r="H45" s="204" t="s">
        <v>190</v>
      </c>
      <c r="I45" s="261">
        <v>38302</v>
      </c>
      <c r="J45" s="205">
        <v>1668.6030000000001</v>
      </c>
    </row>
    <row r="46" spans="2:10" x14ac:dyDescent="0.35">
      <c r="B46" s="204">
        <v>547</v>
      </c>
      <c r="C46" s="204" t="s">
        <v>191</v>
      </c>
      <c r="D46" s="204" t="s">
        <v>56</v>
      </c>
      <c r="E46" s="204" t="s">
        <v>62</v>
      </c>
      <c r="F46" s="204" t="s">
        <v>63</v>
      </c>
      <c r="G46" s="204" t="s">
        <v>192</v>
      </c>
      <c r="H46" s="204" t="s">
        <v>193</v>
      </c>
      <c r="I46" s="261">
        <v>38440</v>
      </c>
      <c r="J46" s="205">
        <v>1384.8253</v>
      </c>
    </row>
    <row r="47" spans="2:10" x14ac:dyDescent="0.35">
      <c r="B47" s="204">
        <v>548</v>
      </c>
      <c r="C47" s="204" t="s">
        <v>194</v>
      </c>
      <c r="D47" s="204" t="s">
        <v>56</v>
      </c>
      <c r="E47" s="204" t="s">
        <v>57</v>
      </c>
      <c r="F47" s="204" t="s">
        <v>181</v>
      </c>
      <c r="G47" s="204" t="s">
        <v>194</v>
      </c>
      <c r="H47" s="204" t="s">
        <v>195</v>
      </c>
      <c r="I47" s="261">
        <v>38330</v>
      </c>
      <c r="J47" s="205">
        <v>2069.7827000000002</v>
      </c>
    </row>
    <row r="48" spans="2:10" x14ac:dyDescent="0.35">
      <c r="B48" s="204">
        <v>549</v>
      </c>
      <c r="C48" s="204" t="s">
        <v>196</v>
      </c>
      <c r="D48" s="204" t="s">
        <v>86</v>
      </c>
      <c r="E48" s="204" t="s">
        <v>62</v>
      </c>
      <c r="F48" s="204" t="s">
        <v>63</v>
      </c>
      <c r="G48" s="204" t="s">
        <v>197</v>
      </c>
      <c r="H48" s="204" t="s">
        <v>153</v>
      </c>
      <c r="I48" s="261">
        <v>38330</v>
      </c>
      <c r="J48" s="205">
        <v>1202.8848</v>
      </c>
    </row>
    <row r="49" spans="2:10" x14ac:dyDescent="0.35">
      <c r="B49" s="204">
        <v>550</v>
      </c>
      <c r="C49" s="204" t="s">
        <v>119</v>
      </c>
      <c r="D49" s="204" t="s">
        <v>56</v>
      </c>
      <c r="E49" s="204" t="s">
        <v>62</v>
      </c>
      <c r="F49" s="204" t="s">
        <v>63</v>
      </c>
      <c r="G49" s="204" t="s">
        <v>119</v>
      </c>
      <c r="H49" s="204" t="s">
        <v>198</v>
      </c>
      <c r="I49" s="261">
        <v>38470</v>
      </c>
      <c r="J49" s="205">
        <v>1015.8813</v>
      </c>
    </row>
    <row r="50" spans="2:10" x14ac:dyDescent="0.35">
      <c r="B50" s="204">
        <v>553</v>
      </c>
      <c r="C50" s="204" t="s">
        <v>199</v>
      </c>
      <c r="D50" s="204" t="s">
        <v>86</v>
      </c>
      <c r="E50" s="204" t="s">
        <v>66</v>
      </c>
      <c r="F50" s="204" t="s">
        <v>200</v>
      </c>
      <c r="G50" s="204" t="s">
        <v>201</v>
      </c>
      <c r="H50" s="204" t="s">
        <v>202</v>
      </c>
      <c r="I50" s="261">
        <v>38469</v>
      </c>
      <c r="J50" s="205">
        <v>1170.7195999999999</v>
      </c>
    </row>
    <row r="51" spans="2:10" x14ac:dyDescent="0.35">
      <c r="B51" s="204">
        <v>558</v>
      </c>
      <c r="C51" s="204" t="s">
        <v>140</v>
      </c>
      <c r="D51" s="204" t="s">
        <v>56</v>
      </c>
      <c r="E51" s="204" t="s">
        <v>141</v>
      </c>
      <c r="F51" s="204" t="s">
        <v>142</v>
      </c>
      <c r="G51" s="204" t="s">
        <v>140</v>
      </c>
      <c r="H51" s="204" t="s">
        <v>203</v>
      </c>
      <c r="I51" s="261">
        <v>38645</v>
      </c>
      <c r="J51" s="205">
        <v>969.12329999999997</v>
      </c>
    </row>
    <row r="52" spans="2:10" x14ac:dyDescent="0.35">
      <c r="B52" s="204">
        <v>559</v>
      </c>
      <c r="C52" s="204" t="s">
        <v>204</v>
      </c>
      <c r="D52" s="204" t="s">
        <v>86</v>
      </c>
      <c r="E52" s="204" t="s">
        <v>62</v>
      </c>
      <c r="F52" s="204" t="s">
        <v>63</v>
      </c>
      <c r="G52" s="204" t="s">
        <v>205</v>
      </c>
      <c r="H52" s="204" t="s">
        <v>206</v>
      </c>
      <c r="I52" s="261">
        <v>38673</v>
      </c>
      <c r="J52" s="205">
        <v>1342.01</v>
      </c>
    </row>
    <row r="53" spans="2:10" x14ac:dyDescent="0.35">
      <c r="B53" s="204">
        <v>560</v>
      </c>
      <c r="C53" s="204" t="s">
        <v>207</v>
      </c>
      <c r="D53" s="204" t="s">
        <v>86</v>
      </c>
      <c r="E53" s="204" t="s">
        <v>141</v>
      </c>
      <c r="F53" s="204" t="s">
        <v>208</v>
      </c>
      <c r="G53" s="204" t="s">
        <v>209</v>
      </c>
      <c r="H53" s="204" t="s">
        <v>210</v>
      </c>
      <c r="I53" s="261">
        <v>38678</v>
      </c>
      <c r="J53" s="205">
        <v>1492.9793999999999</v>
      </c>
    </row>
    <row r="54" spans="2:10" x14ac:dyDescent="0.35">
      <c r="B54" s="204">
        <v>563</v>
      </c>
      <c r="C54" s="204" t="s">
        <v>211</v>
      </c>
      <c r="D54" s="204" t="s">
        <v>56</v>
      </c>
      <c r="E54" s="204" t="s">
        <v>62</v>
      </c>
      <c r="F54" s="204" t="s">
        <v>63</v>
      </c>
      <c r="G54" s="204" t="s">
        <v>73</v>
      </c>
      <c r="H54" s="204" t="s">
        <v>212</v>
      </c>
      <c r="I54" s="261">
        <v>38692</v>
      </c>
      <c r="J54" s="205">
        <v>1255.2737</v>
      </c>
    </row>
    <row r="55" spans="2:10" x14ac:dyDescent="0.35">
      <c r="B55" s="204">
        <v>564</v>
      </c>
      <c r="C55" s="204" t="s">
        <v>213</v>
      </c>
      <c r="D55" s="204" t="s">
        <v>56</v>
      </c>
      <c r="E55" s="204" t="s">
        <v>62</v>
      </c>
      <c r="F55" s="204" t="s">
        <v>63</v>
      </c>
      <c r="G55" s="204" t="s">
        <v>73</v>
      </c>
      <c r="H55" s="204" t="s">
        <v>214</v>
      </c>
      <c r="I55" s="261">
        <v>38701</v>
      </c>
      <c r="J55" s="205">
        <v>1081.1015</v>
      </c>
    </row>
    <row r="56" spans="2:10" x14ac:dyDescent="0.35">
      <c r="B56" s="204">
        <v>565</v>
      </c>
      <c r="C56" s="204" t="s">
        <v>215</v>
      </c>
      <c r="D56" s="204" t="s">
        <v>86</v>
      </c>
      <c r="E56" s="204" t="s">
        <v>66</v>
      </c>
      <c r="F56" s="204" t="s">
        <v>95</v>
      </c>
      <c r="G56" s="204" t="s">
        <v>216</v>
      </c>
      <c r="H56" s="204" t="s">
        <v>217</v>
      </c>
      <c r="I56" s="261">
        <v>38932</v>
      </c>
      <c r="J56" s="205">
        <v>1453.0723</v>
      </c>
    </row>
    <row r="57" spans="2:10" x14ac:dyDescent="0.35">
      <c r="B57" s="204">
        <v>566</v>
      </c>
      <c r="C57" s="204" t="s">
        <v>218</v>
      </c>
      <c r="D57" s="204" t="s">
        <v>86</v>
      </c>
      <c r="E57" s="204" t="s">
        <v>66</v>
      </c>
      <c r="F57" s="204" t="s">
        <v>219</v>
      </c>
      <c r="G57" s="204" t="s">
        <v>220</v>
      </c>
      <c r="H57" s="204" t="s">
        <v>221</v>
      </c>
      <c r="I57" s="261">
        <v>39065</v>
      </c>
      <c r="J57" s="205">
        <v>1199.3520000000001</v>
      </c>
    </row>
    <row r="58" spans="2:10" x14ac:dyDescent="0.35">
      <c r="B58" s="204">
        <v>568</v>
      </c>
      <c r="C58" s="204" t="s">
        <v>168</v>
      </c>
      <c r="D58" s="204" t="s">
        <v>56</v>
      </c>
      <c r="E58" s="204" t="s">
        <v>66</v>
      </c>
      <c r="F58" s="204" t="s">
        <v>167</v>
      </c>
      <c r="G58" s="204" t="s">
        <v>168</v>
      </c>
      <c r="H58" s="204" t="s">
        <v>222</v>
      </c>
      <c r="I58" s="261">
        <v>38839</v>
      </c>
      <c r="J58" s="205">
        <v>1131</v>
      </c>
    </row>
    <row r="59" spans="2:10" x14ac:dyDescent="0.35">
      <c r="B59" s="204">
        <v>571</v>
      </c>
      <c r="C59" s="204" t="s">
        <v>223</v>
      </c>
      <c r="D59" s="204" t="s">
        <v>86</v>
      </c>
      <c r="E59" s="204" t="s">
        <v>57</v>
      </c>
      <c r="F59" s="204" t="s">
        <v>58</v>
      </c>
      <c r="G59" s="204" t="s">
        <v>224</v>
      </c>
      <c r="H59" s="204" t="s">
        <v>225</v>
      </c>
      <c r="I59" s="261">
        <v>38960</v>
      </c>
      <c r="J59" s="205">
        <v>1155.5554</v>
      </c>
    </row>
    <row r="60" spans="2:10" x14ac:dyDescent="0.35">
      <c r="B60" s="204">
        <v>573</v>
      </c>
      <c r="C60" s="204" t="s">
        <v>113</v>
      </c>
      <c r="D60" s="204" t="s">
        <v>56</v>
      </c>
      <c r="E60" s="204" t="s">
        <v>62</v>
      </c>
      <c r="F60" s="204" t="s">
        <v>63</v>
      </c>
      <c r="G60" s="204" t="s">
        <v>113</v>
      </c>
      <c r="H60" s="204" t="s">
        <v>226</v>
      </c>
      <c r="I60" s="261">
        <v>38848</v>
      </c>
      <c r="J60" s="205">
        <v>1004.1434</v>
      </c>
    </row>
    <row r="61" spans="2:10" x14ac:dyDescent="0.35">
      <c r="B61" s="204">
        <v>575</v>
      </c>
      <c r="C61" s="204" t="s">
        <v>227</v>
      </c>
      <c r="D61" s="204" t="s">
        <v>56</v>
      </c>
      <c r="E61" s="204" t="s">
        <v>62</v>
      </c>
      <c r="F61" s="204" t="s">
        <v>99</v>
      </c>
      <c r="G61" s="204" t="s">
        <v>228</v>
      </c>
      <c r="H61" s="204" t="s">
        <v>229</v>
      </c>
      <c r="I61" s="261">
        <v>38848</v>
      </c>
      <c r="J61" s="205">
        <v>1301.3435999999999</v>
      </c>
    </row>
    <row r="62" spans="2:10" x14ac:dyDescent="0.35">
      <c r="B62" s="204">
        <v>576</v>
      </c>
      <c r="C62" s="204" t="s">
        <v>230</v>
      </c>
      <c r="D62" s="204" t="s">
        <v>86</v>
      </c>
      <c r="E62" s="204" t="s">
        <v>62</v>
      </c>
      <c r="F62" s="204" t="s">
        <v>63</v>
      </c>
      <c r="G62" s="204" t="s">
        <v>231</v>
      </c>
      <c r="H62" s="204" t="s">
        <v>232</v>
      </c>
      <c r="I62" s="261">
        <v>38839</v>
      </c>
      <c r="J62" s="205">
        <v>1341.8471</v>
      </c>
    </row>
    <row r="63" spans="2:10" x14ac:dyDescent="0.35">
      <c r="B63" s="204">
        <v>577</v>
      </c>
      <c r="C63" s="204" t="s">
        <v>233</v>
      </c>
      <c r="D63" s="204" t="s">
        <v>86</v>
      </c>
      <c r="E63" s="204" t="s">
        <v>62</v>
      </c>
      <c r="F63" s="204" t="s">
        <v>63</v>
      </c>
      <c r="G63" s="204" t="s">
        <v>234</v>
      </c>
      <c r="H63" s="204" t="s">
        <v>235</v>
      </c>
      <c r="I63" s="261">
        <v>39249</v>
      </c>
      <c r="J63" s="205">
        <v>1293.0636</v>
      </c>
    </row>
    <row r="64" spans="2:10" x14ac:dyDescent="0.35">
      <c r="B64" s="204">
        <v>578</v>
      </c>
      <c r="C64" s="204" t="s">
        <v>236</v>
      </c>
      <c r="D64" s="204" t="s">
        <v>86</v>
      </c>
      <c r="E64" s="204" t="s">
        <v>57</v>
      </c>
      <c r="F64" s="204" t="s">
        <v>83</v>
      </c>
      <c r="G64" s="204" t="s">
        <v>237</v>
      </c>
      <c r="H64" s="204" t="s">
        <v>238</v>
      </c>
      <c r="I64" s="261">
        <v>39016</v>
      </c>
      <c r="J64" s="205">
        <v>1186.8732</v>
      </c>
    </row>
    <row r="65" spans="2:10" x14ac:dyDescent="0.35">
      <c r="B65" s="204">
        <v>579</v>
      </c>
      <c r="C65" s="204" t="s">
        <v>239</v>
      </c>
      <c r="D65" s="204" t="s">
        <v>86</v>
      </c>
      <c r="E65" s="204" t="s">
        <v>62</v>
      </c>
      <c r="F65" s="204" t="s">
        <v>63</v>
      </c>
      <c r="G65" s="204" t="s">
        <v>73</v>
      </c>
      <c r="H65" s="204" t="s">
        <v>240</v>
      </c>
      <c r="I65" s="261">
        <v>39051</v>
      </c>
      <c r="J65" s="205">
        <v>1244.3266000000001</v>
      </c>
    </row>
    <row r="66" spans="2:10" x14ac:dyDescent="0.35">
      <c r="B66" s="204">
        <v>580</v>
      </c>
      <c r="C66" s="204" t="s">
        <v>241</v>
      </c>
      <c r="D66" s="204" t="s">
        <v>86</v>
      </c>
      <c r="E66" s="204" t="s">
        <v>62</v>
      </c>
      <c r="F66" s="204" t="s">
        <v>63</v>
      </c>
      <c r="G66" s="204" t="s">
        <v>242</v>
      </c>
      <c r="H66" s="204" t="s">
        <v>243</v>
      </c>
      <c r="I66" s="261">
        <v>39028</v>
      </c>
      <c r="J66" s="205">
        <v>1157.17</v>
      </c>
    </row>
    <row r="67" spans="2:10" x14ac:dyDescent="0.35">
      <c r="B67" s="204">
        <v>582</v>
      </c>
      <c r="C67" s="204" t="s">
        <v>244</v>
      </c>
      <c r="D67" s="204" t="s">
        <v>56</v>
      </c>
      <c r="E67" s="204" t="s">
        <v>57</v>
      </c>
      <c r="F67" s="204" t="s">
        <v>58</v>
      </c>
      <c r="G67" s="204" t="s">
        <v>59</v>
      </c>
      <c r="H67" s="204" t="s">
        <v>245</v>
      </c>
      <c r="I67" s="261">
        <v>38848</v>
      </c>
      <c r="J67" s="205">
        <v>859.5652</v>
      </c>
    </row>
    <row r="68" spans="2:10" x14ac:dyDescent="0.35">
      <c r="B68" s="204">
        <v>583</v>
      </c>
      <c r="C68" s="204" t="s">
        <v>246</v>
      </c>
      <c r="D68" s="204" t="s">
        <v>86</v>
      </c>
      <c r="E68" s="204" t="s">
        <v>62</v>
      </c>
      <c r="F68" s="204" t="s">
        <v>174</v>
      </c>
      <c r="G68" s="204" t="s">
        <v>175</v>
      </c>
      <c r="H68" s="204" t="s">
        <v>247</v>
      </c>
      <c r="I68" s="261">
        <v>38946</v>
      </c>
      <c r="J68" s="205">
        <v>826.67920000000004</v>
      </c>
    </row>
    <row r="69" spans="2:10" x14ac:dyDescent="0.35">
      <c r="B69" s="204">
        <v>586</v>
      </c>
      <c r="C69" s="204" t="s">
        <v>248</v>
      </c>
      <c r="D69" s="204" t="s">
        <v>86</v>
      </c>
      <c r="E69" s="204" t="s">
        <v>62</v>
      </c>
      <c r="F69" s="204" t="s">
        <v>63</v>
      </c>
      <c r="G69" s="204" t="s">
        <v>73</v>
      </c>
      <c r="H69" s="204" t="s">
        <v>249</v>
      </c>
      <c r="I69" s="261">
        <v>39210</v>
      </c>
      <c r="J69" s="205">
        <v>1610.1002000000001</v>
      </c>
    </row>
    <row r="70" spans="2:10" x14ac:dyDescent="0.35">
      <c r="B70" s="204">
        <v>587</v>
      </c>
      <c r="C70" s="204" t="s">
        <v>250</v>
      </c>
      <c r="D70" s="204" t="s">
        <v>86</v>
      </c>
      <c r="E70" s="204" t="s">
        <v>106</v>
      </c>
      <c r="F70" s="204" t="s">
        <v>251</v>
      </c>
      <c r="G70" s="204" t="s">
        <v>185</v>
      </c>
      <c r="H70" s="204" t="s">
        <v>252</v>
      </c>
      <c r="I70" s="261">
        <v>38932</v>
      </c>
      <c r="J70" s="205">
        <v>1217.5825</v>
      </c>
    </row>
    <row r="71" spans="2:10" x14ac:dyDescent="0.35">
      <c r="B71" s="204">
        <v>589</v>
      </c>
      <c r="C71" s="204" t="s">
        <v>220</v>
      </c>
      <c r="D71" s="204" t="s">
        <v>56</v>
      </c>
      <c r="E71" s="204" t="s">
        <v>66</v>
      </c>
      <c r="F71" s="204" t="s">
        <v>219</v>
      </c>
      <c r="G71" s="204" t="s">
        <v>220</v>
      </c>
      <c r="H71" s="204" t="s">
        <v>253</v>
      </c>
      <c r="I71" s="261">
        <v>38995</v>
      </c>
      <c r="J71" s="205">
        <v>1170.8166000000001</v>
      </c>
    </row>
    <row r="72" spans="2:10" x14ac:dyDescent="0.35">
      <c r="B72" s="204">
        <v>590</v>
      </c>
      <c r="C72" s="204" t="s">
        <v>254</v>
      </c>
      <c r="D72" s="204" t="s">
        <v>86</v>
      </c>
      <c r="E72" s="204" t="s">
        <v>62</v>
      </c>
      <c r="F72" s="204" t="s">
        <v>174</v>
      </c>
      <c r="G72" s="204" t="s">
        <v>255</v>
      </c>
      <c r="H72" s="204" t="s">
        <v>256</v>
      </c>
      <c r="I72" s="261">
        <v>38974</v>
      </c>
      <c r="J72" s="205">
        <v>1222</v>
      </c>
    </row>
    <row r="73" spans="2:10" x14ac:dyDescent="0.35">
      <c r="B73" s="204">
        <v>594</v>
      </c>
      <c r="C73" s="204" t="s">
        <v>257</v>
      </c>
      <c r="D73" s="204" t="s">
        <v>86</v>
      </c>
      <c r="E73" s="204" t="s">
        <v>57</v>
      </c>
      <c r="F73" s="204" t="s">
        <v>83</v>
      </c>
      <c r="G73" s="204" t="s">
        <v>82</v>
      </c>
      <c r="H73" s="204" t="s">
        <v>258</v>
      </c>
      <c r="I73" s="261">
        <v>39030</v>
      </c>
      <c r="J73" s="205">
        <v>1279.9879000000001</v>
      </c>
    </row>
    <row r="74" spans="2:10" x14ac:dyDescent="0.35">
      <c r="B74" s="204">
        <v>597</v>
      </c>
      <c r="C74" s="204" t="s">
        <v>259</v>
      </c>
      <c r="D74" s="204" t="s">
        <v>56</v>
      </c>
      <c r="E74" s="204" t="s">
        <v>62</v>
      </c>
      <c r="F74" s="204" t="s">
        <v>99</v>
      </c>
      <c r="G74" s="204" t="s">
        <v>259</v>
      </c>
      <c r="H74" s="204" t="s">
        <v>260</v>
      </c>
      <c r="I74" s="261">
        <v>38965</v>
      </c>
      <c r="J74" s="205">
        <v>1823.5450000000001</v>
      </c>
    </row>
    <row r="75" spans="2:10" x14ac:dyDescent="0.35">
      <c r="B75" s="204">
        <v>598</v>
      </c>
      <c r="C75" s="204" t="s">
        <v>261</v>
      </c>
      <c r="D75" s="204" t="s">
        <v>86</v>
      </c>
      <c r="E75" s="204" t="s">
        <v>106</v>
      </c>
      <c r="F75" s="204" t="s">
        <v>251</v>
      </c>
      <c r="G75" s="204" t="s">
        <v>262</v>
      </c>
      <c r="H75" s="204" t="s">
        <v>263</v>
      </c>
      <c r="I75" s="261">
        <v>38995</v>
      </c>
      <c r="J75" s="205">
        <v>1113.3335999999999</v>
      </c>
    </row>
    <row r="76" spans="2:10" x14ac:dyDescent="0.35">
      <c r="B76" s="204">
        <v>599</v>
      </c>
      <c r="C76" s="204" t="s">
        <v>264</v>
      </c>
      <c r="D76" s="204" t="s">
        <v>56</v>
      </c>
      <c r="E76" s="204" t="s">
        <v>57</v>
      </c>
      <c r="F76" s="204" t="s">
        <v>181</v>
      </c>
      <c r="G76" s="204" t="s">
        <v>264</v>
      </c>
      <c r="H76" s="204" t="s">
        <v>265</v>
      </c>
      <c r="I76" s="261">
        <v>39059</v>
      </c>
      <c r="J76" s="205">
        <v>1038.204</v>
      </c>
    </row>
    <row r="77" spans="2:10" x14ac:dyDescent="0.35">
      <c r="B77" s="204">
        <v>600</v>
      </c>
      <c r="C77" s="204" t="s">
        <v>266</v>
      </c>
      <c r="D77" s="204" t="s">
        <v>86</v>
      </c>
      <c r="E77" s="204" t="s">
        <v>66</v>
      </c>
      <c r="F77" s="204" t="s">
        <v>267</v>
      </c>
      <c r="G77" s="204" t="s">
        <v>268</v>
      </c>
      <c r="H77" s="204" t="s">
        <v>269</v>
      </c>
      <c r="I77" s="261">
        <v>39224</v>
      </c>
      <c r="J77" s="205">
        <v>1466.0753999999999</v>
      </c>
    </row>
    <row r="78" spans="2:10" x14ac:dyDescent="0.35">
      <c r="B78" s="204">
        <v>601</v>
      </c>
      <c r="C78" s="204" t="s">
        <v>270</v>
      </c>
      <c r="D78" s="204" t="s">
        <v>86</v>
      </c>
      <c r="E78" s="204" t="s">
        <v>66</v>
      </c>
      <c r="F78" s="204" t="s">
        <v>95</v>
      </c>
      <c r="G78" s="204" t="s">
        <v>271</v>
      </c>
      <c r="H78" s="204" t="s">
        <v>272</v>
      </c>
      <c r="I78" s="261">
        <v>39050</v>
      </c>
      <c r="J78" s="205">
        <v>742.28</v>
      </c>
    </row>
    <row r="79" spans="2:10" x14ac:dyDescent="0.35">
      <c r="B79" s="204">
        <v>603</v>
      </c>
      <c r="C79" s="204" t="s">
        <v>273</v>
      </c>
      <c r="D79" s="204" t="s">
        <v>86</v>
      </c>
      <c r="E79" s="204" t="s">
        <v>57</v>
      </c>
      <c r="F79" s="204" t="s">
        <v>83</v>
      </c>
      <c r="G79" s="204" t="s">
        <v>274</v>
      </c>
      <c r="H79" s="204" t="s">
        <v>275</v>
      </c>
      <c r="I79" s="261">
        <v>39382</v>
      </c>
      <c r="J79" s="205">
        <v>1239.1559</v>
      </c>
    </row>
    <row r="80" spans="2:10" x14ac:dyDescent="0.35">
      <c r="B80" s="204">
        <v>604</v>
      </c>
      <c r="C80" s="204" t="s">
        <v>276</v>
      </c>
      <c r="D80" s="204" t="s">
        <v>56</v>
      </c>
      <c r="E80" s="204" t="s">
        <v>66</v>
      </c>
      <c r="F80" s="204" t="s">
        <v>267</v>
      </c>
      <c r="G80" s="204" t="s">
        <v>276</v>
      </c>
      <c r="H80" s="204" t="s">
        <v>277</v>
      </c>
      <c r="I80" s="261">
        <v>39163</v>
      </c>
      <c r="J80" s="205">
        <v>1072.9621</v>
      </c>
    </row>
    <row r="81" spans="2:10" x14ac:dyDescent="0.35">
      <c r="B81" s="204">
        <v>605</v>
      </c>
      <c r="C81" s="204" t="s">
        <v>261</v>
      </c>
      <c r="D81" s="204" t="s">
        <v>86</v>
      </c>
      <c r="E81" s="204" t="s">
        <v>57</v>
      </c>
      <c r="F81" s="204" t="s">
        <v>181</v>
      </c>
      <c r="G81" s="204" t="s">
        <v>278</v>
      </c>
      <c r="H81" s="204" t="s">
        <v>279</v>
      </c>
      <c r="I81" s="261">
        <v>39065</v>
      </c>
      <c r="J81" s="205">
        <v>1211.8931</v>
      </c>
    </row>
    <row r="82" spans="2:10" x14ac:dyDescent="0.35">
      <c r="B82" s="204">
        <v>606</v>
      </c>
      <c r="C82" s="204" t="s">
        <v>280</v>
      </c>
      <c r="D82" s="204" t="s">
        <v>86</v>
      </c>
      <c r="E82" s="204" t="s">
        <v>62</v>
      </c>
      <c r="F82" s="204" t="s">
        <v>174</v>
      </c>
      <c r="G82" s="204" t="s">
        <v>281</v>
      </c>
      <c r="H82" s="204" t="s">
        <v>282</v>
      </c>
      <c r="I82" s="261">
        <v>39238</v>
      </c>
      <c r="J82" s="205">
        <v>1196.6294</v>
      </c>
    </row>
    <row r="83" spans="2:10" x14ac:dyDescent="0.35">
      <c r="B83" s="204">
        <v>607</v>
      </c>
      <c r="C83" s="204" t="s">
        <v>283</v>
      </c>
      <c r="D83" s="204" t="s">
        <v>86</v>
      </c>
      <c r="E83" s="204" t="s">
        <v>62</v>
      </c>
      <c r="F83" s="204" t="s">
        <v>63</v>
      </c>
      <c r="G83" s="204" t="s">
        <v>284</v>
      </c>
      <c r="H83" s="204" t="s">
        <v>285</v>
      </c>
      <c r="I83" s="261">
        <v>39198</v>
      </c>
      <c r="J83" s="205">
        <v>946.0421</v>
      </c>
    </row>
    <row r="84" spans="2:10" x14ac:dyDescent="0.35">
      <c r="B84" s="204">
        <v>608</v>
      </c>
      <c r="C84" s="204" t="s">
        <v>286</v>
      </c>
      <c r="D84" s="204" t="s">
        <v>86</v>
      </c>
      <c r="E84" s="204" t="s">
        <v>62</v>
      </c>
      <c r="F84" s="204" t="s">
        <v>63</v>
      </c>
      <c r="G84" s="204" t="s">
        <v>287</v>
      </c>
      <c r="H84" s="204" t="s">
        <v>288</v>
      </c>
      <c r="I84" s="261">
        <v>39570</v>
      </c>
      <c r="J84" s="205">
        <v>1225.7172</v>
      </c>
    </row>
    <row r="85" spans="2:10" x14ac:dyDescent="0.35">
      <c r="B85" s="204">
        <v>610</v>
      </c>
      <c r="C85" s="204" t="s">
        <v>289</v>
      </c>
      <c r="D85" s="204" t="s">
        <v>86</v>
      </c>
      <c r="E85" s="204" t="s">
        <v>66</v>
      </c>
      <c r="F85" s="204" t="s">
        <v>67</v>
      </c>
      <c r="G85" s="204" t="s">
        <v>65</v>
      </c>
      <c r="H85" s="204" t="s">
        <v>290</v>
      </c>
      <c r="I85" s="261">
        <v>39429</v>
      </c>
      <c r="J85" s="205">
        <v>1103.6492000000001</v>
      </c>
    </row>
    <row r="86" spans="2:10" x14ac:dyDescent="0.35">
      <c r="B86" s="204">
        <v>613</v>
      </c>
      <c r="C86" s="204" t="s">
        <v>291</v>
      </c>
      <c r="D86" s="204" t="s">
        <v>56</v>
      </c>
      <c r="E86" s="204" t="s">
        <v>62</v>
      </c>
      <c r="F86" s="204" t="s">
        <v>63</v>
      </c>
      <c r="G86" s="204" t="s">
        <v>73</v>
      </c>
      <c r="H86" s="204" t="s">
        <v>292</v>
      </c>
      <c r="I86" s="261">
        <v>39205</v>
      </c>
      <c r="J86" s="205">
        <v>1366.1892</v>
      </c>
    </row>
    <row r="87" spans="2:10" x14ac:dyDescent="0.35">
      <c r="B87" s="204">
        <v>617</v>
      </c>
      <c r="C87" s="204" t="s">
        <v>123</v>
      </c>
      <c r="D87" s="204" t="s">
        <v>56</v>
      </c>
      <c r="E87" s="204" t="s">
        <v>106</v>
      </c>
      <c r="F87" s="204" t="s">
        <v>122</v>
      </c>
      <c r="G87" s="204" t="s">
        <v>123</v>
      </c>
      <c r="H87" s="204" t="s">
        <v>293</v>
      </c>
      <c r="I87" s="261">
        <v>39406</v>
      </c>
      <c r="J87" s="205">
        <v>878</v>
      </c>
    </row>
    <row r="88" spans="2:10" x14ac:dyDescent="0.35">
      <c r="B88" s="204">
        <v>618</v>
      </c>
      <c r="C88" s="204" t="s">
        <v>294</v>
      </c>
      <c r="D88" s="204" t="s">
        <v>86</v>
      </c>
      <c r="E88" s="204" t="s">
        <v>66</v>
      </c>
      <c r="F88" s="204" t="s">
        <v>267</v>
      </c>
      <c r="G88" s="204" t="s">
        <v>295</v>
      </c>
      <c r="H88" s="204" t="s">
        <v>296</v>
      </c>
      <c r="I88" s="261">
        <v>39423</v>
      </c>
      <c r="J88" s="205">
        <v>954.52700000000004</v>
      </c>
    </row>
    <row r="89" spans="2:10" x14ac:dyDescent="0.35">
      <c r="B89" s="204">
        <v>619</v>
      </c>
      <c r="C89" s="204" t="s">
        <v>297</v>
      </c>
      <c r="D89" s="204" t="s">
        <v>86</v>
      </c>
      <c r="E89" s="204" t="s">
        <v>62</v>
      </c>
      <c r="F89" s="204" t="s">
        <v>63</v>
      </c>
      <c r="G89" s="204" t="s">
        <v>119</v>
      </c>
      <c r="H89" s="204" t="s">
        <v>298</v>
      </c>
      <c r="I89" s="261">
        <v>39933</v>
      </c>
      <c r="J89" s="205">
        <v>1102.4177</v>
      </c>
    </row>
    <row r="90" spans="2:10" x14ac:dyDescent="0.35">
      <c r="B90" s="204">
        <v>622</v>
      </c>
      <c r="C90" s="204" t="s">
        <v>299</v>
      </c>
      <c r="D90" s="204" t="s">
        <v>86</v>
      </c>
      <c r="E90" s="204" t="s">
        <v>62</v>
      </c>
      <c r="F90" s="204" t="s">
        <v>63</v>
      </c>
      <c r="G90" s="204" t="s">
        <v>73</v>
      </c>
      <c r="H90" s="204" t="s">
        <v>300</v>
      </c>
      <c r="I90" s="261">
        <v>41382</v>
      </c>
      <c r="J90" s="205">
        <v>1193.6495</v>
      </c>
    </row>
    <row r="91" spans="2:10" x14ac:dyDescent="0.35">
      <c r="B91" s="204">
        <v>623</v>
      </c>
      <c r="C91" s="204" t="s">
        <v>301</v>
      </c>
      <c r="D91" s="204" t="s">
        <v>86</v>
      </c>
      <c r="E91" s="204" t="s">
        <v>66</v>
      </c>
      <c r="F91" s="204" t="s">
        <v>95</v>
      </c>
      <c r="G91" s="204" t="s">
        <v>302</v>
      </c>
      <c r="H91" s="204" t="s">
        <v>303</v>
      </c>
      <c r="I91" s="261">
        <v>39364</v>
      </c>
      <c r="J91" s="205">
        <v>1198.9978000000001</v>
      </c>
    </row>
    <row r="92" spans="2:10" x14ac:dyDescent="0.35">
      <c r="B92" s="204">
        <v>624</v>
      </c>
      <c r="C92" s="204" t="s">
        <v>304</v>
      </c>
      <c r="D92" s="204" t="s">
        <v>86</v>
      </c>
      <c r="E92" s="204" t="s">
        <v>62</v>
      </c>
      <c r="F92" s="204" t="s">
        <v>63</v>
      </c>
      <c r="G92" s="204" t="s">
        <v>305</v>
      </c>
      <c r="H92" s="204" t="s">
        <v>306</v>
      </c>
      <c r="I92" s="261">
        <v>39359</v>
      </c>
      <c r="J92" s="205">
        <v>1309.3145999999999</v>
      </c>
    </row>
    <row r="93" spans="2:10" x14ac:dyDescent="0.35">
      <c r="B93" s="204">
        <v>625</v>
      </c>
      <c r="C93" s="204" t="s">
        <v>185</v>
      </c>
      <c r="D93" s="204" t="s">
        <v>56</v>
      </c>
      <c r="E93" s="204" t="s">
        <v>106</v>
      </c>
      <c r="F93" s="204" t="s">
        <v>251</v>
      </c>
      <c r="G93" s="204" t="s">
        <v>185</v>
      </c>
      <c r="H93" s="204" t="s">
        <v>307</v>
      </c>
      <c r="I93" s="261">
        <v>39415</v>
      </c>
      <c r="J93" s="205">
        <v>1524.8587</v>
      </c>
    </row>
    <row r="94" spans="2:10" x14ac:dyDescent="0.35">
      <c r="B94" s="204">
        <v>626</v>
      </c>
      <c r="C94" s="204" t="s">
        <v>308</v>
      </c>
      <c r="D94" s="204" t="s">
        <v>86</v>
      </c>
      <c r="E94" s="204" t="s">
        <v>62</v>
      </c>
      <c r="F94" s="204" t="s">
        <v>63</v>
      </c>
      <c r="G94" s="204" t="s">
        <v>73</v>
      </c>
      <c r="H94" s="204" t="s">
        <v>309</v>
      </c>
      <c r="I94" s="261">
        <v>39393</v>
      </c>
      <c r="J94" s="205">
        <v>1712.5782999999999</v>
      </c>
    </row>
    <row r="95" spans="2:10" x14ac:dyDescent="0.35">
      <c r="B95" s="204">
        <v>627</v>
      </c>
      <c r="C95" s="204" t="s">
        <v>310</v>
      </c>
      <c r="D95" s="204" t="s">
        <v>86</v>
      </c>
      <c r="E95" s="204" t="s">
        <v>66</v>
      </c>
      <c r="F95" s="204" t="s">
        <v>200</v>
      </c>
      <c r="G95" s="204" t="s">
        <v>201</v>
      </c>
      <c r="H95" s="204" t="s">
        <v>311</v>
      </c>
      <c r="I95" s="261">
        <v>39422</v>
      </c>
      <c r="J95" s="205">
        <v>1002.4930000000001</v>
      </c>
    </row>
    <row r="96" spans="2:10" x14ac:dyDescent="0.35">
      <c r="B96" s="204">
        <v>629</v>
      </c>
      <c r="C96" s="204" t="s">
        <v>312</v>
      </c>
      <c r="D96" s="204" t="s">
        <v>86</v>
      </c>
      <c r="E96" s="204" t="s">
        <v>62</v>
      </c>
      <c r="F96" s="204" t="s">
        <v>63</v>
      </c>
      <c r="G96" s="204" t="s">
        <v>313</v>
      </c>
      <c r="H96" s="204" t="s">
        <v>314</v>
      </c>
      <c r="I96" s="261">
        <v>39394</v>
      </c>
      <c r="J96" s="205">
        <v>1410.5381</v>
      </c>
    </row>
    <row r="97" spans="2:10" x14ac:dyDescent="0.35">
      <c r="B97" s="204">
        <v>631</v>
      </c>
      <c r="C97" s="204" t="s">
        <v>315</v>
      </c>
      <c r="D97" s="204" t="s">
        <v>86</v>
      </c>
      <c r="E97" s="204" t="s">
        <v>62</v>
      </c>
      <c r="F97" s="204" t="s">
        <v>63</v>
      </c>
      <c r="G97" s="204" t="s">
        <v>205</v>
      </c>
      <c r="H97" s="204" t="s">
        <v>316</v>
      </c>
      <c r="I97" s="261">
        <v>39974</v>
      </c>
      <c r="J97" s="205">
        <v>1250.5395000000001</v>
      </c>
    </row>
    <row r="98" spans="2:10" x14ac:dyDescent="0.35">
      <c r="B98" s="204">
        <v>632</v>
      </c>
      <c r="C98" s="204" t="s">
        <v>317</v>
      </c>
      <c r="D98" s="204" t="s">
        <v>86</v>
      </c>
      <c r="E98" s="204" t="s">
        <v>57</v>
      </c>
      <c r="F98" s="204" t="s">
        <v>181</v>
      </c>
      <c r="G98" s="204" t="s">
        <v>194</v>
      </c>
      <c r="H98" s="204" t="s">
        <v>318</v>
      </c>
      <c r="I98" s="261">
        <v>39345</v>
      </c>
      <c r="J98" s="205">
        <v>931.3818</v>
      </c>
    </row>
    <row r="99" spans="2:10" x14ac:dyDescent="0.35">
      <c r="B99" s="204">
        <v>633</v>
      </c>
      <c r="C99" s="204" t="s">
        <v>319</v>
      </c>
      <c r="D99" s="204" t="s">
        <v>86</v>
      </c>
      <c r="E99" s="204" t="s">
        <v>57</v>
      </c>
      <c r="F99" s="204" t="s">
        <v>58</v>
      </c>
      <c r="G99" s="204" t="s">
        <v>59</v>
      </c>
      <c r="H99" s="204" t="s">
        <v>320</v>
      </c>
      <c r="I99" s="261">
        <v>39238</v>
      </c>
      <c r="J99" s="205">
        <v>1148.009</v>
      </c>
    </row>
    <row r="100" spans="2:10" x14ac:dyDescent="0.35">
      <c r="B100" s="204">
        <v>635</v>
      </c>
      <c r="C100" s="204" t="s">
        <v>321</v>
      </c>
      <c r="D100" s="204" t="s">
        <v>86</v>
      </c>
      <c r="E100" s="204" t="s">
        <v>62</v>
      </c>
      <c r="F100" s="204" t="s">
        <v>174</v>
      </c>
      <c r="G100" s="204" t="s">
        <v>175</v>
      </c>
      <c r="H100" s="204" t="s">
        <v>322</v>
      </c>
      <c r="I100" s="261">
        <v>39420</v>
      </c>
      <c r="J100" s="205">
        <v>1378.4639999999999</v>
      </c>
    </row>
    <row r="101" spans="2:10" x14ac:dyDescent="0.35">
      <c r="B101" s="204">
        <v>636</v>
      </c>
      <c r="C101" s="204" t="s">
        <v>323</v>
      </c>
      <c r="D101" s="204" t="s">
        <v>86</v>
      </c>
      <c r="E101" s="204" t="s">
        <v>62</v>
      </c>
      <c r="F101" s="204" t="s">
        <v>63</v>
      </c>
      <c r="G101" s="204" t="s">
        <v>324</v>
      </c>
      <c r="H101" s="204" t="s">
        <v>325</v>
      </c>
      <c r="I101" s="261">
        <v>39414</v>
      </c>
      <c r="J101" s="205">
        <v>1054.1143999999999</v>
      </c>
    </row>
    <row r="102" spans="2:10" x14ac:dyDescent="0.35">
      <c r="B102" s="204">
        <v>639</v>
      </c>
      <c r="C102" s="204" t="s">
        <v>326</v>
      </c>
      <c r="D102" s="204" t="s">
        <v>56</v>
      </c>
      <c r="E102" s="204" t="s">
        <v>62</v>
      </c>
      <c r="F102" s="204" t="s">
        <v>63</v>
      </c>
      <c r="G102" s="204" t="s">
        <v>326</v>
      </c>
      <c r="H102" s="204" t="s">
        <v>327</v>
      </c>
      <c r="I102" s="261">
        <v>39399</v>
      </c>
      <c r="J102" s="205">
        <v>1181.4788000000001</v>
      </c>
    </row>
    <row r="103" spans="2:10" x14ac:dyDescent="0.35">
      <c r="B103" s="204">
        <v>640</v>
      </c>
      <c r="C103" s="204" t="s">
        <v>328</v>
      </c>
      <c r="D103" s="204" t="s">
        <v>56</v>
      </c>
      <c r="E103" s="204" t="s">
        <v>62</v>
      </c>
      <c r="F103" s="204" t="s">
        <v>63</v>
      </c>
      <c r="G103" s="204" t="s">
        <v>73</v>
      </c>
      <c r="H103" s="204" t="s">
        <v>329</v>
      </c>
      <c r="I103" s="261">
        <v>39394</v>
      </c>
      <c r="J103" s="205">
        <v>1256.1159</v>
      </c>
    </row>
    <row r="104" spans="2:10" x14ac:dyDescent="0.35">
      <c r="B104" s="204">
        <v>641</v>
      </c>
      <c r="C104" s="204" t="s">
        <v>330</v>
      </c>
      <c r="D104" s="204" t="s">
        <v>56</v>
      </c>
      <c r="E104" s="204" t="s">
        <v>62</v>
      </c>
      <c r="F104" s="204" t="s">
        <v>63</v>
      </c>
      <c r="G104" s="204" t="s">
        <v>330</v>
      </c>
      <c r="H104" s="204" t="s">
        <v>331</v>
      </c>
      <c r="I104" s="261">
        <v>39420</v>
      </c>
      <c r="J104" s="205">
        <v>1211.7401</v>
      </c>
    </row>
    <row r="105" spans="2:10" x14ac:dyDescent="0.35">
      <c r="B105" s="204">
        <v>642</v>
      </c>
      <c r="C105" s="204" t="s">
        <v>332</v>
      </c>
      <c r="D105" s="204" t="s">
        <v>86</v>
      </c>
      <c r="E105" s="204" t="s">
        <v>62</v>
      </c>
      <c r="F105" s="204" t="s">
        <v>63</v>
      </c>
      <c r="G105" s="204" t="s">
        <v>333</v>
      </c>
      <c r="H105" s="204" t="s">
        <v>334</v>
      </c>
      <c r="I105" s="261">
        <v>39402</v>
      </c>
      <c r="J105" s="205">
        <v>1175.4924000000001</v>
      </c>
    </row>
    <row r="106" spans="2:10" x14ac:dyDescent="0.35">
      <c r="B106" s="204">
        <v>643</v>
      </c>
      <c r="C106" s="204" t="s">
        <v>335</v>
      </c>
      <c r="D106" s="204" t="s">
        <v>86</v>
      </c>
      <c r="E106" s="204" t="s">
        <v>66</v>
      </c>
      <c r="F106" s="204" t="s">
        <v>67</v>
      </c>
      <c r="G106" s="204" t="s">
        <v>129</v>
      </c>
      <c r="H106" s="204" t="s">
        <v>336</v>
      </c>
      <c r="I106" s="261">
        <v>39408</v>
      </c>
      <c r="J106" s="205">
        <v>1461.2047</v>
      </c>
    </row>
    <row r="107" spans="2:10" x14ac:dyDescent="0.35">
      <c r="B107" s="204">
        <v>645</v>
      </c>
      <c r="C107" s="204" t="s">
        <v>337</v>
      </c>
      <c r="D107" s="204" t="s">
        <v>56</v>
      </c>
      <c r="E107" s="204" t="s">
        <v>62</v>
      </c>
      <c r="F107" s="204" t="s">
        <v>63</v>
      </c>
      <c r="G107" s="204" t="s">
        <v>338</v>
      </c>
      <c r="H107" s="204" t="s">
        <v>339</v>
      </c>
      <c r="I107" s="261">
        <v>39385</v>
      </c>
      <c r="J107" s="205">
        <v>1466.3181999999999</v>
      </c>
    </row>
    <row r="108" spans="2:10" x14ac:dyDescent="0.35">
      <c r="B108" s="204">
        <v>646</v>
      </c>
      <c r="C108" s="204" t="s">
        <v>340</v>
      </c>
      <c r="D108" s="204" t="s">
        <v>86</v>
      </c>
      <c r="E108" s="204" t="s">
        <v>66</v>
      </c>
      <c r="F108" s="204" t="s">
        <v>267</v>
      </c>
      <c r="G108" s="204" t="s">
        <v>268</v>
      </c>
      <c r="H108" s="204" t="s">
        <v>269</v>
      </c>
      <c r="I108" s="261">
        <v>39416</v>
      </c>
      <c r="J108" s="205">
        <v>1224.3803</v>
      </c>
    </row>
    <row r="109" spans="2:10" x14ac:dyDescent="0.35">
      <c r="B109" s="204">
        <v>647</v>
      </c>
      <c r="C109" s="204" t="s">
        <v>341</v>
      </c>
      <c r="D109" s="204" t="s">
        <v>56</v>
      </c>
      <c r="E109" s="204" t="s">
        <v>62</v>
      </c>
      <c r="F109" s="204" t="s">
        <v>63</v>
      </c>
      <c r="G109" s="204" t="s">
        <v>342</v>
      </c>
      <c r="H109" s="204" t="s">
        <v>343</v>
      </c>
      <c r="I109" s="261">
        <v>39420</v>
      </c>
      <c r="J109" s="205">
        <v>1185.2902999999999</v>
      </c>
    </row>
    <row r="110" spans="2:10" x14ac:dyDescent="0.35">
      <c r="B110" s="204">
        <v>648</v>
      </c>
      <c r="C110" s="204" t="s">
        <v>344</v>
      </c>
      <c r="D110" s="204" t="s">
        <v>86</v>
      </c>
      <c r="E110" s="204" t="s">
        <v>62</v>
      </c>
      <c r="F110" s="204" t="s">
        <v>63</v>
      </c>
      <c r="G110" s="204" t="s">
        <v>345</v>
      </c>
      <c r="H110" s="204" t="s">
        <v>346</v>
      </c>
      <c r="I110" s="261">
        <v>39561</v>
      </c>
      <c r="J110" s="205">
        <v>1283.1708000000001</v>
      </c>
    </row>
    <row r="111" spans="2:10" x14ac:dyDescent="0.35">
      <c r="B111" s="204">
        <v>649</v>
      </c>
      <c r="C111" s="204" t="s">
        <v>347</v>
      </c>
      <c r="D111" s="204" t="s">
        <v>86</v>
      </c>
      <c r="E111" s="204" t="s">
        <v>57</v>
      </c>
      <c r="F111" s="204" t="s">
        <v>181</v>
      </c>
      <c r="G111" s="204" t="s">
        <v>194</v>
      </c>
      <c r="H111" s="204" t="s">
        <v>153</v>
      </c>
      <c r="I111" s="261">
        <v>39575</v>
      </c>
      <c r="J111" s="205">
        <v>1370.9221</v>
      </c>
    </row>
    <row r="112" spans="2:10" x14ac:dyDescent="0.35">
      <c r="B112" s="204">
        <v>650</v>
      </c>
      <c r="C112" s="204" t="s">
        <v>348</v>
      </c>
      <c r="D112" s="204" t="s">
        <v>86</v>
      </c>
      <c r="E112" s="204" t="s">
        <v>141</v>
      </c>
      <c r="F112" s="204" t="s">
        <v>208</v>
      </c>
      <c r="G112" s="204" t="s">
        <v>209</v>
      </c>
      <c r="H112" s="204" t="s">
        <v>349</v>
      </c>
      <c r="I112" s="261">
        <v>40134</v>
      </c>
      <c r="J112" s="205">
        <v>913.66020000000003</v>
      </c>
    </row>
    <row r="113" spans="2:10" x14ac:dyDescent="0.35">
      <c r="B113" s="204">
        <v>651</v>
      </c>
      <c r="C113" s="204" t="s">
        <v>350</v>
      </c>
      <c r="D113" s="204" t="s">
        <v>86</v>
      </c>
      <c r="E113" s="204" t="s">
        <v>106</v>
      </c>
      <c r="F113" s="204" t="s">
        <v>107</v>
      </c>
      <c r="G113" s="204" t="s">
        <v>108</v>
      </c>
      <c r="H113" s="204" t="s">
        <v>351</v>
      </c>
      <c r="I113" s="261">
        <v>39427</v>
      </c>
      <c r="J113" s="205">
        <v>2350.8200999999999</v>
      </c>
    </row>
    <row r="114" spans="2:10" x14ac:dyDescent="0.35">
      <c r="B114" s="204">
        <v>652</v>
      </c>
      <c r="C114" s="204" t="s">
        <v>352</v>
      </c>
      <c r="D114" s="204" t="s">
        <v>86</v>
      </c>
      <c r="E114" s="204" t="s">
        <v>62</v>
      </c>
      <c r="F114" s="204" t="s">
        <v>174</v>
      </c>
      <c r="G114" s="204" t="s">
        <v>353</v>
      </c>
      <c r="H114" s="204" t="s">
        <v>354</v>
      </c>
      <c r="I114" s="261">
        <v>39675</v>
      </c>
      <c r="J114" s="205">
        <v>1099.3713</v>
      </c>
    </row>
    <row r="115" spans="2:10" x14ac:dyDescent="0.35">
      <c r="B115" s="204">
        <v>653</v>
      </c>
      <c r="C115" s="204" t="s">
        <v>355</v>
      </c>
      <c r="D115" s="204" t="s">
        <v>86</v>
      </c>
      <c r="E115" s="204" t="s">
        <v>66</v>
      </c>
      <c r="F115" s="204" t="s">
        <v>167</v>
      </c>
      <c r="G115" s="204" t="s">
        <v>168</v>
      </c>
      <c r="H115" s="204" t="s">
        <v>356</v>
      </c>
      <c r="I115" s="261">
        <v>39783</v>
      </c>
      <c r="J115" s="205">
        <v>957.12440000000004</v>
      </c>
    </row>
    <row r="116" spans="2:10" x14ac:dyDescent="0.35">
      <c r="B116" s="204">
        <v>654</v>
      </c>
      <c r="C116" s="204" t="s">
        <v>357</v>
      </c>
      <c r="D116" s="204" t="s">
        <v>86</v>
      </c>
      <c r="E116" s="204" t="s">
        <v>62</v>
      </c>
      <c r="F116" s="204" t="s">
        <v>99</v>
      </c>
      <c r="G116" s="204" t="s">
        <v>358</v>
      </c>
      <c r="H116" s="204" t="s">
        <v>359</v>
      </c>
      <c r="I116" s="261">
        <v>39701</v>
      </c>
      <c r="J116" s="205">
        <v>1179.5416</v>
      </c>
    </row>
    <row r="117" spans="2:10" x14ac:dyDescent="0.35">
      <c r="B117" s="204">
        <v>656</v>
      </c>
      <c r="C117" s="204" t="s">
        <v>360</v>
      </c>
      <c r="D117" s="204" t="s">
        <v>86</v>
      </c>
      <c r="E117" s="204" t="s">
        <v>62</v>
      </c>
      <c r="F117" s="204" t="s">
        <v>63</v>
      </c>
      <c r="G117" s="204" t="s">
        <v>73</v>
      </c>
      <c r="H117" s="204" t="s">
        <v>361</v>
      </c>
      <c r="I117" s="261">
        <v>40150</v>
      </c>
      <c r="J117" s="205">
        <v>1197.1297</v>
      </c>
    </row>
    <row r="118" spans="2:10" x14ac:dyDescent="0.35">
      <c r="B118" s="204">
        <v>657</v>
      </c>
      <c r="C118" s="204" t="s">
        <v>362</v>
      </c>
      <c r="D118" s="204" t="s">
        <v>56</v>
      </c>
      <c r="E118" s="204" t="s">
        <v>62</v>
      </c>
      <c r="F118" s="204" t="s">
        <v>99</v>
      </c>
      <c r="G118" s="204" t="s">
        <v>362</v>
      </c>
      <c r="H118" s="204" t="s">
        <v>363</v>
      </c>
      <c r="I118" s="261">
        <v>40150</v>
      </c>
      <c r="J118" s="205">
        <v>1219.1459</v>
      </c>
    </row>
    <row r="119" spans="2:10" x14ac:dyDescent="0.35">
      <c r="B119" s="204">
        <v>659</v>
      </c>
      <c r="C119" s="204" t="s">
        <v>364</v>
      </c>
      <c r="D119" s="204" t="s">
        <v>56</v>
      </c>
      <c r="E119" s="204" t="s">
        <v>141</v>
      </c>
      <c r="F119" s="204" t="s">
        <v>208</v>
      </c>
      <c r="G119" s="204" t="s">
        <v>209</v>
      </c>
      <c r="H119" s="204" t="s">
        <v>365</v>
      </c>
      <c r="I119" s="261">
        <v>40141</v>
      </c>
      <c r="J119" s="205">
        <v>1645.1712</v>
      </c>
    </row>
    <row r="120" spans="2:10" x14ac:dyDescent="0.35">
      <c r="B120" s="204">
        <v>660</v>
      </c>
      <c r="C120" s="204" t="s">
        <v>366</v>
      </c>
      <c r="D120" s="204" t="s">
        <v>86</v>
      </c>
      <c r="E120" s="204" t="s">
        <v>141</v>
      </c>
      <c r="F120" s="204" t="s">
        <v>155</v>
      </c>
      <c r="G120" s="204" t="s">
        <v>154</v>
      </c>
      <c r="H120" s="204" t="s">
        <v>367</v>
      </c>
      <c r="I120" s="261">
        <v>39751</v>
      </c>
      <c r="J120" s="205">
        <v>1051.8357000000001</v>
      </c>
    </row>
    <row r="121" spans="2:10" x14ac:dyDescent="0.35">
      <c r="B121" s="204">
        <v>661</v>
      </c>
      <c r="C121" s="204" t="s">
        <v>368</v>
      </c>
      <c r="D121" s="204" t="s">
        <v>86</v>
      </c>
      <c r="E121" s="204" t="s">
        <v>66</v>
      </c>
      <c r="F121" s="204" t="s">
        <v>219</v>
      </c>
      <c r="G121" s="204" t="s">
        <v>220</v>
      </c>
      <c r="H121" s="204" t="s">
        <v>369</v>
      </c>
      <c r="I121" s="261">
        <v>40142</v>
      </c>
      <c r="J121" s="205">
        <v>1029.3861999999999</v>
      </c>
    </row>
    <row r="122" spans="2:10" x14ac:dyDescent="0.35">
      <c r="B122" s="204">
        <v>662</v>
      </c>
      <c r="C122" s="204" t="s">
        <v>370</v>
      </c>
      <c r="D122" s="204" t="s">
        <v>56</v>
      </c>
      <c r="E122" s="204" t="s">
        <v>62</v>
      </c>
      <c r="F122" s="204" t="s">
        <v>63</v>
      </c>
      <c r="G122" s="204" t="s">
        <v>73</v>
      </c>
      <c r="H122" s="204" t="s">
        <v>371</v>
      </c>
      <c r="I122" s="261">
        <v>39574</v>
      </c>
      <c r="J122" s="205">
        <v>1903.8937000000001</v>
      </c>
    </row>
    <row r="123" spans="2:10" x14ac:dyDescent="0.35">
      <c r="B123" s="204">
        <v>663</v>
      </c>
      <c r="C123" s="204" t="s">
        <v>372</v>
      </c>
      <c r="D123" s="204" t="s">
        <v>86</v>
      </c>
      <c r="E123" s="204" t="s">
        <v>141</v>
      </c>
      <c r="F123" s="204" t="s">
        <v>142</v>
      </c>
      <c r="G123" s="204" t="s">
        <v>140</v>
      </c>
      <c r="H123" s="204" t="s">
        <v>373</v>
      </c>
      <c r="I123" s="261">
        <v>39910</v>
      </c>
      <c r="J123" s="205">
        <v>1243.5630000000001</v>
      </c>
    </row>
    <row r="124" spans="2:10" x14ac:dyDescent="0.35">
      <c r="B124" s="204">
        <v>664</v>
      </c>
      <c r="C124" s="204" t="s">
        <v>374</v>
      </c>
      <c r="D124" s="204" t="s">
        <v>56</v>
      </c>
      <c r="E124" s="204" t="s">
        <v>57</v>
      </c>
      <c r="F124" s="204" t="s">
        <v>83</v>
      </c>
      <c r="G124" s="204" t="s">
        <v>374</v>
      </c>
      <c r="H124" s="204" t="s">
        <v>375</v>
      </c>
      <c r="I124" s="261">
        <v>39639</v>
      </c>
      <c r="J124" s="205">
        <v>1121.3861999999999</v>
      </c>
    </row>
    <row r="125" spans="2:10" x14ac:dyDescent="0.35">
      <c r="B125" s="204">
        <v>665</v>
      </c>
      <c r="C125" s="204" t="s">
        <v>376</v>
      </c>
      <c r="D125" s="204" t="s">
        <v>56</v>
      </c>
      <c r="E125" s="204" t="s">
        <v>62</v>
      </c>
      <c r="F125" s="204" t="s">
        <v>63</v>
      </c>
      <c r="G125" s="204" t="s">
        <v>376</v>
      </c>
      <c r="H125" s="204" t="s">
        <v>377</v>
      </c>
      <c r="I125" s="261">
        <v>39681</v>
      </c>
      <c r="J125" s="205">
        <v>1306.365</v>
      </c>
    </row>
    <row r="126" spans="2:10" x14ac:dyDescent="0.35">
      <c r="B126" s="204">
        <v>667</v>
      </c>
      <c r="C126" s="204" t="s">
        <v>378</v>
      </c>
      <c r="D126" s="204" t="s">
        <v>86</v>
      </c>
      <c r="E126" s="204" t="s">
        <v>62</v>
      </c>
      <c r="F126" s="204" t="s">
        <v>174</v>
      </c>
      <c r="G126" s="204" t="s">
        <v>379</v>
      </c>
      <c r="H126" s="204" t="s">
        <v>380</v>
      </c>
      <c r="I126" s="261">
        <v>39695</v>
      </c>
      <c r="J126" s="205">
        <v>934.92840000000001</v>
      </c>
    </row>
    <row r="127" spans="2:10" x14ac:dyDescent="0.35">
      <c r="B127" s="204">
        <v>671</v>
      </c>
      <c r="C127" s="204" t="s">
        <v>381</v>
      </c>
      <c r="D127" s="204" t="s">
        <v>56</v>
      </c>
      <c r="E127" s="204" t="s">
        <v>106</v>
      </c>
      <c r="F127" s="204" t="s">
        <v>122</v>
      </c>
      <c r="G127" s="204" t="s">
        <v>381</v>
      </c>
      <c r="H127" s="204" t="s">
        <v>382</v>
      </c>
      <c r="I127" s="261">
        <v>39737</v>
      </c>
      <c r="J127" s="205">
        <v>1020.8732</v>
      </c>
    </row>
    <row r="128" spans="2:10" x14ac:dyDescent="0.35">
      <c r="B128" s="204">
        <v>672</v>
      </c>
      <c r="C128" s="204" t="s">
        <v>383</v>
      </c>
      <c r="D128" s="204" t="s">
        <v>86</v>
      </c>
      <c r="E128" s="204" t="s">
        <v>62</v>
      </c>
      <c r="F128" s="204" t="s">
        <v>63</v>
      </c>
      <c r="G128" s="204" t="s">
        <v>384</v>
      </c>
      <c r="H128" s="204" t="s">
        <v>385</v>
      </c>
      <c r="I128" s="261">
        <v>39786</v>
      </c>
      <c r="J128" s="205">
        <v>1017.4678</v>
      </c>
    </row>
    <row r="129" spans="2:10" x14ac:dyDescent="0.35">
      <c r="B129" s="204">
        <v>674</v>
      </c>
      <c r="C129" s="204" t="s">
        <v>386</v>
      </c>
      <c r="D129" s="204" t="s">
        <v>86</v>
      </c>
      <c r="E129" s="204" t="s">
        <v>62</v>
      </c>
      <c r="F129" s="204" t="s">
        <v>63</v>
      </c>
      <c r="G129" s="204" t="s">
        <v>387</v>
      </c>
      <c r="H129" s="204" t="s">
        <v>388</v>
      </c>
      <c r="I129" s="261">
        <v>39765</v>
      </c>
      <c r="J129" s="205">
        <v>1174.1659</v>
      </c>
    </row>
    <row r="130" spans="2:10" x14ac:dyDescent="0.35">
      <c r="B130" s="204">
        <v>675</v>
      </c>
      <c r="C130" s="204" t="s">
        <v>389</v>
      </c>
      <c r="D130" s="204" t="s">
        <v>56</v>
      </c>
      <c r="E130" s="204" t="s">
        <v>57</v>
      </c>
      <c r="F130" s="204" t="s">
        <v>58</v>
      </c>
      <c r="G130" s="204" t="s">
        <v>389</v>
      </c>
      <c r="H130" s="204" t="s">
        <v>390</v>
      </c>
      <c r="I130" s="261">
        <v>39716</v>
      </c>
      <c r="J130" s="205">
        <v>1403.7905000000001</v>
      </c>
    </row>
    <row r="131" spans="2:10" x14ac:dyDescent="0.35">
      <c r="B131" s="204">
        <v>676</v>
      </c>
      <c r="C131" s="204" t="s">
        <v>391</v>
      </c>
      <c r="D131" s="204" t="s">
        <v>86</v>
      </c>
      <c r="E131" s="204" t="s">
        <v>57</v>
      </c>
      <c r="F131" s="204" t="s">
        <v>58</v>
      </c>
      <c r="G131" s="204" t="s">
        <v>392</v>
      </c>
      <c r="H131" s="204" t="s">
        <v>393</v>
      </c>
      <c r="I131" s="261">
        <v>40073</v>
      </c>
      <c r="J131" s="205">
        <v>1142.1602</v>
      </c>
    </row>
    <row r="132" spans="2:10" x14ac:dyDescent="0.35">
      <c r="B132" s="204">
        <v>677</v>
      </c>
      <c r="C132" s="204" t="s">
        <v>394</v>
      </c>
      <c r="D132" s="204" t="s">
        <v>86</v>
      </c>
      <c r="E132" s="204" t="s">
        <v>66</v>
      </c>
      <c r="F132" s="204" t="s">
        <v>75</v>
      </c>
      <c r="G132" s="204" t="s">
        <v>76</v>
      </c>
      <c r="H132" s="204" t="s">
        <v>395</v>
      </c>
      <c r="I132" s="261">
        <v>40283</v>
      </c>
      <c r="J132" s="205">
        <v>1277.9765</v>
      </c>
    </row>
    <row r="133" spans="2:10" x14ac:dyDescent="0.35">
      <c r="B133" s="204">
        <v>678</v>
      </c>
      <c r="C133" s="204" t="s">
        <v>396</v>
      </c>
      <c r="D133" s="204" t="s">
        <v>86</v>
      </c>
      <c r="E133" s="204" t="s">
        <v>106</v>
      </c>
      <c r="F133" s="204" t="s">
        <v>122</v>
      </c>
      <c r="G133" s="204" t="s">
        <v>397</v>
      </c>
      <c r="H133" s="204" t="s">
        <v>398</v>
      </c>
      <c r="I133" s="261">
        <v>39788</v>
      </c>
      <c r="J133" s="205">
        <v>1047.9267</v>
      </c>
    </row>
    <row r="134" spans="2:10" x14ac:dyDescent="0.35">
      <c r="B134" s="204">
        <v>679</v>
      </c>
      <c r="C134" s="204" t="s">
        <v>399</v>
      </c>
      <c r="D134" s="204" t="s">
        <v>56</v>
      </c>
      <c r="E134" s="204" t="s">
        <v>66</v>
      </c>
      <c r="F134" s="204" t="s">
        <v>75</v>
      </c>
      <c r="G134" s="204" t="s">
        <v>399</v>
      </c>
      <c r="H134" s="204" t="s">
        <v>151</v>
      </c>
      <c r="I134" s="261">
        <v>39786</v>
      </c>
      <c r="J134" s="205">
        <v>1177.3821</v>
      </c>
    </row>
    <row r="135" spans="2:10" x14ac:dyDescent="0.35">
      <c r="B135" s="204">
        <v>680</v>
      </c>
      <c r="C135" s="204" t="s">
        <v>400</v>
      </c>
      <c r="D135" s="204" t="s">
        <v>86</v>
      </c>
      <c r="E135" s="204" t="s">
        <v>106</v>
      </c>
      <c r="F135" s="204" t="s">
        <v>122</v>
      </c>
      <c r="G135" s="204" t="s">
        <v>123</v>
      </c>
      <c r="H135" s="204" t="s">
        <v>401</v>
      </c>
      <c r="I135" s="261">
        <v>40151</v>
      </c>
      <c r="J135" s="205">
        <v>1089.9949999999999</v>
      </c>
    </row>
    <row r="136" spans="2:10" x14ac:dyDescent="0.35">
      <c r="B136" s="204">
        <v>681</v>
      </c>
      <c r="C136" s="204" t="s">
        <v>402</v>
      </c>
      <c r="D136" s="204" t="s">
        <v>86</v>
      </c>
      <c r="E136" s="204" t="s">
        <v>141</v>
      </c>
      <c r="F136" s="204" t="s">
        <v>403</v>
      </c>
      <c r="G136" s="204" t="s">
        <v>404</v>
      </c>
      <c r="H136" s="204" t="s">
        <v>405</v>
      </c>
      <c r="I136" s="261">
        <v>40407</v>
      </c>
      <c r="J136" s="205">
        <v>1105.4306999999999</v>
      </c>
    </row>
    <row r="137" spans="2:10" x14ac:dyDescent="0.35">
      <c r="B137" s="204">
        <v>682</v>
      </c>
      <c r="C137" s="204" t="s">
        <v>406</v>
      </c>
      <c r="D137" s="204" t="s">
        <v>86</v>
      </c>
      <c r="E137" s="204" t="s">
        <v>62</v>
      </c>
      <c r="F137" s="204" t="s">
        <v>63</v>
      </c>
      <c r="G137" s="204" t="s">
        <v>407</v>
      </c>
      <c r="H137" s="204" t="s">
        <v>408</v>
      </c>
      <c r="I137" s="261">
        <v>39786</v>
      </c>
      <c r="J137" s="205">
        <v>1200.0143</v>
      </c>
    </row>
    <row r="138" spans="2:10" x14ac:dyDescent="0.35">
      <c r="B138" s="204">
        <v>684</v>
      </c>
      <c r="C138" s="204" t="s">
        <v>409</v>
      </c>
      <c r="D138" s="204" t="s">
        <v>86</v>
      </c>
      <c r="E138" s="204" t="s">
        <v>106</v>
      </c>
      <c r="F138" s="204" t="s">
        <v>107</v>
      </c>
      <c r="G138" s="204" t="s">
        <v>108</v>
      </c>
      <c r="H138" s="204" t="s">
        <v>410</v>
      </c>
      <c r="I138" s="261">
        <v>39933</v>
      </c>
      <c r="J138" s="205">
        <v>1165.3948</v>
      </c>
    </row>
    <row r="139" spans="2:10" x14ac:dyDescent="0.35">
      <c r="B139" s="204">
        <v>685</v>
      </c>
      <c r="C139" s="204" t="s">
        <v>411</v>
      </c>
      <c r="D139" s="204" t="s">
        <v>86</v>
      </c>
      <c r="E139" s="204" t="s">
        <v>62</v>
      </c>
      <c r="F139" s="204" t="s">
        <v>174</v>
      </c>
      <c r="G139" s="204" t="s">
        <v>412</v>
      </c>
      <c r="H139" s="204" t="s">
        <v>413</v>
      </c>
      <c r="I139" s="261">
        <v>40456</v>
      </c>
      <c r="J139" s="205">
        <v>1060.7746</v>
      </c>
    </row>
    <row r="140" spans="2:10" x14ac:dyDescent="0.35">
      <c r="B140" s="204">
        <v>686</v>
      </c>
      <c r="C140" s="204" t="s">
        <v>414</v>
      </c>
      <c r="D140" s="204" t="s">
        <v>86</v>
      </c>
      <c r="E140" s="204" t="s">
        <v>57</v>
      </c>
      <c r="F140" s="204" t="s">
        <v>58</v>
      </c>
      <c r="G140" s="204" t="s">
        <v>59</v>
      </c>
      <c r="H140" s="204" t="s">
        <v>320</v>
      </c>
      <c r="I140" s="261">
        <v>41025</v>
      </c>
      <c r="J140" s="205">
        <v>1266.0578</v>
      </c>
    </row>
    <row r="141" spans="2:10" x14ac:dyDescent="0.35">
      <c r="B141" s="204">
        <v>687</v>
      </c>
      <c r="C141" s="204" t="s">
        <v>415</v>
      </c>
      <c r="D141" s="204" t="s">
        <v>86</v>
      </c>
      <c r="E141" s="204" t="s">
        <v>62</v>
      </c>
      <c r="F141" s="204" t="s">
        <v>174</v>
      </c>
      <c r="G141" s="204" t="s">
        <v>416</v>
      </c>
      <c r="H141" s="204" t="s">
        <v>417</v>
      </c>
      <c r="I141" s="261">
        <v>40302</v>
      </c>
      <c r="J141" s="205">
        <v>1029.6199999999999</v>
      </c>
    </row>
    <row r="142" spans="2:10" x14ac:dyDescent="0.35">
      <c r="B142" s="204">
        <v>688</v>
      </c>
      <c r="C142" s="204" t="s">
        <v>418</v>
      </c>
      <c r="D142" s="204" t="s">
        <v>86</v>
      </c>
      <c r="E142" s="204" t="s">
        <v>106</v>
      </c>
      <c r="F142" s="204" t="s">
        <v>251</v>
      </c>
      <c r="G142" s="204" t="s">
        <v>185</v>
      </c>
      <c r="H142" s="204" t="s">
        <v>419</v>
      </c>
      <c r="I142" s="261">
        <v>40688</v>
      </c>
      <c r="J142" s="205">
        <v>1142.9203</v>
      </c>
    </row>
    <row r="143" spans="2:10" x14ac:dyDescent="0.35">
      <c r="B143" s="204">
        <v>689</v>
      </c>
      <c r="C143" s="204" t="s">
        <v>420</v>
      </c>
      <c r="D143" s="204" t="s">
        <v>86</v>
      </c>
      <c r="E143" s="204" t="s">
        <v>62</v>
      </c>
      <c r="F143" s="204" t="s">
        <v>63</v>
      </c>
      <c r="G143" s="204" t="s">
        <v>73</v>
      </c>
      <c r="H143" s="204" t="s">
        <v>421</v>
      </c>
      <c r="I143" s="261">
        <v>40330</v>
      </c>
      <c r="J143" s="205">
        <v>1141.3484000000001</v>
      </c>
    </row>
    <row r="144" spans="2:10" x14ac:dyDescent="0.35">
      <c r="B144" s="204">
        <v>696</v>
      </c>
      <c r="C144" s="204" t="s">
        <v>422</v>
      </c>
      <c r="D144" s="204" t="s">
        <v>86</v>
      </c>
      <c r="E144" s="204" t="s">
        <v>57</v>
      </c>
      <c r="F144" s="204" t="s">
        <v>83</v>
      </c>
      <c r="G144" s="204" t="s">
        <v>423</v>
      </c>
      <c r="H144" s="204" t="s">
        <v>424</v>
      </c>
      <c r="I144" s="261">
        <v>40318</v>
      </c>
      <c r="J144" s="205">
        <v>1049.806</v>
      </c>
    </row>
    <row r="145" spans="2:10" x14ac:dyDescent="0.35">
      <c r="B145" s="204">
        <v>698</v>
      </c>
      <c r="C145" s="204" t="s">
        <v>425</v>
      </c>
      <c r="D145" s="204" t="s">
        <v>86</v>
      </c>
      <c r="E145" s="204" t="s">
        <v>62</v>
      </c>
      <c r="F145" s="204" t="s">
        <v>63</v>
      </c>
      <c r="G145" s="204" t="s">
        <v>426</v>
      </c>
      <c r="H145" s="204" t="s">
        <v>427</v>
      </c>
      <c r="I145" s="261">
        <v>40337</v>
      </c>
      <c r="J145" s="205">
        <v>890.024</v>
      </c>
    </row>
    <row r="146" spans="2:10" x14ac:dyDescent="0.35">
      <c r="B146" s="204">
        <v>699</v>
      </c>
      <c r="C146" s="204" t="s">
        <v>428</v>
      </c>
      <c r="D146" s="204" t="s">
        <v>86</v>
      </c>
      <c r="E146" s="204" t="s">
        <v>57</v>
      </c>
      <c r="F146" s="204" t="s">
        <v>58</v>
      </c>
      <c r="G146" s="204" t="s">
        <v>429</v>
      </c>
      <c r="H146" s="204" t="s">
        <v>430</v>
      </c>
      <c r="I146" s="261">
        <v>40302</v>
      </c>
      <c r="J146" s="205">
        <v>966.97799999999995</v>
      </c>
    </row>
    <row r="147" spans="2:10" x14ac:dyDescent="0.35">
      <c r="B147" s="204">
        <v>700</v>
      </c>
      <c r="C147" s="204" t="s">
        <v>431</v>
      </c>
      <c r="D147" s="204" t="s">
        <v>56</v>
      </c>
      <c r="E147" s="204" t="s">
        <v>62</v>
      </c>
      <c r="F147" s="204" t="s">
        <v>63</v>
      </c>
      <c r="G147" s="204" t="s">
        <v>73</v>
      </c>
      <c r="H147" s="204" t="s">
        <v>431</v>
      </c>
      <c r="I147" s="261">
        <v>40302</v>
      </c>
      <c r="J147" s="205">
        <v>1052.9962</v>
      </c>
    </row>
    <row r="148" spans="2:10" x14ac:dyDescent="0.35">
      <c r="B148" s="204">
        <v>709</v>
      </c>
      <c r="C148" s="204" t="s">
        <v>432</v>
      </c>
      <c r="D148" s="204" t="s">
        <v>86</v>
      </c>
      <c r="E148" s="204" t="s">
        <v>141</v>
      </c>
      <c r="F148" s="204" t="s">
        <v>208</v>
      </c>
      <c r="G148" s="204" t="s">
        <v>209</v>
      </c>
      <c r="H148" s="204" t="s">
        <v>433</v>
      </c>
      <c r="I148" s="261">
        <v>41037</v>
      </c>
      <c r="J148" s="205">
        <v>1353.6285</v>
      </c>
    </row>
    <row r="149" spans="2:10" x14ac:dyDescent="0.35">
      <c r="B149" s="204">
        <v>711</v>
      </c>
      <c r="C149" s="204" t="s">
        <v>434</v>
      </c>
      <c r="D149" s="204" t="s">
        <v>86</v>
      </c>
      <c r="E149" s="204" t="s">
        <v>62</v>
      </c>
      <c r="F149" s="204" t="s">
        <v>63</v>
      </c>
      <c r="G149" s="204" t="s">
        <v>435</v>
      </c>
      <c r="H149" s="204" t="s">
        <v>436</v>
      </c>
      <c r="I149" s="261">
        <v>40459</v>
      </c>
      <c r="J149" s="205">
        <v>1071.2082</v>
      </c>
    </row>
    <row r="150" spans="2:10" x14ac:dyDescent="0.35">
      <c r="B150" s="204">
        <v>712</v>
      </c>
      <c r="C150" s="204" t="s">
        <v>164</v>
      </c>
      <c r="D150" s="204" t="s">
        <v>56</v>
      </c>
      <c r="E150" s="204" t="s">
        <v>57</v>
      </c>
      <c r="F150" s="204" t="s">
        <v>58</v>
      </c>
      <c r="G150" s="204" t="s">
        <v>164</v>
      </c>
      <c r="H150" s="204" t="s">
        <v>437</v>
      </c>
      <c r="I150" s="261">
        <v>40409</v>
      </c>
      <c r="J150" s="205">
        <v>1303.8733999999999</v>
      </c>
    </row>
    <row r="151" spans="2:10" x14ac:dyDescent="0.35">
      <c r="B151" s="204">
        <v>715</v>
      </c>
      <c r="C151" s="204" t="s">
        <v>438</v>
      </c>
      <c r="D151" s="204" t="s">
        <v>56</v>
      </c>
      <c r="E151" s="204" t="s">
        <v>57</v>
      </c>
      <c r="F151" s="204" t="s">
        <v>83</v>
      </c>
      <c r="G151" s="204" t="s">
        <v>438</v>
      </c>
      <c r="H151" s="204" t="s">
        <v>439</v>
      </c>
      <c r="I151" s="261">
        <v>40449</v>
      </c>
      <c r="J151" s="205">
        <v>836.69839999999999</v>
      </c>
    </row>
    <row r="152" spans="2:10" x14ac:dyDescent="0.35">
      <c r="B152" s="204">
        <v>717</v>
      </c>
      <c r="C152" s="204" t="s">
        <v>440</v>
      </c>
      <c r="D152" s="204" t="s">
        <v>86</v>
      </c>
      <c r="E152" s="204" t="s">
        <v>62</v>
      </c>
      <c r="F152" s="204" t="s">
        <v>63</v>
      </c>
      <c r="G152" s="204" t="s">
        <v>441</v>
      </c>
      <c r="H152" s="204" t="s">
        <v>442</v>
      </c>
      <c r="I152" s="261">
        <v>40444</v>
      </c>
      <c r="J152" s="205">
        <v>621.07690000000002</v>
      </c>
    </row>
    <row r="153" spans="2:10" x14ac:dyDescent="0.35">
      <c r="B153" s="204">
        <v>719</v>
      </c>
      <c r="C153" s="204" t="s">
        <v>443</v>
      </c>
      <c r="D153" s="204" t="s">
        <v>56</v>
      </c>
      <c r="E153" s="204" t="s">
        <v>66</v>
      </c>
      <c r="F153" s="204" t="s">
        <v>200</v>
      </c>
      <c r="G153" s="204" t="s">
        <v>443</v>
      </c>
      <c r="H153" s="204" t="s">
        <v>444</v>
      </c>
      <c r="I153" s="261">
        <v>40492</v>
      </c>
      <c r="J153" s="205">
        <v>994.73</v>
      </c>
    </row>
    <row r="154" spans="2:10" x14ac:dyDescent="0.35">
      <c r="B154" s="204">
        <v>721</v>
      </c>
      <c r="C154" s="204" t="s">
        <v>445</v>
      </c>
      <c r="D154" s="204" t="s">
        <v>86</v>
      </c>
      <c r="E154" s="204" t="s">
        <v>62</v>
      </c>
      <c r="F154" s="204" t="s">
        <v>99</v>
      </c>
      <c r="G154" s="204" t="s">
        <v>100</v>
      </c>
      <c r="H154" s="204" t="s">
        <v>446</v>
      </c>
      <c r="I154" s="261">
        <v>40515</v>
      </c>
      <c r="J154" s="205">
        <v>877.12</v>
      </c>
    </row>
    <row r="155" spans="2:10" x14ac:dyDescent="0.35">
      <c r="B155" s="204">
        <v>723</v>
      </c>
      <c r="C155" s="204" t="s">
        <v>447</v>
      </c>
      <c r="D155" s="204" t="s">
        <v>86</v>
      </c>
      <c r="E155" s="204" t="s">
        <v>62</v>
      </c>
      <c r="F155" s="204" t="s">
        <v>63</v>
      </c>
      <c r="G155" s="204" t="s">
        <v>448</v>
      </c>
      <c r="H155" s="204" t="s">
        <v>449</v>
      </c>
      <c r="I155" s="261">
        <v>40517</v>
      </c>
      <c r="J155" s="205">
        <v>943.74369999999999</v>
      </c>
    </row>
    <row r="156" spans="2:10" x14ac:dyDescent="0.35">
      <c r="B156" s="204">
        <v>725</v>
      </c>
      <c r="C156" s="204" t="s">
        <v>450</v>
      </c>
      <c r="D156" s="204" t="s">
        <v>56</v>
      </c>
      <c r="E156" s="204" t="s">
        <v>62</v>
      </c>
      <c r="F156" s="204" t="s">
        <v>174</v>
      </c>
      <c r="G156" s="204" t="s">
        <v>175</v>
      </c>
      <c r="H156" s="204" t="s">
        <v>451</v>
      </c>
      <c r="I156" s="261">
        <v>40535</v>
      </c>
      <c r="J156" s="205">
        <v>1021.1615</v>
      </c>
    </row>
    <row r="157" spans="2:10" x14ac:dyDescent="0.35">
      <c r="B157" s="204">
        <v>726</v>
      </c>
      <c r="C157" s="204" t="s">
        <v>452</v>
      </c>
      <c r="D157" s="204" t="s">
        <v>56</v>
      </c>
      <c r="E157" s="204" t="s">
        <v>62</v>
      </c>
      <c r="F157" s="204" t="s">
        <v>63</v>
      </c>
      <c r="G157" s="204" t="s">
        <v>73</v>
      </c>
      <c r="H157" s="204" t="s">
        <v>453</v>
      </c>
      <c r="I157" s="261">
        <v>40442</v>
      </c>
      <c r="J157" s="205">
        <v>942.03300000000002</v>
      </c>
    </row>
    <row r="158" spans="2:10" x14ac:dyDescent="0.35">
      <c r="B158" s="204">
        <v>727</v>
      </c>
      <c r="C158" s="204" t="s">
        <v>454</v>
      </c>
      <c r="D158" s="204" t="s">
        <v>86</v>
      </c>
      <c r="E158" s="204" t="s">
        <v>66</v>
      </c>
      <c r="F158" s="204" t="s">
        <v>267</v>
      </c>
      <c r="G158" s="204" t="s">
        <v>455</v>
      </c>
      <c r="H158" s="204" t="s">
        <v>456</v>
      </c>
      <c r="I158" s="261">
        <v>40491</v>
      </c>
      <c r="J158" s="205">
        <v>934.18859999999995</v>
      </c>
    </row>
    <row r="159" spans="2:10" x14ac:dyDescent="0.35">
      <c r="B159" s="204">
        <v>729</v>
      </c>
      <c r="C159" s="204" t="s">
        <v>457</v>
      </c>
      <c r="D159" s="204" t="s">
        <v>86</v>
      </c>
      <c r="E159" s="204" t="s">
        <v>62</v>
      </c>
      <c r="F159" s="204" t="s">
        <v>174</v>
      </c>
      <c r="G159" s="204" t="s">
        <v>458</v>
      </c>
      <c r="H159" s="204" t="s">
        <v>459</v>
      </c>
      <c r="I159" s="261">
        <v>40515</v>
      </c>
      <c r="J159" s="205">
        <v>973.35490000000004</v>
      </c>
    </row>
    <row r="160" spans="2:10" x14ac:dyDescent="0.35">
      <c r="B160" s="204">
        <v>730</v>
      </c>
      <c r="C160" s="204" t="s">
        <v>460</v>
      </c>
      <c r="D160" s="204" t="s">
        <v>56</v>
      </c>
      <c r="E160" s="204" t="s">
        <v>57</v>
      </c>
      <c r="F160" s="204" t="s">
        <v>58</v>
      </c>
      <c r="G160" s="204" t="s">
        <v>59</v>
      </c>
      <c r="H160" s="204" t="s">
        <v>461</v>
      </c>
      <c r="I160" s="261">
        <v>40486</v>
      </c>
      <c r="J160" s="205">
        <v>1455.607</v>
      </c>
    </row>
    <row r="161" spans="2:10" x14ac:dyDescent="0.35">
      <c r="B161" s="204">
        <v>731</v>
      </c>
      <c r="C161" s="204" t="s">
        <v>462</v>
      </c>
      <c r="D161" s="204" t="s">
        <v>86</v>
      </c>
      <c r="E161" s="204" t="s">
        <v>62</v>
      </c>
      <c r="F161" s="204" t="s">
        <v>63</v>
      </c>
      <c r="G161" s="204" t="s">
        <v>73</v>
      </c>
      <c r="H161" s="204" t="s">
        <v>463</v>
      </c>
      <c r="I161" s="261">
        <v>40519</v>
      </c>
      <c r="J161" s="205">
        <v>1319.6442</v>
      </c>
    </row>
    <row r="162" spans="2:10" x14ac:dyDescent="0.35">
      <c r="B162" s="204">
        <v>732</v>
      </c>
      <c r="C162" s="204" t="s">
        <v>271</v>
      </c>
      <c r="D162" s="204" t="s">
        <v>56</v>
      </c>
      <c r="E162" s="204" t="s">
        <v>66</v>
      </c>
      <c r="F162" s="204" t="s">
        <v>95</v>
      </c>
      <c r="G162" s="204" t="s">
        <v>271</v>
      </c>
      <c r="H162" s="204" t="s">
        <v>464</v>
      </c>
      <c r="I162" s="261">
        <v>40570</v>
      </c>
      <c r="J162" s="205">
        <v>1178.9860000000001</v>
      </c>
    </row>
    <row r="163" spans="2:10" x14ac:dyDescent="0.35">
      <c r="B163" s="204">
        <v>733</v>
      </c>
      <c r="C163" s="204" t="s">
        <v>465</v>
      </c>
      <c r="D163" s="204" t="s">
        <v>56</v>
      </c>
      <c r="E163" s="204" t="s">
        <v>62</v>
      </c>
      <c r="F163" s="204" t="s">
        <v>174</v>
      </c>
      <c r="G163" s="204" t="s">
        <v>466</v>
      </c>
      <c r="H163" s="204" t="s">
        <v>467</v>
      </c>
      <c r="I163" s="261">
        <v>40532</v>
      </c>
      <c r="J163" s="205">
        <v>1186.2844</v>
      </c>
    </row>
    <row r="164" spans="2:10" x14ac:dyDescent="0.35">
      <c r="B164" s="204">
        <v>734</v>
      </c>
      <c r="C164" s="204" t="s">
        <v>468</v>
      </c>
      <c r="D164" s="204" t="s">
        <v>56</v>
      </c>
      <c r="E164" s="204" t="s">
        <v>62</v>
      </c>
      <c r="F164" s="204" t="s">
        <v>63</v>
      </c>
      <c r="G164" s="204" t="s">
        <v>73</v>
      </c>
      <c r="H164" s="204" t="s">
        <v>469</v>
      </c>
      <c r="I164" s="261">
        <v>40526</v>
      </c>
      <c r="J164" s="205">
        <v>856.60540000000003</v>
      </c>
    </row>
    <row r="165" spans="2:10" x14ac:dyDescent="0.35">
      <c r="B165" s="204">
        <v>737</v>
      </c>
      <c r="C165" s="204" t="s">
        <v>470</v>
      </c>
      <c r="D165" s="204" t="s">
        <v>86</v>
      </c>
      <c r="E165" s="204" t="s">
        <v>62</v>
      </c>
      <c r="F165" s="204" t="s">
        <v>63</v>
      </c>
      <c r="G165" s="204" t="s">
        <v>471</v>
      </c>
      <c r="H165" s="204" t="s">
        <v>472</v>
      </c>
      <c r="I165" s="261">
        <v>40499</v>
      </c>
      <c r="J165" s="205">
        <v>944.70759999999996</v>
      </c>
    </row>
    <row r="166" spans="2:10" x14ac:dyDescent="0.35">
      <c r="B166" s="204">
        <v>741</v>
      </c>
      <c r="C166" s="204" t="s">
        <v>473</v>
      </c>
      <c r="D166" s="204" t="s">
        <v>86</v>
      </c>
      <c r="E166" s="204" t="s">
        <v>141</v>
      </c>
      <c r="F166" s="204" t="s">
        <v>142</v>
      </c>
      <c r="G166" s="204" t="s">
        <v>140</v>
      </c>
      <c r="H166" s="204" t="s">
        <v>474</v>
      </c>
      <c r="I166" s="261">
        <v>41081</v>
      </c>
      <c r="J166" s="205">
        <v>1789.9476999999999</v>
      </c>
    </row>
    <row r="167" spans="2:10" x14ac:dyDescent="0.35">
      <c r="B167" s="204">
        <v>742</v>
      </c>
      <c r="C167" s="204" t="s">
        <v>475</v>
      </c>
      <c r="D167" s="204" t="s">
        <v>56</v>
      </c>
      <c r="E167" s="204" t="s">
        <v>62</v>
      </c>
      <c r="F167" s="204" t="s">
        <v>476</v>
      </c>
      <c r="G167" s="204" t="s">
        <v>475</v>
      </c>
      <c r="H167" s="204" t="s">
        <v>477</v>
      </c>
      <c r="I167" s="261">
        <v>41236</v>
      </c>
      <c r="J167" s="205">
        <v>928.77660000000003</v>
      </c>
    </row>
    <row r="168" spans="2:10" x14ac:dyDescent="0.35">
      <c r="B168" s="204">
        <v>744</v>
      </c>
      <c r="C168" s="204" t="s">
        <v>431</v>
      </c>
      <c r="D168" s="204" t="s">
        <v>56</v>
      </c>
      <c r="E168" s="204" t="s">
        <v>62</v>
      </c>
      <c r="F168" s="204" t="s">
        <v>63</v>
      </c>
      <c r="G168" s="204" t="s">
        <v>73</v>
      </c>
      <c r="H168" s="204" t="s">
        <v>431</v>
      </c>
      <c r="I168" s="261">
        <v>40667</v>
      </c>
      <c r="J168" s="205">
        <v>977.97</v>
      </c>
    </row>
    <row r="169" spans="2:10" x14ac:dyDescent="0.35">
      <c r="B169" s="204">
        <v>745</v>
      </c>
      <c r="C169" s="204" t="s">
        <v>358</v>
      </c>
      <c r="D169" s="204" t="s">
        <v>56</v>
      </c>
      <c r="E169" s="204" t="s">
        <v>62</v>
      </c>
      <c r="F169" s="204" t="s">
        <v>99</v>
      </c>
      <c r="G169" s="204" t="s">
        <v>358</v>
      </c>
      <c r="H169" s="204" t="s">
        <v>478</v>
      </c>
      <c r="I169" s="261">
        <v>40865</v>
      </c>
      <c r="J169" s="205">
        <v>905.84789999999998</v>
      </c>
    </row>
    <row r="170" spans="2:10" x14ac:dyDescent="0.35">
      <c r="B170" s="204">
        <v>747</v>
      </c>
      <c r="C170" s="204" t="s">
        <v>479</v>
      </c>
      <c r="D170" s="204" t="s">
        <v>56</v>
      </c>
      <c r="E170" s="204" t="s">
        <v>62</v>
      </c>
      <c r="F170" s="204" t="s">
        <v>63</v>
      </c>
      <c r="G170" s="204" t="s">
        <v>126</v>
      </c>
      <c r="H170" s="204" t="s">
        <v>480</v>
      </c>
      <c r="I170" s="261">
        <v>41025</v>
      </c>
      <c r="J170" s="205">
        <v>1140.3968</v>
      </c>
    </row>
    <row r="171" spans="2:10" x14ac:dyDescent="0.35">
      <c r="B171" s="204">
        <v>751</v>
      </c>
      <c r="C171" s="204" t="s">
        <v>481</v>
      </c>
      <c r="D171" s="204" t="s">
        <v>56</v>
      </c>
      <c r="E171" s="204" t="s">
        <v>106</v>
      </c>
      <c r="F171" s="204" t="s">
        <v>107</v>
      </c>
      <c r="G171" s="204" t="s">
        <v>108</v>
      </c>
      <c r="H171" s="204" t="s">
        <v>482</v>
      </c>
      <c r="I171" s="261">
        <v>40522</v>
      </c>
      <c r="J171" s="205">
        <v>1100.4095</v>
      </c>
    </row>
    <row r="172" spans="2:10" x14ac:dyDescent="0.35">
      <c r="B172" s="204">
        <v>752</v>
      </c>
      <c r="C172" s="204" t="s">
        <v>483</v>
      </c>
      <c r="D172" s="204" t="s">
        <v>56</v>
      </c>
      <c r="E172" s="204" t="s">
        <v>106</v>
      </c>
      <c r="F172" s="204" t="s">
        <v>107</v>
      </c>
      <c r="G172" s="204" t="s">
        <v>108</v>
      </c>
      <c r="H172" s="204" t="s">
        <v>484</v>
      </c>
      <c r="I172" s="261">
        <v>40511</v>
      </c>
      <c r="J172" s="205">
        <v>863.77819999999997</v>
      </c>
    </row>
    <row r="173" spans="2:10" x14ac:dyDescent="0.35">
      <c r="B173" s="204">
        <v>753</v>
      </c>
      <c r="C173" s="204" t="s">
        <v>485</v>
      </c>
      <c r="D173" s="204" t="s">
        <v>56</v>
      </c>
      <c r="E173" s="204" t="s">
        <v>106</v>
      </c>
      <c r="F173" s="204" t="s">
        <v>107</v>
      </c>
      <c r="G173" s="204" t="s">
        <v>108</v>
      </c>
      <c r="H173" s="204" t="s">
        <v>486</v>
      </c>
      <c r="I173" s="261">
        <v>40512</v>
      </c>
      <c r="J173" s="205">
        <v>971.36329999999998</v>
      </c>
    </row>
    <row r="174" spans="2:10" x14ac:dyDescent="0.35">
      <c r="B174" s="204">
        <v>754</v>
      </c>
      <c r="C174" s="204" t="s">
        <v>487</v>
      </c>
      <c r="D174" s="204" t="s">
        <v>86</v>
      </c>
      <c r="E174" s="204" t="s">
        <v>62</v>
      </c>
      <c r="F174" s="204" t="s">
        <v>476</v>
      </c>
      <c r="G174" s="204" t="s">
        <v>488</v>
      </c>
      <c r="H174" s="204" t="s">
        <v>489</v>
      </c>
      <c r="I174" s="261">
        <v>40883</v>
      </c>
      <c r="J174" s="205">
        <v>1173.7325000000001</v>
      </c>
    </row>
    <row r="175" spans="2:10" x14ac:dyDescent="0.35">
      <c r="B175" s="204">
        <v>756</v>
      </c>
      <c r="C175" s="204" t="s">
        <v>490</v>
      </c>
      <c r="D175" s="204" t="s">
        <v>56</v>
      </c>
      <c r="E175" s="204" t="s">
        <v>62</v>
      </c>
      <c r="F175" s="204" t="s">
        <v>99</v>
      </c>
      <c r="G175" s="204" t="s">
        <v>490</v>
      </c>
      <c r="H175" s="204" t="s">
        <v>491</v>
      </c>
      <c r="I175" s="261">
        <v>40529</v>
      </c>
      <c r="J175" s="205">
        <v>1413.9272000000001</v>
      </c>
    </row>
    <row r="176" spans="2:10" x14ac:dyDescent="0.35">
      <c r="B176" s="204">
        <v>758</v>
      </c>
      <c r="C176" s="204" t="s">
        <v>492</v>
      </c>
      <c r="D176" s="204" t="s">
        <v>86</v>
      </c>
      <c r="E176" s="204" t="s">
        <v>62</v>
      </c>
      <c r="F176" s="204" t="s">
        <v>63</v>
      </c>
      <c r="G176" s="204" t="s">
        <v>73</v>
      </c>
      <c r="H176" s="204" t="s">
        <v>493</v>
      </c>
      <c r="I176" s="261">
        <v>40647</v>
      </c>
      <c r="J176" s="205">
        <v>1050.7756999999999</v>
      </c>
    </row>
    <row r="177" spans="2:10" x14ac:dyDescent="0.35">
      <c r="B177" s="204">
        <v>764</v>
      </c>
      <c r="C177" s="204" t="s">
        <v>494</v>
      </c>
      <c r="D177" s="204" t="s">
        <v>86</v>
      </c>
      <c r="E177" s="204" t="s">
        <v>106</v>
      </c>
      <c r="F177" s="204" t="s">
        <v>122</v>
      </c>
      <c r="G177" s="204" t="s">
        <v>123</v>
      </c>
      <c r="H177" s="204" t="s">
        <v>495</v>
      </c>
      <c r="I177" s="261">
        <v>40522</v>
      </c>
      <c r="J177" s="205">
        <v>799.62030000000004</v>
      </c>
    </row>
    <row r="178" spans="2:10" x14ac:dyDescent="0.35">
      <c r="B178" s="204">
        <v>765</v>
      </c>
      <c r="C178" s="204" t="s">
        <v>496</v>
      </c>
      <c r="D178" s="204" t="s">
        <v>86</v>
      </c>
      <c r="E178" s="204" t="s">
        <v>141</v>
      </c>
      <c r="F178" s="204" t="s">
        <v>142</v>
      </c>
      <c r="G178" s="204" t="s">
        <v>140</v>
      </c>
      <c r="H178" s="204" t="s">
        <v>497</v>
      </c>
      <c r="I178" s="261">
        <v>40694</v>
      </c>
      <c r="J178" s="205">
        <v>1022.3248</v>
      </c>
    </row>
    <row r="179" spans="2:10" x14ac:dyDescent="0.35">
      <c r="B179" s="204">
        <v>768</v>
      </c>
      <c r="C179" s="204" t="s">
        <v>498</v>
      </c>
      <c r="D179" s="204" t="s">
        <v>86</v>
      </c>
      <c r="E179" s="204" t="s">
        <v>62</v>
      </c>
      <c r="F179" s="204" t="s">
        <v>63</v>
      </c>
      <c r="G179" s="204" t="s">
        <v>499</v>
      </c>
      <c r="H179" s="204" t="s">
        <v>500</v>
      </c>
      <c r="I179" s="261">
        <v>40877</v>
      </c>
      <c r="J179" s="205">
        <v>1145.5119999999999</v>
      </c>
    </row>
    <row r="180" spans="2:10" x14ac:dyDescent="0.35">
      <c r="B180" s="204">
        <v>770</v>
      </c>
      <c r="C180" s="204" t="s">
        <v>501</v>
      </c>
      <c r="D180" s="204" t="s">
        <v>56</v>
      </c>
      <c r="E180" s="204" t="s">
        <v>62</v>
      </c>
      <c r="F180" s="204" t="s">
        <v>63</v>
      </c>
      <c r="G180" s="204" t="s">
        <v>501</v>
      </c>
      <c r="H180" s="204" t="s">
        <v>502</v>
      </c>
      <c r="I180" s="261">
        <v>40806</v>
      </c>
      <c r="J180" s="205">
        <v>1030.9981</v>
      </c>
    </row>
    <row r="181" spans="2:10" x14ac:dyDescent="0.35">
      <c r="B181" s="204">
        <v>771</v>
      </c>
      <c r="C181" s="204" t="s">
        <v>503</v>
      </c>
      <c r="D181" s="204" t="s">
        <v>86</v>
      </c>
      <c r="E181" s="204" t="s">
        <v>62</v>
      </c>
      <c r="F181" s="204" t="s">
        <v>174</v>
      </c>
      <c r="G181" s="204" t="s">
        <v>504</v>
      </c>
      <c r="H181" s="204" t="s">
        <v>505</v>
      </c>
      <c r="I181" s="261">
        <v>40529</v>
      </c>
      <c r="J181" s="205">
        <v>755.66840000000002</v>
      </c>
    </row>
    <row r="182" spans="2:10" x14ac:dyDescent="0.35">
      <c r="B182" s="204">
        <v>774</v>
      </c>
      <c r="C182" s="204" t="s">
        <v>506</v>
      </c>
      <c r="D182" s="204" t="s">
        <v>86</v>
      </c>
      <c r="E182" s="204" t="s">
        <v>66</v>
      </c>
      <c r="F182" s="204" t="s">
        <v>267</v>
      </c>
      <c r="G182" s="204" t="s">
        <v>268</v>
      </c>
      <c r="H182" s="204" t="s">
        <v>507</v>
      </c>
      <c r="I182" s="261">
        <v>41103</v>
      </c>
      <c r="J182" s="205">
        <v>1189.0482999999999</v>
      </c>
    </row>
    <row r="183" spans="2:10" x14ac:dyDescent="0.35">
      <c r="B183" s="204">
        <v>778</v>
      </c>
      <c r="C183" s="204" t="s">
        <v>508</v>
      </c>
      <c r="D183" s="204" t="s">
        <v>86</v>
      </c>
      <c r="E183" s="204" t="s">
        <v>57</v>
      </c>
      <c r="F183" s="204" t="s">
        <v>181</v>
      </c>
      <c r="G183" s="204" t="s">
        <v>509</v>
      </c>
      <c r="H183" s="204" t="s">
        <v>510</v>
      </c>
      <c r="I183" s="261">
        <v>41214</v>
      </c>
      <c r="J183" s="205">
        <v>1030.3522</v>
      </c>
    </row>
    <row r="184" spans="2:10" x14ac:dyDescent="0.35">
      <c r="B184" s="204">
        <v>780</v>
      </c>
      <c r="C184" s="204" t="s">
        <v>499</v>
      </c>
      <c r="D184" s="204" t="s">
        <v>56</v>
      </c>
      <c r="E184" s="204" t="s">
        <v>62</v>
      </c>
      <c r="F184" s="204" t="s">
        <v>63</v>
      </c>
      <c r="G184" s="204" t="s">
        <v>499</v>
      </c>
      <c r="H184" s="204" t="s">
        <v>511</v>
      </c>
      <c r="I184" s="261">
        <v>40571</v>
      </c>
      <c r="J184" s="205">
        <v>780.11869999999999</v>
      </c>
    </row>
    <row r="185" spans="2:10" x14ac:dyDescent="0.35">
      <c r="B185" s="204">
        <v>783</v>
      </c>
      <c r="C185" s="204" t="s">
        <v>512</v>
      </c>
      <c r="D185" s="204" t="s">
        <v>86</v>
      </c>
      <c r="E185" s="204" t="s">
        <v>66</v>
      </c>
      <c r="F185" s="204" t="s">
        <v>75</v>
      </c>
      <c r="G185" s="204" t="s">
        <v>76</v>
      </c>
      <c r="H185" s="204" t="s">
        <v>513</v>
      </c>
      <c r="I185" s="261">
        <v>40897</v>
      </c>
      <c r="J185" s="205">
        <v>1385.9503999999999</v>
      </c>
    </row>
    <row r="186" spans="2:10" x14ac:dyDescent="0.35">
      <c r="B186" s="204">
        <v>785</v>
      </c>
      <c r="C186" s="204" t="s">
        <v>514</v>
      </c>
      <c r="D186" s="204" t="s">
        <v>86</v>
      </c>
      <c r="E186" s="204" t="s">
        <v>62</v>
      </c>
      <c r="F186" s="204" t="s">
        <v>63</v>
      </c>
      <c r="G186" s="204" t="s">
        <v>515</v>
      </c>
      <c r="H186" s="204" t="s">
        <v>516</v>
      </c>
      <c r="I186" s="261">
        <v>40871</v>
      </c>
      <c r="J186" s="205">
        <v>917.12620000000004</v>
      </c>
    </row>
    <row r="187" spans="2:10" x14ac:dyDescent="0.35">
      <c r="B187" s="204">
        <v>786</v>
      </c>
      <c r="C187" s="204" t="s">
        <v>517</v>
      </c>
      <c r="D187" s="204" t="s">
        <v>86</v>
      </c>
      <c r="E187" s="204" t="s">
        <v>66</v>
      </c>
      <c r="F187" s="204" t="s">
        <v>167</v>
      </c>
      <c r="G187" s="204" t="s">
        <v>168</v>
      </c>
      <c r="H187" s="204" t="s">
        <v>518</v>
      </c>
      <c r="I187" s="261">
        <v>41604</v>
      </c>
      <c r="J187" s="205">
        <v>1248.798</v>
      </c>
    </row>
    <row r="188" spans="2:10" x14ac:dyDescent="0.35">
      <c r="B188" s="204">
        <v>788</v>
      </c>
      <c r="C188" s="204" t="s">
        <v>519</v>
      </c>
      <c r="D188" s="204" t="s">
        <v>86</v>
      </c>
      <c r="E188" s="204" t="s">
        <v>62</v>
      </c>
      <c r="F188" s="204" t="s">
        <v>63</v>
      </c>
      <c r="G188" s="204" t="s">
        <v>520</v>
      </c>
      <c r="H188" s="204" t="s">
        <v>521</v>
      </c>
      <c r="I188" s="261">
        <v>40872</v>
      </c>
      <c r="J188" s="205">
        <v>817.87599999999998</v>
      </c>
    </row>
    <row r="189" spans="2:10" x14ac:dyDescent="0.35">
      <c r="B189" s="204">
        <v>794</v>
      </c>
      <c r="C189" s="204" t="s">
        <v>522</v>
      </c>
      <c r="D189" s="204" t="s">
        <v>56</v>
      </c>
      <c r="E189" s="204" t="s">
        <v>62</v>
      </c>
      <c r="F189" s="204" t="s">
        <v>63</v>
      </c>
      <c r="G189" s="204" t="s">
        <v>522</v>
      </c>
      <c r="H189" s="204" t="s">
        <v>523</v>
      </c>
      <c r="I189" s="261">
        <v>40750</v>
      </c>
      <c r="J189" s="205">
        <v>894.46</v>
      </c>
    </row>
    <row r="190" spans="2:10" x14ac:dyDescent="0.35">
      <c r="B190" s="204">
        <v>795</v>
      </c>
      <c r="C190" s="204" t="s">
        <v>524</v>
      </c>
      <c r="D190" s="204" t="s">
        <v>56</v>
      </c>
      <c r="E190" s="204" t="s">
        <v>141</v>
      </c>
      <c r="F190" s="204" t="s">
        <v>525</v>
      </c>
      <c r="G190" s="204" t="s">
        <v>524</v>
      </c>
      <c r="H190" s="204" t="s">
        <v>526</v>
      </c>
      <c r="I190" s="261">
        <v>40792</v>
      </c>
      <c r="J190" s="205">
        <v>1288.5653</v>
      </c>
    </row>
    <row r="191" spans="2:10" x14ac:dyDescent="0.35">
      <c r="B191" s="204">
        <v>796</v>
      </c>
      <c r="C191" s="204" t="s">
        <v>527</v>
      </c>
      <c r="D191" s="204" t="s">
        <v>86</v>
      </c>
      <c r="E191" s="204" t="s">
        <v>141</v>
      </c>
      <c r="F191" s="204" t="s">
        <v>150</v>
      </c>
      <c r="G191" s="204" t="s">
        <v>149</v>
      </c>
      <c r="H191" s="204" t="s">
        <v>528</v>
      </c>
      <c r="I191" s="261">
        <v>40855</v>
      </c>
      <c r="J191" s="205">
        <v>1074.3010999999999</v>
      </c>
    </row>
    <row r="192" spans="2:10" x14ac:dyDescent="0.35">
      <c r="B192" s="204">
        <v>797</v>
      </c>
      <c r="C192" s="204" t="s">
        <v>529</v>
      </c>
      <c r="D192" s="204" t="s">
        <v>86</v>
      </c>
      <c r="E192" s="204" t="s">
        <v>62</v>
      </c>
      <c r="F192" s="204" t="s">
        <v>63</v>
      </c>
      <c r="G192" s="204" t="s">
        <v>73</v>
      </c>
      <c r="H192" s="204" t="s">
        <v>530</v>
      </c>
      <c r="I192" s="261">
        <v>40876</v>
      </c>
      <c r="J192" s="205">
        <v>1266.1523999999999</v>
      </c>
    </row>
    <row r="193" spans="2:10" x14ac:dyDescent="0.35">
      <c r="B193" s="204">
        <v>799</v>
      </c>
      <c r="C193" s="204" t="s">
        <v>531</v>
      </c>
      <c r="D193" s="204" t="s">
        <v>86</v>
      </c>
      <c r="E193" s="204" t="s">
        <v>57</v>
      </c>
      <c r="F193" s="204" t="s">
        <v>58</v>
      </c>
      <c r="G193" s="204" t="s">
        <v>59</v>
      </c>
      <c r="H193" s="204" t="s">
        <v>532</v>
      </c>
      <c r="I193" s="261">
        <v>40897</v>
      </c>
      <c r="J193" s="205">
        <v>996.23630000000003</v>
      </c>
    </row>
    <row r="194" spans="2:10" x14ac:dyDescent="0.35">
      <c r="B194" s="204">
        <v>844</v>
      </c>
      <c r="C194" s="204" t="s">
        <v>533</v>
      </c>
      <c r="D194" s="204" t="s">
        <v>56</v>
      </c>
      <c r="E194" s="204" t="s">
        <v>62</v>
      </c>
      <c r="F194" s="204" t="s">
        <v>174</v>
      </c>
      <c r="G194" s="204" t="s">
        <v>175</v>
      </c>
      <c r="H194" s="204" t="s">
        <v>534</v>
      </c>
      <c r="I194" s="261">
        <v>40851</v>
      </c>
      <c r="J194" s="205">
        <v>1108.1221</v>
      </c>
    </row>
    <row r="195" spans="2:10" x14ac:dyDescent="0.35">
      <c r="B195" s="204">
        <v>845</v>
      </c>
      <c r="C195" s="204" t="s">
        <v>535</v>
      </c>
      <c r="D195" s="204" t="s">
        <v>56</v>
      </c>
      <c r="E195" s="204" t="s">
        <v>62</v>
      </c>
      <c r="F195" s="204" t="s">
        <v>63</v>
      </c>
      <c r="G195" s="204" t="s">
        <v>535</v>
      </c>
      <c r="H195" s="204" t="s">
        <v>536</v>
      </c>
      <c r="I195" s="261">
        <v>41234</v>
      </c>
      <c r="J195" s="205">
        <v>1305.8527999999999</v>
      </c>
    </row>
    <row r="196" spans="2:10" x14ac:dyDescent="0.35">
      <c r="B196" s="204">
        <v>847</v>
      </c>
      <c r="C196" s="204" t="s">
        <v>537</v>
      </c>
      <c r="D196" s="204" t="s">
        <v>56</v>
      </c>
      <c r="E196" s="204" t="s">
        <v>141</v>
      </c>
      <c r="F196" s="204" t="s">
        <v>208</v>
      </c>
      <c r="G196" s="204" t="s">
        <v>537</v>
      </c>
      <c r="H196" s="204" t="s">
        <v>538</v>
      </c>
      <c r="I196" s="261">
        <v>40780</v>
      </c>
      <c r="J196" s="205">
        <v>639.11940000000004</v>
      </c>
    </row>
    <row r="197" spans="2:10" x14ac:dyDescent="0.35">
      <c r="B197" s="204">
        <v>848</v>
      </c>
      <c r="C197" s="204" t="s">
        <v>539</v>
      </c>
      <c r="D197" s="204" t="s">
        <v>56</v>
      </c>
      <c r="E197" s="204" t="s">
        <v>62</v>
      </c>
      <c r="F197" s="204" t="s">
        <v>63</v>
      </c>
      <c r="G197" s="204" t="s">
        <v>92</v>
      </c>
      <c r="H197" s="204" t="s">
        <v>540</v>
      </c>
      <c r="I197" s="261">
        <v>40816</v>
      </c>
      <c r="J197" s="205">
        <v>1219.5574999999999</v>
      </c>
    </row>
    <row r="198" spans="2:10" x14ac:dyDescent="0.35">
      <c r="B198" s="204">
        <v>849</v>
      </c>
      <c r="C198" s="204" t="s">
        <v>541</v>
      </c>
      <c r="D198" s="204" t="s">
        <v>86</v>
      </c>
      <c r="E198" s="204" t="s">
        <v>62</v>
      </c>
      <c r="F198" s="204" t="s">
        <v>63</v>
      </c>
      <c r="G198" s="204" t="s">
        <v>313</v>
      </c>
      <c r="H198" s="204" t="s">
        <v>542</v>
      </c>
      <c r="I198" s="261">
        <v>41194</v>
      </c>
      <c r="J198" s="205">
        <v>1124.327</v>
      </c>
    </row>
    <row r="199" spans="2:10" x14ac:dyDescent="0.35">
      <c r="B199" s="204">
        <v>851</v>
      </c>
      <c r="C199" s="204" t="s">
        <v>543</v>
      </c>
      <c r="D199" s="204" t="s">
        <v>56</v>
      </c>
      <c r="E199" s="204" t="s">
        <v>62</v>
      </c>
      <c r="F199" s="204" t="s">
        <v>63</v>
      </c>
      <c r="G199" s="204" t="s">
        <v>73</v>
      </c>
      <c r="H199" s="204" t="s">
        <v>544</v>
      </c>
      <c r="I199" s="261">
        <v>40884</v>
      </c>
      <c r="J199" s="205">
        <v>994.26170000000002</v>
      </c>
    </row>
    <row r="200" spans="2:10" x14ac:dyDescent="0.35">
      <c r="B200" s="204">
        <v>852</v>
      </c>
      <c r="C200" s="204" t="s">
        <v>545</v>
      </c>
      <c r="D200" s="204" t="s">
        <v>56</v>
      </c>
      <c r="E200" s="204" t="s">
        <v>62</v>
      </c>
      <c r="F200" s="204" t="s">
        <v>63</v>
      </c>
      <c r="G200" s="204" t="s">
        <v>73</v>
      </c>
      <c r="H200" s="204" t="s">
        <v>546</v>
      </c>
      <c r="I200" s="261">
        <v>40877</v>
      </c>
      <c r="J200" s="205">
        <v>745.99659999999994</v>
      </c>
    </row>
    <row r="201" spans="2:10" x14ac:dyDescent="0.35">
      <c r="B201" s="204">
        <v>853</v>
      </c>
      <c r="C201" s="204" t="s">
        <v>547</v>
      </c>
      <c r="D201" s="204" t="s">
        <v>56</v>
      </c>
      <c r="E201" s="204" t="s">
        <v>62</v>
      </c>
      <c r="F201" s="204" t="s">
        <v>63</v>
      </c>
      <c r="G201" s="204" t="s">
        <v>547</v>
      </c>
      <c r="H201" s="204" t="s">
        <v>548</v>
      </c>
      <c r="I201" s="261">
        <v>40806</v>
      </c>
      <c r="J201" s="205">
        <v>1020.1144</v>
      </c>
    </row>
    <row r="202" spans="2:10" x14ac:dyDescent="0.35">
      <c r="B202" s="204">
        <v>857</v>
      </c>
      <c r="C202" s="204" t="s">
        <v>549</v>
      </c>
      <c r="D202" s="204" t="s">
        <v>86</v>
      </c>
      <c r="E202" s="204" t="s">
        <v>141</v>
      </c>
      <c r="F202" s="204" t="s">
        <v>208</v>
      </c>
      <c r="G202" s="204" t="s">
        <v>209</v>
      </c>
      <c r="H202" s="204" t="s">
        <v>550</v>
      </c>
      <c r="I202" s="261">
        <v>40887</v>
      </c>
      <c r="J202" s="205">
        <v>175.58949999999999</v>
      </c>
    </row>
    <row r="203" spans="2:10" x14ac:dyDescent="0.35">
      <c r="B203" s="204">
        <v>858</v>
      </c>
      <c r="C203" s="204" t="s">
        <v>551</v>
      </c>
      <c r="D203" s="204" t="s">
        <v>56</v>
      </c>
      <c r="E203" s="204" t="s">
        <v>62</v>
      </c>
      <c r="F203" s="204" t="s">
        <v>63</v>
      </c>
      <c r="G203" s="204" t="s">
        <v>73</v>
      </c>
      <c r="H203" s="204" t="s">
        <v>552</v>
      </c>
      <c r="I203" s="261">
        <v>40893</v>
      </c>
      <c r="J203" s="205">
        <v>840.94889999999998</v>
      </c>
    </row>
    <row r="204" spans="2:10" x14ac:dyDescent="0.35">
      <c r="B204" s="204">
        <v>859</v>
      </c>
      <c r="C204" s="204" t="s">
        <v>553</v>
      </c>
      <c r="D204" s="204" t="s">
        <v>56</v>
      </c>
      <c r="E204" s="204" t="s">
        <v>62</v>
      </c>
      <c r="F204" s="204" t="s">
        <v>63</v>
      </c>
      <c r="G204" s="204" t="s">
        <v>73</v>
      </c>
      <c r="H204" s="204" t="s">
        <v>554</v>
      </c>
      <c r="I204" s="261">
        <v>40885</v>
      </c>
      <c r="J204" s="205">
        <v>824.22360000000003</v>
      </c>
    </row>
    <row r="205" spans="2:10" x14ac:dyDescent="0.35">
      <c r="B205" s="204">
        <v>864</v>
      </c>
      <c r="C205" s="204" t="s">
        <v>555</v>
      </c>
      <c r="D205" s="204" t="s">
        <v>56</v>
      </c>
      <c r="E205" s="204" t="s">
        <v>62</v>
      </c>
      <c r="F205" s="204" t="s">
        <v>99</v>
      </c>
      <c r="G205" s="204" t="s">
        <v>556</v>
      </c>
      <c r="H205" s="204" t="s">
        <v>81</v>
      </c>
      <c r="I205" s="261">
        <v>40897</v>
      </c>
      <c r="J205" s="205">
        <v>1133.4082000000001</v>
      </c>
    </row>
    <row r="206" spans="2:10" x14ac:dyDescent="0.35">
      <c r="B206" s="204">
        <v>867</v>
      </c>
      <c r="C206" s="204" t="s">
        <v>557</v>
      </c>
      <c r="D206" s="204" t="s">
        <v>86</v>
      </c>
      <c r="E206" s="204" t="s">
        <v>62</v>
      </c>
      <c r="F206" s="204" t="s">
        <v>174</v>
      </c>
      <c r="G206" s="204" t="s">
        <v>175</v>
      </c>
      <c r="H206" s="204" t="s">
        <v>322</v>
      </c>
      <c r="I206" s="261">
        <v>41051</v>
      </c>
      <c r="J206" s="205">
        <v>1133.9760000000001</v>
      </c>
    </row>
    <row r="207" spans="2:10" x14ac:dyDescent="0.35">
      <c r="B207" s="204">
        <v>868</v>
      </c>
      <c r="C207" s="204" t="s">
        <v>558</v>
      </c>
      <c r="D207" s="204" t="s">
        <v>56</v>
      </c>
      <c r="E207" s="204" t="s">
        <v>62</v>
      </c>
      <c r="F207" s="204" t="s">
        <v>63</v>
      </c>
      <c r="G207" s="204" t="s">
        <v>73</v>
      </c>
      <c r="H207" s="204" t="s">
        <v>559</v>
      </c>
      <c r="I207" s="261">
        <v>40869</v>
      </c>
      <c r="J207" s="205">
        <v>595.07000000000005</v>
      </c>
    </row>
    <row r="208" spans="2:10" x14ac:dyDescent="0.35">
      <c r="B208" s="204">
        <v>875</v>
      </c>
      <c r="C208" s="204" t="s">
        <v>560</v>
      </c>
      <c r="D208" s="204" t="s">
        <v>86</v>
      </c>
      <c r="E208" s="204" t="s">
        <v>106</v>
      </c>
      <c r="F208" s="204" t="s">
        <v>122</v>
      </c>
      <c r="G208" s="204" t="s">
        <v>561</v>
      </c>
      <c r="H208" s="204" t="s">
        <v>562</v>
      </c>
      <c r="I208" s="261">
        <v>41060</v>
      </c>
      <c r="J208" s="205">
        <v>904.38720000000001</v>
      </c>
    </row>
    <row r="209" spans="2:10" x14ac:dyDescent="0.35">
      <c r="B209" s="204">
        <v>876</v>
      </c>
      <c r="C209" s="204" t="s">
        <v>563</v>
      </c>
      <c r="D209" s="204" t="s">
        <v>86</v>
      </c>
      <c r="E209" s="204" t="s">
        <v>141</v>
      </c>
      <c r="F209" s="204" t="s">
        <v>145</v>
      </c>
      <c r="G209" s="204" t="s">
        <v>144</v>
      </c>
      <c r="H209" s="204" t="s">
        <v>564</v>
      </c>
      <c r="I209" s="261">
        <v>41485</v>
      </c>
      <c r="J209" s="205">
        <v>922.0385</v>
      </c>
    </row>
    <row r="210" spans="2:10" x14ac:dyDescent="0.35">
      <c r="B210" s="204">
        <v>877</v>
      </c>
      <c r="C210" s="204" t="s">
        <v>565</v>
      </c>
      <c r="D210" s="204" t="s">
        <v>56</v>
      </c>
      <c r="E210" s="204" t="s">
        <v>57</v>
      </c>
      <c r="F210" s="204" t="s">
        <v>58</v>
      </c>
      <c r="G210" s="204" t="s">
        <v>565</v>
      </c>
      <c r="H210" s="204" t="s">
        <v>566</v>
      </c>
      <c r="I210" s="261">
        <v>40891</v>
      </c>
      <c r="J210" s="205">
        <v>1047.7987000000001</v>
      </c>
    </row>
    <row r="211" spans="2:10" x14ac:dyDescent="0.35">
      <c r="B211" s="204">
        <v>879</v>
      </c>
      <c r="C211" s="204" t="s">
        <v>567</v>
      </c>
      <c r="D211" s="204" t="s">
        <v>56</v>
      </c>
      <c r="E211" s="204" t="s">
        <v>57</v>
      </c>
      <c r="F211" s="204" t="s">
        <v>58</v>
      </c>
      <c r="G211" s="204" t="s">
        <v>567</v>
      </c>
      <c r="H211" s="204" t="s">
        <v>143</v>
      </c>
      <c r="I211" s="261">
        <v>40900</v>
      </c>
      <c r="J211" s="205">
        <v>1041.3185000000001</v>
      </c>
    </row>
    <row r="212" spans="2:10" x14ac:dyDescent="0.35">
      <c r="B212" s="204">
        <v>880</v>
      </c>
      <c r="C212" s="204" t="s">
        <v>568</v>
      </c>
      <c r="D212" s="204" t="s">
        <v>56</v>
      </c>
      <c r="E212" s="204" t="s">
        <v>62</v>
      </c>
      <c r="F212" s="204" t="s">
        <v>174</v>
      </c>
      <c r="G212" s="204" t="s">
        <v>568</v>
      </c>
      <c r="H212" s="204" t="s">
        <v>569</v>
      </c>
      <c r="I212" s="261">
        <v>40897</v>
      </c>
      <c r="J212" s="205">
        <v>650.64949999999999</v>
      </c>
    </row>
    <row r="213" spans="2:10" x14ac:dyDescent="0.35">
      <c r="B213" s="204">
        <v>884</v>
      </c>
      <c r="C213" s="204" t="s">
        <v>570</v>
      </c>
      <c r="D213" s="204" t="s">
        <v>86</v>
      </c>
      <c r="E213" s="204" t="s">
        <v>62</v>
      </c>
      <c r="F213" s="204" t="s">
        <v>174</v>
      </c>
      <c r="G213" s="204" t="s">
        <v>571</v>
      </c>
      <c r="H213" s="204" t="s">
        <v>572</v>
      </c>
      <c r="I213" s="261">
        <v>41465</v>
      </c>
      <c r="J213" s="205">
        <v>1098.5544</v>
      </c>
    </row>
    <row r="214" spans="2:10" x14ac:dyDescent="0.35">
      <c r="B214" s="204">
        <v>885</v>
      </c>
      <c r="C214" s="204" t="s">
        <v>573</v>
      </c>
      <c r="D214" s="204" t="s">
        <v>86</v>
      </c>
      <c r="E214" s="204" t="s">
        <v>66</v>
      </c>
      <c r="F214" s="204" t="s">
        <v>95</v>
      </c>
      <c r="G214" s="204" t="s">
        <v>271</v>
      </c>
      <c r="H214" s="204" t="s">
        <v>574</v>
      </c>
      <c r="I214" s="261">
        <v>41211</v>
      </c>
      <c r="J214" s="205">
        <v>763.82219999999995</v>
      </c>
    </row>
    <row r="215" spans="2:10" x14ac:dyDescent="0.35">
      <c r="B215" s="204">
        <v>886</v>
      </c>
      <c r="C215" s="204" t="s">
        <v>575</v>
      </c>
      <c r="D215" s="204" t="s">
        <v>86</v>
      </c>
      <c r="E215" s="204" t="s">
        <v>62</v>
      </c>
      <c r="F215" s="204" t="s">
        <v>63</v>
      </c>
      <c r="G215" s="204" t="s">
        <v>387</v>
      </c>
      <c r="H215" s="204" t="s">
        <v>576</v>
      </c>
      <c r="I215" s="261">
        <v>41242</v>
      </c>
      <c r="J215" s="205">
        <v>917.74040000000002</v>
      </c>
    </row>
    <row r="216" spans="2:10" x14ac:dyDescent="0.35">
      <c r="B216" s="204">
        <v>888</v>
      </c>
      <c r="C216" s="204" t="s">
        <v>577</v>
      </c>
      <c r="D216" s="204" t="s">
        <v>86</v>
      </c>
      <c r="E216" s="204" t="s">
        <v>57</v>
      </c>
      <c r="F216" s="204" t="s">
        <v>58</v>
      </c>
      <c r="G216" s="204" t="s">
        <v>59</v>
      </c>
      <c r="H216" s="204" t="s">
        <v>578</v>
      </c>
      <c r="I216" s="261">
        <v>41603</v>
      </c>
      <c r="J216" s="205">
        <v>1104.5092999999999</v>
      </c>
    </row>
    <row r="217" spans="2:10" x14ac:dyDescent="0.35">
      <c r="B217" s="204">
        <v>889</v>
      </c>
      <c r="C217" s="204" t="s">
        <v>579</v>
      </c>
      <c r="D217" s="204" t="s">
        <v>56</v>
      </c>
      <c r="E217" s="204" t="s">
        <v>62</v>
      </c>
      <c r="F217" s="204" t="s">
        <v>63</v>
      </c>
      <c r="G217" s="204" t="s">
        <v>73</v>
      </c>
      <c r="H217" s="204" t="s">
        <v>580</v>
      </c>
      <c r="I217" s="261">
        <v>41577</v>
      </c>
      <c r="J217" s="205">
        <v>728.55160000000001</v>
      </c>
    </row>
    <row r="218" spans="2:10" x14ac:dyDescent="0.35">
      <c r="B218" s="204">
        <v>890</v>
      </c>
      <c r="C218" s="204" t="s">
        <v>581</v>
      </c>
      <c r="D218" s="204" t="s">
        <v>56</v>
      </c>
      <c r="E218" s="204" t="s">
        <v>57</v>
      </c>
      <c r="F218" s="204" t="s">
        <v>58</v>
      </c>
      <c r="G218" s="204" t="s">
        <v>581</v>
      </c>
      <c r="H218" s="204" t="s">
        <v>582</v>
      </c>
      <c r="I218" s="261">
        <v>41236</v>
      </c>
      <c r="J218" s="205">
        <v>674.40790000000004</v>
      </c>
    </row>
    <row r="219" spans="2:10" x14ac:dyDescent="0.35">
      <c r="B219" s="204">
        <v>891</v>
      </c>
      <c r="C219" s="204" t="s">
        <v>583</v>
      </c>
      <c r="D219" s="204" t="s">
        <v>86</v>
      </c>
      <c r="E219" s="204" t="s">
        <v>66</v>
      </c>
      <c r="F219" s="204" t="s">
        <v>79</v>
      </c>
      <c r="G219" s="204" t="s">
        <v>584</v>
      </c>
      <c r="H219" s="204" t="s">
        <v>585</v>
      </c>
      <c r="I219" s="261">
        <v>41261</v>
      </c>
      <c r="J219" s="205">
        <v>855.20519999999999</v>
      </c>
    </row>
    <row r="220" spans="2:10" x14ac:dyDescent="0.35">
      <c r="B220" s="204">
        <v>893</v>
      </c>
      <c r="C220" s="204" t="s">
        <v>455</v>
      </c>
      <c r="D220" s="204" t="s">
        <v>56</v>
      </c>
      <c r="E220" s="204" t="s">
        <v>66</v>
      </c>
      <c r="F220" s="204" t="s">
        <v>267</v>
      </c>
      <c r="G220" s="204" t="s">
        <v>455</v>
      </c>
      <c r="H220" s="204" t="s">
        <v>586</v>
      </c>
      <c r="I220" s="261">
        <v>41312</v>
      </c>
      <c r="J220" s="205">
        <v>893.17129999999997</v>
      </c>
    </row>
    <row r="221" spans="2:10" x14ac:dyDescent="0.35">
      <c r="B221" s="204">
        <v>895</v>
      </c>
      <c r="C221" s="204" t="s">
        <v>587</v>
      </c>
      <c r="D221" s="204" t="s">
        <v>56</v>
      </c>
      <c r="E221" s="204" t="s">
        <v>66</v>
      </c>
      <c r="F221" s="204" t="s">
        <v>267</v>
      </c>
      <c r="G221" s="204" t="s">
        <v>268</v>
      </c>
      <c r="H221" s="204" t="s">
        <v>588</v>
      </c>
      <c r="I221" s="261">
        <v>41553</v>
      </c>
      <c r="J221" s="205">
        <v>852.60149999999999</v>
      </c>
    </row>
    <row r="222" spans="2:10" x14ac:dyDescent="0.35">
      <c r="B222" s="204">
        <v>905</v>
      </c>
      <c r="C222" s="204" t="s">
        <v>589</v>
      </c>
      <c r="D222" s="204" t="s">
        <v>56</v>
      </c>
      <c r="E222" s="204" t="s">
        <v>141</v>
      </c>
      <c r="F222" s="204" t="s">
        <v>208</v>
      </c>
      <c r="G222" s="204" t="s">
        <v>209</v>
      </c>
      <c r="H222" s="204" t="s">
        <v>590</v>
      </c>
      <c r="I222" s="261">
        <v>41262</v>
      </c>
      <c r="J222" s="205">
        <v>967.34910000000002</v>
      </c>
    </row>
    <row r="223" spans="2:10" x14ac:dyDescent="0.35">
      <c r="B223" s="204">
        <v>908</v>
      </c>
      <c r="C223" s="204" t="s">
        <v>591</v>
      </c>
      <c r="D223" s="204" t="s">
        <v>56</v>
      </c>
      <c r="E223" s="204" t="s">
        <v>141</v>
      </c>
      <c r="F223" s="204" t="s">
        <v>208</v>
      </c>
      <c r="G223" s="204" t="s">
        <v>591</v>
      </c>
      <c r="H223" s="204" t="s">
        <v>592</v>
      </c>
      <c r="I223" s="261">
        <v>41256</v>
      </c>
      <c r="J223" s="205">
        <v>1092.6645000000001</v>
      </c>
    </row>
    <row r="224" spans="2:10" x14ac:dyDescent="0.35">
      <c r="B224" s="204">
        <v>909</v>
      </c>
      <c r="C224" s="204" t="s">
        <v>593</v>
      </c>
      <c r="D224" s="204" t="s">
        <v>56</v>
      </c>
      <c r="E224" s="204" t="s">
        <v>106</v>
      </c>
      <c r="F224" s="204" t="s">
        <v>138</v>
      </c>
      <c r="G224" s="204" t="s">
        <v>593</v>
      </c>
      <c r="H224" s="204" t="s">
        <v>594</v>
      </c>
      <c r="I224" s="261">
        <v>41263</v>
      </c>
      <c r="J224" s="205">
        <v>1269.9494</v>
      </c>
    </row>
    <row r="225" spans="2:10" x14ac:dyDescent="0.35">
      <c r="B225" s="204">
        <v>912</v>
      </c>
      <c r="C225" s="204" t="s">
        <v>595</v>
      </c>
      <c r="D225" s="204" t="s">
        <v>86</v>
      </c>
      <c r="E225" s="204" t="s">
        <v>62</v>
      </c>
      <c r="F225" s="204" t="s">
        <v>99</v>
      </c>
      <c r="G225" s="204" t="s">
        <v>596</v>
      </c>
      <c r="H225" s="204" t="s">
        <v>597</v>
      </c>
      <c r="I225" s="261">
        <v>41618</v>
      </c>
      <c r="J225" s="205">
        <v>1036.5759</v>
      </c>
    </row>
    <row r="226" spans="2:10" x14ac:dyDescent="0.35">
      <c r="B226" s="204">
        <v>913</v>
      </c>
      <c r="C226" s="204" t="s">
        <v>598</v>
      </c>
      <c r="D226" s="204" t="s">
        <v>56</v>
      </c>
      <c r="E226" s="204" t="s">
        <v>106</v>
      </c>
      <c r="F226" s="204" t="s">
        <v>138</v>
      </c>
      <c r="G226" s="204" t="s">
        <v>598</v>
      </c>
      <c r="H226" s="204" t="s">
        <v>599</v>
      </c>
      <c r="I226" s="261">
        <v>41368</v>
      </c>
      <c r="J226" s="205">
        <v>906.1069</v>
      </c>
    </row>
    <row r="227" spans="2:10" x14ac:dyDescent="0.35">
      <c r="B227" s="204">
        <v>915</v>
      </c>
      <c r="C227" s="204" t="s">
        <v>600</v>
      </c>
      <c r="D227" s="204" t="s">
        <v>56</v>
      </c>
      <c r="E227" s="204" t="s">
        <v>57</v>
      </c>
      <c r="F227" s="204" t="s">
        <v>181</v>
      </c>
      <c r="G227" s="204" t="s">
        <v>600</v>
      </c>
      <c r="H227" s="204" t="s">
        <v>601</v>
      </c>
      <c r="I227" s="261">
        <v>41312</v>
      </c>
      <c r="J227" s="205">
        <v>899.57399999999996</v>
      </c>
    </row>
    <row r="228" spans="2:10" x14ac:dyDescent="0.35">
      <c r="B228" s="204">
        <v>916</v>
      </c>
      <c r="C228" s="204" t="s">
        <v>602</v>
      </c>
      <c r="D228" s="204" t="s">
        <v>86</v>
      </c>
      <c r="E228" s="204" t="s">
        <v>62</v>
      </c>
      <c r="F228" s="204" t="s">
        <v>476</v>
      </c>
      <c r="G228" s="204" t="s">
        <v>603</v>
      </c>
      <c r="H228" s="204" t="s">
        <v>604</v>
      </c>
      <c r="I228" s="261">
        <v>41876</v>
      </c>
      <c r="J228" s="205">
        <v>965.1807</v>
      </c>
    </row>
    <row r="229" spans="2:10" x14ac:dyDescent="0.35">
      <c r="B229" s="204">
        <v>919</v>
      </c>
      <c r="C229" s="204" t="s">
        <v>605</v>
      </c>
      <c r="D229" s="204" t="s">
        <v>86</v>
      </c>
      <c r="E229" s="204" t="s">
        <v>66</v>
      </c>
      <c r="F229" s="204" t="s">
        <v>67</v>
      </c>
      <c r="G229" s="204" t="s">
        <v>129</v>
      </c>
      <c r="H229" s="204" t="s">
        <v>606</v>
      </c>
      <c r="I229" s="261">
        <v>41973</v>
      </c>
      <c r="J229" s="205">
        <v>1226.7973</v>
      </c>
    </row>
    <row r="230" spans="2:10" x14ac:dyDescent="0.35">
      <c r="B230" s="204">
        <v>921</v>
      </c>
      <c r="C230" s="204" t="s">
        <v>607</v>
      </c>
      <c r="D230" s="204" t="s">
        <v>86</v>
      </c>
      <c r="E230" s="204" t="s">
        <v>66</v>
      </c>
      <c r="F230" s="204" t="s">
        <v>95</v>
      </c>
      <c r="G230" s="204" t="s">
        <v>608</v>
      </c>
      <c r="H230" s="204" t="s">
        <v>609</v>
      </c>
      <c r="I230" s="261">
        <v>41607</v>
      </c>
      <c r="J230" s="205">
        <v>785.78840000000002</v>
      </c>
    </row>
    <row r="231" spans="2:10" x14ac:dyDescent="0.35">
      <c r="B231" s="204">
        <v>922</v>
      </c>
      <c r="C231" s="204" t="s">
        <v>610</v>
      </c>
      <c r="D231" s="204" t="s">
        <v>56</v>
      </c>
      <c r="E231" s="204" t="s">
        <v>66</v>
      </c>
      <c r="F231" s="204" t="s">
        <v>267</v>
      </c>
      <c r="G231" s="204" t="s">
        <v>610</v>
      </c>
      <c r="H231" s="204" t="s">
        <v>611</v>
      </c>
      <c r="I231" s="261">
        <v>41745</v>
      </c>
      <c r="J231" s="205">
        <v>819.93949999999995</v>
      </c>
    </row>
    <row r="232" spans="2:10" x14ac:dyDescent="0.35">
      <c r="B232" s="204">
        <v>924</v>
      </c>
      <c r="C232" s="204" t="s">
        <v>612</v>
      </c>
      <c r="D232" s="204" t="s">
        <v>86</v>
      </c>
      <c r="E232" s="204" t="s">
        <v>62</v>
      </c>
      <c r="F232" s="204" t="s">
        <v>63</v>
      </c>
      <c r="G232" s="204" t="s">
        <v>613</v>
      </c>
      <c r="H232" s="204" t="s">
        <v>614</v>
      </c>
      <c r="I232" s="261">
        <v>41599</v>
      </c>
      <c r="J232" s="205">
        <v>959.76880000000006</v>
      </c>
    </row>
    <row r="233" spans="2:10" x14ac:dyDescent="0.35">
      <c r="B233" s="204">
        <v>925</v>
      </c>
      <c r="C233" s="204" t="s">
        <v>615</v>
      </c>
      <c r="D233" s="204" t="s">
        <v>86</v>
      </c>
      <c r="E233" s="204" t="s">
        <v>66</v>
      </c>
      <c r="F233" s="204" t="s">
        <v>167</v>
      </c>
      <c r="G233" s="204" t="s">
        <v>168</v>
      </c>
      <c r="H233" s="204" t="s">
        <v>616</v>
      </c>
      <c r="I233" s="261">
        <v>41604</v>
      </c>
      <c r="J233" s="205">
        <v>927.83309999999994</v>
      </c>
    </row>
    <row r="234" spans="2:10" x14ac:dyDescent="0.35">
      <c r="B234" s="204">
        <v>926</v>
      </c>
      <c r="C234" s="204" t="s">
        <v>617</v>
      </c>
      <c r="D234" s="204" t="s">
        <v>86</v>
      </c>
      <c r="E234" s="204" t="s">
        <v>66</v>
      </c>
      <c r="F234" s="204" t="s">
        <v>95</v>
      </c>
      <c r="G234" s="204" t="s">
        <v>271</v>
      </c>
      <c r="H234" s="204" t="s">
        <v>618</v>
      </c>
      <c r="I234" s="261">
        <v>42307</v>
      </c>
      <c r="J234" s="205">
        <v>1085.6695</v>
      </c>
    </row>
    <row r="235" spans="2:10" x14ac:dyDescent="0.35">
      <c r="B235" s="204">
        <v>929</v>
      </c>
      <c r="C235" s="204" t="s">
        <v>619</v>
      </c>
      <c r="D235" s="204" t="s">
        <v>86</v>
      </c>
      <c r="E235" s="204" t="s">
        <v>62</v>
      </c>
      <c r="F235" s="204" t="s">
        <v>174</v>
      </c>
      <c r="G235" s="204" t="s">
        <v>255</v>
      </c>
      <c r="H235" s="204" t="s">
        <v>620</v>
      </c>
      <c r="I235" s="261">
        <v>41604</v>
      </c>
      <c r="J235" s="205">
        <v>1127.4100000000001</v>
      </c>
    </row>
    <row r="236" spans="2:10" x14ac:dyDescent="0.35">
      <c r="B236" s="204">
        <v>930</v>
      </c>
      <c r="C236" s="204" t="s">
        <v>621</v>
      </c>
      <c r="D236" s="204" t="s">
        <v>86</v>
      </c>
      <c r="E236" s="204" t="s">
        <v>57</v>
      </c>
      <c r="F236" s="204" t="s">
        <v>181</v>
      </c>
      <c r="G236" s="204" t="s">
        <v>509</v>
      </c>
      <c r="H236" s="204" t="s">
        <v>622</v>
      </c>
      <c r="I236" s="261">
        <v>41397</v>
      </c>
      <c r="J236" s="205">
        <v>976.19299999999998</v>
      </c>
    </row>
    <row r="237" spans="2:10" x14ac:dyDescent="0.35">
      <c r="B237" s="204">
        <v>934</v>
      </c>
      <c r="C237" s="204" t="s">
        <v>623</v>
      </c>
      <c r="D237" s="204" t="s">
        <v>86</v>
      </c>
      <c r="E237" s="204" t="s">
        <v>106</v>
      </c>
      <c r="F237" s="204" t="s">
        <v>122</v>
      </c>
      <c r="G237" s="204" t="s">
        <v>123</v>
      </c>
      <c r="H237" s="204" t="s">
        <v>624</v>
      </c>
      <c r="I237" s="261">
        <v>41709</v>
      </c>
      <c r="J237" s="205">
        <v>1083.1007</v>
      </c>
    </row>
    <row r="238" spans="2:10" x14ac:dyDescent="0.35">
      <c r="B238" s="204">
        <v>936</v>
      </c>
      <c r="C238" s="204" t="s">
        <v>625</v>
      </c>
      <c r="D238" s="204" t="s">
        <v>86</v>
      </c>
      <c r="E238" s="204" t="s">
        <v>62</v>
      </c>
      <c r="F238" s="204" t="s">
        <v>63</v>
      </c>
      <c r="G238" s="204" t="s">
        <v>626</v>
      </c>
      <c r="H238" s="204" t="s">
        <v>331</v>
      </c>
      <c r="I238" s="261">
        <v>41569</v>
      </c>
      <c r="J238" s="205">
        <v>810.2441</v>
      </c>
    </row>
    <row r="239" spans="2:10" x14ac:dyDescent="0.35">
      <c r="B239" s="204">
        <v>938</v>
      </c>
      <c r="C239" s="204" t="s">
        <v>627</v>
      </c>
      <c r="D239" s="204" t="s">
        <v>86</v>
      </c>
      <c r="E239" s="204" t="s">
        <v>141</v>
      </c>
      <c r="F239" s="204" t="s">
        <v>142</v>
      </c>
      <c r="G239" s="204" t="s">
        <v>140</v>
      </c>
      <c r="H239" s="204" t="s">
        <v>628</v>
      </c>
      <c r="I239" s="261">
        <v>41739</v>
      </c>
      <c r="J239" s="205">
        <v>742.4316</v>
      </c>
    </row>
    <row r="240" spans="2:10" x14ac:dyDescent="0.35">
      <c r="B240" s="204">
        <v>939</v>
      </c>
      <c r="C240" s="204" t="s">
        <v>629</v>
      </c>
      <c r="D240" s="204" t="s">
        <v>86</v>
      </c>
      <c r="E240" s="204" t="s">
        <v>62</v>
      </c>
      <c r="F240" s="204" t="s">
        <v>63</v>
      </c>
      <c r="G240" s="204" t="s">
        <v>73</v>
      </c>
      <c r="H240" s="204" t="s">
        <v>630</v>
      </c>
      <c r="I240" s="261">
        <v>41626</v>
      </c>
      <c r="J240" s="205">
        <v>880.86869999999999</v>
      </c>
    </row>
    <row r="241" spans="2:10" x14ac:dyDescent="0.35">
      <c r="B241" s="204">
        <v>940</v>
      </c>
      <c r="C241" s="204" t="s">
        <v>631</v>
      </c>
      <c r="D241" s="204" t="s">
        <v>56</v>
      </c>
      <c r="E241" s="204" t="s">
        <v>62</v>
      </c>
      <c r="F241" s="204" t="s">
        <v>99</v>
      </c>
      <c r="G241" s="204" t="s">
        <v>631</v>
      </c>
      <c r="H241" s="204" t="s">
        <v>632</v>
      </c>
      <c r="I241" s="261">
        <v>41557</v>
      </c>
      <c r="J241" s="205">
        <v>495.69630000000001</v>
      </c>
    </row>
    <row r="242" spans="2:10" x14ac:dyDescent="0.35">
      <c r="B242" s="204">
        <v>943</v>
      </c>
      <c r="C242" s="204" t="s">
        <v>633</v>
      </c>
      <c r="D242" s="204" t="s">
        <v>56</v>
      </c>
      <c r="E242" s="204" t="s">
        <v>141</v>
      </c>
      <c r="F242" s="204" t="s">
        <v>208</v>
      </c>
      <c r="G242" s="204" t="s">
        <v>633</v>
      </c>
      <c r="H242" s="204" t="s">
        <v>634</v>
      </c>
      <c r="I242" s="261">
        <v>41591</v>
      </c>
      <c r="J242" s="205">
        <v>525.69759999999997</v>
      </c>
    </row>
    <row r="243" spans="2:10" x14ac:dyDescent="0.35">
      <c r="B243" s="204">
        <v>944</v>
      </c>
      <c r="C243" s="204" t="s">
        <v>635</v>
      </c>
      <c r="D243" s="204" t="s">
        <v>86</v>
      </c>
      <c r="E243" s="204" t="s">
        <v>66</v>
      </c>
      <c r="F243" s="204" t="s">
        <v>70</v>
      </c>
      <c r="G243" s="204" t="s">
        <v>71</v>
      </c>
      <c r="H243" s="204" t="s">
        <v>636</v>
      </c>
      <c r="I243" s="261">
        <v>41942</v>
      </c>
      <c r="J243" s="205">
        <v>1206.0821000000001</v>
      </c>
    </row>
    <row r="244" spans="2:10" x14ac:dyDescent="0.35">
      <c r="B244" s="204">
        <v>951</v>
      </c>
      <c r="C244" s="204" t="s">
        <v>637</v>
      </c>
      <c r="D244" s="204" t="s">
        <v>86</v>
      </c>
      <c r="E244" s="204" t="s">
        <v>66</v>
      </c>
      <c r="F244" s="204" t="s">
        <v>75</v>
      </c>
      <c r="G244" s="204" t="s">
        <v>76</v>
      </c>
      <c r="H244" s="204" t="s">
        <v>638</v>
      </c>
      <c r="I244" s="261">
        <v>41865</v>
      </c>
      <c r="J244" s="205">
        <v>1017.4979</v>
      </c>
    </row>
    <row r="245" spans="2:10" x14ac:dyDescent="0.35">
      <c r="B245" s="204">
        <v>957</v>
      </c>
      <c r="C245" s="204" t="s">
        <v>639</v>
      </c>
      <c r="D245" s="204" t="s">
        <v>86</v>
      </c>
      <c r="E245" s="204" t="s">
        <v>141</v>
      </c>
      <c r="F245" s="204" t="s">
        <v>142</v>
      </c>
      <c r="G245" s="204" t="s">
        <v>140</v>
      </c>
      <c r="H245" s="204" t="s">
        <v>640</v>
      </c>
      <c r="I245" s="261">
        <v>42131</v>
      </c>
      <c r="J245" s="205">
        <v>1159.7153000000001</v>
      </c>
    </row>
    <row r="246" spans="2:10" x14ac:dyDescent="0.35">
      <c r="B246" s="204">
        <v>958</v>
      </c>
      <c r="C246" s="204" t="s">
        <v>641</v>
      </c>
      <c r="D246" s="204" t="s">
        <v>86</v>
      </c>
      <c r="E246" s="204" t="s">
        <v>62</v>
      </c>
      <c r="F246" s="204" t="s">
        <v>99</v>
      </c>
      <c r="G246" s="204" t="s">
        <v>259</v>
      </c>
      <c r="H246" s="204" t="s">
        <v>642</v>
      </c>
      <c r="I246" s="261">
        <v>42488</v>
      </c>
      <c r="J246" s="205">
        <v>1124.4264000000001</v>
      </c>
    </row>
    <row r="247" spans="2:10" x14ac:dyDescent="0.35">
      <c r="C247" s="202"/>
    </row>
    <row r="248" spans="2:10" x14ac:dyDescent="0.35">
      <c r="C248" s="202"/>
    </row>
    <row r="249" spans="2:10" x14ac:dyDescent="0.35">
      <c r="C249" s="202"/>
    </row>
    <row r="250" spans="2:10" x14ac:dyDescent="0.35">
      <c r="C250" s="202"/>
    </row>
    <row r="251" spans="2:10" x14ac:dyDescent="0.35">
      <c r="C251" s="202"/>
    </row>
    <row r="252" spans="2:10" x14ac:dyDescent="0.35">
      <c r="C252" s="201"/>
    </row>
    <row r="253" spans="2:10" x14ac:dyDescent="0.35">
      <c r="C253" s="201"/>
    </row>
    <row r="254" spans="2:10" x14ac:dyDescent="0.35">
      <c r="C254" s="202"/>
    </row>
  </sheetData>
  <autoFilter ref="B1:J246" xr:uid="{4CB4851D-F6E5-4143-8CA4-889CDA62BA08}"/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Índice - Index</vt:lpstr>
      <vt:lpstr>Balanço - Balance Sheet</vt:lpstr>
      <vt:lpstr>Fluxo de Caixa - Cash Flow</vt:lpstr>
      <vt:lpstr>DRE Consolidado | P&amp;L </vt:lpstr>
      <vt:lpstr>DRE Varejo - Retail P&amp;L</vt:lpstr>
      <vt:lpstr>DRE Mbank - Mbank P&amp;L</vt:lpstr>
      <vt:lpstr>Destaques - Highlights</vt:lpstr>
      <vt:lpstr>Mbank - Mbank Portfolio</vt:lpstr>
      <vt:lpstr>Lojas - Stores</vt:lpstr>
      <vt:lpstr>'Destaques - Highlights'!Area_de_impressao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Victor Ferreira Caruzzo</cp:lastModifiedBy>
  <dcterms:created xsi:type="dcterms:W3CDTF">2012-10-18T13:38:58Z</dcterms:created>
  <dcterms:modified xsi:type="dcterms:W3CDTF">2024-02-12T19:49:00Z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Fundamentos_MZ_Marisa_1T17.xlsx</vt:lpwstr>
  </property>
  <property fmtid="{D5CDD505-2E9C-101B-9397-08002B2CF9AE}" pid="3" name="MSIP_Label_49450225-3ba2-475e-9f38-1fb492461405_Enabled">
    <vt:lpwstr>true</vt:lpwstr>
  </property>
  <property fmtid="{D5CDD505-2E9C-101B-9397-08002B2CF9AE}" pid="4" name="MSIP_Label_49450225-3ba2-475e-9f38-1fb492461405_SetDate">
    <vt:lpwstr>2023-01-17T19:05:31Z</vt:lpwstr>
  </property>
  <property fmtid="{D5CDD505-2E9C-101B-9397-08002B2CF9AE}" pid="5" name="MSIP_Label_49450225-3ba2-475e-9f38-1fb492461405_Method">
    <vt:lpwstr>Privileged</vt:lpwstr>
  </property>
  <property fmtid="{D5CDD505-2E9C-101B-9397-08002B2CF9AE}" pid="6" name="MSIP_Label_49450225-3ba2-475e-9f38-1fb492461405_Name">
    <vt:lpwstr>Interno</vt:lpwstr>
  </property>
  <property fmtid="{D5CDD505-2E9C-101B-9397-08002B2CF9AE}" pid="7" name="MSIP_Label_49450225-3ba2-475e-9f38-1fb492461405_SiteId">
    <vt:lpwstr>f304c535-573b-44d3-8e86-3d78cbe82b05</vt:lpwstr>
  </property>
  <property fmtid="{D5CDD505-2E9C-101B-9397-08002B2CF9AE}" pid="8" name="MSIP_Label_49450225-3ba2-475e-9f38-1fb492461405_ActionId">
    <vt:lpwstr>b7d5a2b2-7336-461e-89b9-283003e63dc6</vt:lpwstr>
  </property>
  <property fmtid="{D5CDD505-2E9C-101B-9397-08002B2CF9AE}" pid="9" name="MSIP_Label_49450225-3ba2-475e-9f38-1fb492461405_ContentBits">
    <vt:lpwstr>2</vt:lpwstr>
  </property>
</Properties>
</file>