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C:\Users\joses\Downloads\"/>
    </mc:Choice>
  </mc:AlternateContent>
  <xr:revisionPtr revIDLastSave="0" documentId="13_ncr:1_{75C5B10E-0906-410B-B20A-F1CE7788FEC3}" xr6:coauthVersionLast="47" xr6:coauthVersionMax="47" xr10:uidLastSave="{00000000-0000-0000-0000-000000000000}"/>
  <bookViews>
    <workbookView xWindow="-108" yWindow="-108" windowWidth="23256" windowHeight="12456" tabRatio="804" activeTab="4" xr2:uid="{00000000-000D-0000-FFFF-FFFF00000000}"/>
  </bookViews>
  <sheets>
    <sheet name="Índice - Index" sheetId="23" r:id="rId1"/>
    <sheet name="Balanço - Balance Sheet" sheetId="2" r:id="rId2"/>
    <sheet name="DRE Consolidado | P&amp;L " sheetId="19" r:id="rId3"/>
    <sheet name="Fluxo de Caixa - Cash Flow" sheetId="17" r:id="rId4"/>
    <sheet name="Dados Operacionais" sheetId="1" r:id="rId5"/>
  </sheets>
  <definedNames>
    <definedName name="\0">#REF!</definedName>
    <definedName name="\a">#REF!</definedName>
    <definedName name="\i">#REF!</definedName>
    <definedName name="\m">#REF!</definedName>
    <definedName name="\N">#REF!</definedName>
    <definedName name="\p">#REF!</definedName>
    <definedName name="\s">#REF!</definedName>
    <definedName name="_Order1" hidden="1">255</definedName>
    <definedName name="_PAG1">#REF!</definedName>
    <definedName name="_PAG2">#REF!</definedName>
    <definedName name="_PAG5">#REF!</definedName>
    <definedName name="_QUA2">#REF!</definedName>
    <definedName name="_QUA3">#REF!</definedName>
    <definedName name="_QUA4">#REF!</definedName>
    <definedName name="_QUA5">#REF!</definedName>
    <definedName name="A">#REF!</definedName>
    <definedName name="A_1">#REF!</definedName>
    <definedName name="A_2">#REF!</definedName>
    <definedName name="A0">#REF!</definedName>
    <definedName name="Á470">#REF!</definedName>
    <definedName name="AA">#REF!</definedName>
    <definedName name="AA_1">#REF!</definedName>
    <definedName name="AAA">#REF!</definedName>
    <definedName name="ACUMULADO">#REF!</definedName>
    <definedName name="ADICOES">#REF!</definedName>
    <definedName name="ADTOCLIENTES">#REF!</definedName>
    <definedName name="ANEXO99">#REF!</definedName>
    <definedName name="ANTECIPADAS">#REF!</definedName>
    <definedName name="APLICAÇ_ES">#REF!</definedName>
    <definedName name="APLICAÇÕES">#REF!</definedName>
    <definedName name="_xlnm.Extract">#REF!</definedName>
    <definedName name="_xlnm.Print_Area" localSheetId="4">'Dados Operacionais'!$B$1:$S$29</definedName>
    <definedName name="_xlnm.Print_Area">#REF!</definedName>
    <definedName name="Área_impressão_IM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TIVO">#REF!</definedName>
    <definedName name="AUMCAPITAL">#REF!</definedName>
    <definedName name="B">#REF!</definedName>
    <definedName name="B0">#REF!</definedName>
    <definedName name="BALANCO">#REF!</definedName>
    <definedName name="BALCMI">#REF!</definedName>
    <definedName name="BALGRAF">#REF!</definedName>
    <definedName name="BALPUBL">#REF!</definedName>
    <definedName name="_xlnm.Database">#REF!</definedName>
    <definedName name="BANCOS">#REF!</definedName>
    <definedName name="basic_level">#REF!</definedName>
    <definedName name="BB">#REF!</definedName>
    <definedName name="BBB">#REF!</definedName>
    <definedName name="BC_D_PI">#REF!</definedName>
    <definedName name="BC_T_PI">#REF!</definedName>
    <definedName name="BG_Del" hidden="1">15</definedName>
    <definedName name="BG_Ins" hidden="1">4</definedName>
    <definedName name="BG_Mod" hidden="1">6</definedName>
    <definedName name="BL_D_PF">#REF!</definedName>
    <definedName name="BL_D_PI">#REF!</definedName>
    <definedName name="BL_D_PP">#REF!</definedName>
    <definedName name="BL_T_PF">#REF!</definedName>
    <definedName name="BL_T_PI">#REF!</definedName>
    <definedName name="BL_T_PP">#REF!</definedName>
    <definedName name="BR_D_PI">#REF!</definedName>
    <definedName name="BR_T_PI">#REF!</definedName>
    <definedName name="BT_D_PI">#REF!</definedName>
    <definedName name="BT_D_PP">#REF!</definedName>
    <definedName name="BT_T_PI">#REF!</definedName>
    <definedName name="BT_T_PP">#REF!</definedName>
    <definedName name="C.">#REF!</definedName>
    <definedName name="CAP">#REF!</definedName>
    <definedName name="CAPCOLIG">#REF!</definedName>
    <definedName name="CC">#REF!</definedName>
    <definedName name="CCC">#REF!</definedName>
    <definedName name="COLIGATIVO">#REF!</definedName>
    <definedName name="COLIGPASSIVO">#REF!</definedName>
    <definedName name="COMPULSORIO">#REF!</definedName>
    <definedName name="consol0606imob">#REF!</definedName>
    <definedName name="CONVENIO">#REF!</definedName>
    <definedName name="CPRAZO">#REF!</definedName>
    <definedName name="_xlnm.Criteria">#REF!</definedName>
    <definedName name="CTAS.RECEBER">#REF!</definedName>
    <definedName name="CUSTO">#REF!</definedName>
    <definedName name="D">#REF!</definedName>
    <definedName name="D.R.E.">#REF!</definedName>
    <definedName name="DD">#REF!</definedName>
    <definedName name="DEBENLP">#REF!</definedName>
    <definedName name="DIFERIDO">#REF!</definedName>
    <definedName name="DIVGRAF1">#REF!</definedName>
    <definedName name="divliq">#REF!</definedName>
    <definedName name="DUPLS.ARECEBER">#REF!</definedName>
    <definedName name="EE">#REF!</definedName>
    <definedName name="ENCARGOS98">#REF!</definedName>
    <definedName name="ENCARGOS99">#REF!</definedName>
    <definedName name="ESTOQUES">#REF!</definedName>
    <definedName name="F_1">#REF!</definedName>
    <definedName name="F_2">#REF!</definedName>
    <definedName name="F_3">#REF!</definedName>
    <definedName name="FB_D_PI">#REF!</definedName>
    <definedName name="FB_D_PP">#REF!</definedName>
    <definedName name="FB_T_PI">#REF!</definedName>
    <definedName name="FB_T_PP">#REF!</definedName>
    <definedName name="fefe">#REF!</definedName>
    <definedName name="FINANCP">#REF!</definedName>
    <definedName name="FINANLP">#REF!</definedName>
    <definedName name="FLUXO1998">#REF!</definedName>
    <definedName name="FLUXO1999">#REF!</definedName>
    <definedName name="FLUXO98">#REF!</definedName>
    <definedName name="FLUXO99">#REF!</definedName>
    <definedName name="FN_D_PI">#REF!</definedName>
    <definedName name="FN_T_PI">#REF!</definedName>
    <definedName name="FOLHA">#REF!</definedName>
    <definedName name="_xlnm.Recorder">#REF!</definedName>
    <definedName name="GRUPO_1">#REF!</definedName>
    <definedName name="GRUPO_2">#REF!</definedName>
    <definedName name="GRUPO_3">#REF!</definedName>
    <definedName name="GRUPO_4">#REF!</definedName>
    <definedName name="GRUPO_5">#REF!</definedName>
    <definedName name="GRUPO_6">#REF!</definedName>
    <definedName name="GRUPO_7">#REF!</definedName>
    <definedName name="GRUPO_8">#REF!</definedName>
    <definedName name="HH">#REF!</definedName>
    <definedName name="II">#REF!</definedName>
    <definedName name="IMOBILIZA01">#REF!</definedName>
    <definedName name="IMOBILIZA02">#REF!</definedName>
    <definedName name="IMOBILIZADO">#REF!</definedName>
    <definedName name="IMPATUAL">#REF!</definedName>
    <definedName name="INCENTIVOS">#REF!</definedName>
    <definedName name="interm_level">#REF!</definedName>
    <definedName name="INVESCOLIG">#REF!</definedName>
    <definedName name="INVESTIOUTROS">#REF!</definedName>
    <definedName name="JUDICIAIS">#REF!</definedName>
    <definedName name="L.">#REF!</definedName>
    <definedName name="LL">#REF!</definedName>
    <definedName name="lll">#REF!</definedName>
    <definedName name="LO_D_PI">#REF!</definedName>
    <definedName name="LO_T_PI">#REF!</definedName>
    <definedName name="Luiz">#REF!</definedName>
    <definedName name="Macro2">#REF!</definedName>
    <definedName name="MENU">#REF!</definedName>
    <definedName name="Meses">#REF!,#REF!,#REF!,#REF!,#REF!,#REF!,#REF!,#REF!,#REF!,#REF!,#REF!,#REF!</definedName>
    <definedName name="MM">#REF!</definedName>
    <definedName name="MM_1">#REF!</definedName>
    <definedName name="MU_D_PI">#REF!</definedName>
    <definedName name="MU_D_PP">#REF!</definedName>
    <definedName name="MU_T_PI">#REF!</definedName>
    <definedName name="MU_T_PP">#REF!</definedName>
    <definedName name="NN">#REF!</definedName>
    <definedName name="ooo" hidden="1">#REF!</definedName>
    <definedName name="ORÇADO">#REF!</definedName>
    <definedName name="OUCTASLP">#REF!</definedName>
    <definedName name="OUT_INFORM">#REF!</definedName>
    <definedName name="OUTRASRECEBER">#REF!</definedName>
    <definedName name="OUTROS2">#REF!</definedName>
    <definedName name="OUTROS3">#REF!</definedName>
    <definedName name="OUTROS4">#REF!</definedName>
    <definedName name="OUTROSCRED">#REF!</definedName>
    <definedName name="OUTROSIMOBIL">#REF!</definedName>
    <definedName name="OUTROSLP">#REF!</definedName>
    <definedName name="PARC.">#REF!</definedName>
    <definedName name="PASSIVO">#REF!</definedName>
    <definedName name="PI_PF">#REF!</definedName>
    <definedName name="PI_PP">#REF!</definedName>
    <definedName name="PP_PF">#REF!</definedName>
    <definedName name="pppp">#REF!</definedName>
    <definedName name="pressões">#REF!</definedName>
    <definedName name="PRIENC98">#REF!</definedName>
    <definedName name="PRINCIPAL98">#REF!</definedName>
    <definedName name="PRINCIPAL99">#REF!</definedName>
    <definedName name="PRINENC99">#REF!</definedName>
    <definedName name="PRINT_AR01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PRINT_AR09">#REF!</definedName>
    <definedName name="PRINT_AR10">#REF!</definedName>
    <definedName name="PRINT_AR11">#REF!</definedName>
    <definedName name="PRINT_AR14">#REF!</definedName>
    <definedName name="PRINT_AREA_MI">#REF!</definedName>
    <definedName name="PRINT_TITL01">#REF!</definedName>
    <definedName name="Projeções">#REF!</definedName>
    <definedName name="PTS">#REF!</definedName>
    <definedName name="QUADRO">#REF!</definedName>
    <definedName name="REAL">#REF!</definedName>
    <definedName name="RECUPERAR">#REF!</definedName>
    <definedName name="REF">#REF!</definedName>
    <definedName name="REPASSE">#REF!</definedName>
    <definedName name="RESU">#REF!</definedName>
    <definedName name="RESULTADO">#REF!</definedName>
    <definedName name="RESULTADO1">#REF!</definedName>
    <definedName name="RESULTADO5">#REF!</definedName>
    <definedName name="RESUMO">#REF!</definedName>
    <definedName name="SALDODÍVIDA">#REF!</definedName>
    <definedName name="SERVIÇOS">#REF!</definedName>
    <definedName name="SS">#REF!</definedName>
    <definedName name="SU_D_PI">#REF!</definedName>
    <definedName name="SU_T_PI">#REF!</definedName>
    <definedName name="TABELA">#REF!</definedName>
    <definedName name="TABELA1">#REF!</definedName>
    <definedName name="TAXAS">#REF!</definedName>
    <definedName name="teste">#REF!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3">#REF!</definedName>
    <definedName name="TextRefCopy32">#REF!</definedName>
    <definedName name="TextRefCopy33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2">#REF!</definedName>
    <definedName name="TextRefCopy53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2">#REF!</definedName>
    <definedName name="TextRefCopy73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8">#REF!</definedName>
    <definedName name="TextRefCopy81">#REF!</definedName>
    <definedName name="TextRefCopy9">#REF!</definedName>
    <definedName name="TextRefCopyRangeCount" hidden="1">4</definedName>
    <definedName name="_xlnm.Print_Titles">#REF!</definedName>
    <definedName name="TRIMESTRE">#REF!</definedName>
    <definedName name="tudo">#REF!</definedName>
    <definedName name="U">#REF!</definedName>
    <definedName name="UN_D_PI">#REF!</definedName>
    <definedName name="UN_D_PP">#REF!</definedName>
    <definedName name="UN_T_PI">#REF!</definedName>
    <definedName name="UN_T_PP">#REF!</definedName>
    <definedName name="values">#REF!,#REF!,#REF!</definedName>
    <definedName name="VENC">#REF!</definedName>
    <definedName name="VOLT_MENU">#REF!</definedName>
    <definedName name="vv">#REF!</definedName>
    <definedName name="vvv">#REF!</definedName>
    <definedName name="x">#REF!</definedName>
    <definedName name="XREF_COLUMN_1" hidden="1">#REF!</definedName>
    <definedName name="XREF_COLUMN_10" hidden="1">#REF!</definedName>
    <definedName name="XREF_COLUMN_11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17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7" hidden="1">#REF!</definedName>
    <definedName name="XREF_COLUMN_8" hidden="1">#REF!</definedName>
    <definedName name="XREF_COLUMN_9" hidden="1">#REF!</definedName>
    <definedName name="XRefColumnsCount" hidden="1">8</definedName>
    <definedName name="XRefCopy1" hidden="1">#REF!</definedName>
    <definedName name="XRefCopy12" hidden="1">#REF!</definedName>
    <definedName name="XRefCopy12Row" hidden="1">#REF!</definedName>
    <definedName name="XRefCopy13" hidden="1">#REF!</definedName>
    <definedName name="XRefCopy15" hidden="1">#REF!</definedName>
    <definedName name="XRefCopy17" hidden="1">#REF!</definedName>
    <definedName name="XRefCopy18Row" hidden="1">#REF!</definedName>
    <definedName name="XRefCopy19" hidden="1">#REF!</definedName>
    <definedName name="XRefCopy19Row" hidden="1">#REF!</definedName>
    <definedName name="XRefCopy2" hidden="1">#REF!</definedName>
    <definedName name="XRefCopy20Row" hidden="1">#REF!</definedName>
    <definedName name="XRefCopy21" hidden="1">#REF!</definedName>
    <definedName name="XRefCopy21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Row" hidden="1">#REF!</definedName>
    <definedName name="XRefCopy31" hidden="1">#REF!</definedName>
    <definedName name="XRefCopy31Row" hidden="1">#REF!</definedName>
    <definedName name="XRefCopy33Row" hidden="1">#REF!</definedName>
    <definedName name="XRefCopy39" hidden="1">#REF!</definedName>
    <definedName name="XRefCopy4" hidden="1">#REF!</definedName>
    <definedName name="XRefCopy5" hidden="1">#REF!</definedName>
    <definedName name="XRefCopy6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RangeCount" hidden="1">14</definedName>
    <definedName name="XRefPaste1" hidden="1">#REF!</definedName>
    <definedName name="XRefPaste10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5Row" hidden="1">#REF!</definedName>
    <definedName name="XRefPaste16" hidden="1">#REF!</definedName>
    <definedName name="XRefPaste16Row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26" hidden="1">#REF!</definedName>
    <definedName name="XRefPaste26Row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#REF!</definedName>
    <definedName name="XRefPaste3" hidden="1">#REF!</definedName>
    <definedName name="XRefPaste31" hidden="1">#REF!</definedName>
    <definedName name="XRefPaste32" hidden="1">#REF!</definedName>
    <definedName name="XRefPaste32Row" hidden="1">#REF!</definedName>
    <definedName name="XRefPaste35" hidden="1">#REF!</definedName>
    <definedName name="XRefPaste35Row" hidden="1">#REF!</definedName>
    <definedName name="XRefPaste4" hidden="1">#REF!</definedName>
    <definedName name="XRefPaste8" hidden="1">#REF!</definedName>
    <definedName name="XRefPaste9" hidden="1">#REF!</definedName>
    <definedName name="XRefPasteRangeCount" hidden="1">35</definedName>
    <definedName name="xxx" hidden="1">#REF!</definedName>
    <definedName name="Z">#REF!</definedName>
    <definedName name="Z_1">#REF!</definedName>
    <definedName name="Z_3">#REF!</definedName>
    <definedName name="Z757Z120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37" i="19" l="1"/>
  <c r="CE38" i="19"/>
  <c r="CE31" i="19"/>
  <c r="CH37" i="19" l="1"/>
  <c r="CH33" i="19"/>
  <c r="CH31" i="19"/>
  <c r="BC20" i="17"/>
  <c r="BB20" i="17"/>
  <c r="BA20" i="17"/>
  <c r="BD20" i="17"/>
  <c r="CG14" i="1" l="1"/>
  <c r="BD7" i="17"/>
  <c r="BC7" i="17"/>
  <c r="BD41" i="17"/>
  <c r="BD40" i="17"/>
  <c r="BB40" i="17"/>
  <c r="BA40" i="17"/>
  <c r="BC40" i="17"/>
  <c r="CG29" i="1"/>
  <c r="CG3" i="1"/>
  <c r="CG6" i="1"/>
  <c r="CF6" i="1"/>
  <c r="CF40" i="19"/>
  <c r="CF39" i="19"/>
  <c r="CF38" i="19"/>
  <c r="CF35" i="19"/>
  <c r="CH35" i="19" s="1"/>
  <c r="CF34" i="19"/>
  <c r="CH34" i="19" s="1"/>
  <c r="CF32" i="19"/>
  <c r="CH32" i="19" s="1"/>
  <c r="CF24" i="19"/>
  <c r="CF23" i="19"/>
  <c r="CE22" i="19"/>
  <c r="CF22" i="19" s="1"/>
  <c r="CF8" i="19"/>
  <c r="CF7" i="19"/>
  <c r="CF55" i="19" l="1"/>
  <c r="BD34" i="17" l="1"/>
  <c r="BD29" i="17"/>
  <c r="BD13" i="17"/>
  <c r="CE26" i="19"/>
  <c r="CE42" i="19" s="1"/>
  <c r="CE54" i="19" s="1"/>
  <c r="CF26" i="19"/>
  <c r="CE18" i="19"/>
  <c r="CE28" i="19" s="1"/>
  <c r="CF18" i="19"/>
  <c r="CF28" i="19" s="1"/>
  <c r="CE19" i="19"/>
  <c r="CE29" i="19" s="1"/>
  <c r="CF19" i="19"/>
  <c r="CF29" i="19" s="1"/>
  <c r="BO79" i="2"/>
  <c r="CF42" i="19" l="1"/>
  <c r="CE48" i="19"/>
  <c r="CE52" i="19" s="1"/>
  <c r="CF48" i="19"/>
  <c r="CF52" i="19" s="1"/>
  <c r="CF54" i="19"/>
  <c r="BC31" i="17" l="1"/>
  <c r="CF28" i="1" l="1"/>
  <c r="BC36" i="17" l="1"/>
  <c r="BC34" i="17" l="1"/>
  <c r="CD37" i="19" l="1"/>
  <c r="CD31" i="19"/>
  <c r="CD21" i="19"/>
  <c r="CD19" i="19"/>
  <c r="CD29" i="19" s="1"/>
  <c r="CD18" i="19"/>
  <c r="CD28" i="19" s="1"/>
  <c r="CD17" i="19"/>
  <c r="CD27" i="19" s="1"/>
  <c r="CD10" i="19"/>
  <c r="CD16" i="19" s="1"/>
  <c r="CD5" i="19"/>
  <c r="CF3" i="1" l="1"/>
  <c r="CD26" i="19"/>
  <c r="CD42" i="19" s="1"/>
  <c r="CF37" i="1"/>
  <c r="CF14" i="1"/>
  <c r="BC29" i="17"/>
  <c r="BC13" i="17"/>
  <c r="CD54" i="19" l="1"/>
  <c r="CD48" i="19"/>
  <c r="CD52" i="19" s="1"/>
  <c r="CD3" i="19"/>
  <c r="BN83" i="2"/>
  <c r="BN81" i="2"/>
  <c r="BN79" i="2"/>
  <c r="BN69" i="2"/>
  <c r="BN56" i="2"/>
  <c r="BN36" i="2"/>
  <c r="BN34" i="2"/>
  <c r="BN19" i="2"/>
  <c r="BN4" i="2"/>
  <c r="CF1" i="1"/>
  <c r="AX36" i="17"/>
  <c r="AY20" i="17"/>
  <c r="AY40" i="17"/>
  <c r="AZ40" i="17"/>
  <c r="AZ36" i="17"/>
  <c r="BB36" i="17"/>
  <c r="CE14" i="1" l="1"/>
  <c r="CD14" i="1"/>
  <c r="CC14" i="1"/>
  <c r="CE29" i="1"/>
  <c r="CD29" i="1"/>
  <c r="CC29" i="1"/>
  <c r="CE11" i="1"/>
  <c r="CD11" i="1"/>
  <c r="CC11" i="1"/>
  <c r="CE6" i="1"/>
  <c r="CD6" i="1"/>
  <c r="CC6" i="1"/>
  <c r="CA55" i="19" l="1"/>
  <c r="CA50" i="19"/>
  <c r="CA46" i="19"/>
  <c r="CA45" i="19"/>
  <c r="CA44" i="19"/>
  <c r="CA39" i="19"/>
  <c r="CA38" i="19"/>
  <c r="CA34" i="19"/>
  <c r="CA33" i="19"/>
  <c r="CA32" i="19"/>
  <c r="CA23" i="19"/>
  <c r="CA22" i="19"/>
  <c r="CA21" i="19" s="1"/>
  <c r="CA19" i="19"/>
  <c r="CA29" i="19" s="1"/>
  <c r="BZ10" i="19"/>
  <c r="CA11" i="19"/>
  <c r="CA8" i="19"/>
  <c r="CA7" i="19"/>
  <c r="CA6" i="19"/>
  <c r="BV55" i="19"/>
  <c r="BH54" i="19"/>
  <c r="BE54" i="19"/>
  <c r="BD54" i="19"/>
  <c r="BC54" i="19"/>
  <c r="BB54" i="19"/>
  <c r="BA54" i="19"/>
  <c r="AZ54" i="19"/>
  <c r="AY54" i="19"/>
  <c r="AX54" i="19"/>
  <c r="AW54" i="19"/>
  <c r="AV54" i="19"/>
  <c r="AU54" i="19"/>
  <c r="AT54" i="19"/>
  <c r="AS54" i="19"/>
  <c r="AR54" i="19"/>
  <c r="CA17" i="19" l="1"/>
  <c r="CA27" i="19" s="1"/>
  <c r="CA37" i="19"/>
  <c r="CA5" i="19"/>
  <c r="CA31" i="19"/>
  <c r="CC17" i="19" l="1"/>
  <c r="CC27" i="19" s="1"/>
  <c r="CC18" i="19"/>
  <c r="CC28" i="19" s="1"/>
  <c r="CC19" i="19"/>
  <c r="CC29" i="19" s="1"/>
  <c r="CE1" i="1" l="1"/>
  <c r="CE37" i="1"/>
  <c r="CC37" i="19"/>
  <c r="CC31" i="19"/>
  <c r="CC21" i="19"/>
  <c r="CC10" i="19"/>
  <c r="CC5" i="19"/>
  <c r="CC3" i="19"/>
  <c r="BB34" i="17"/>
  <c r="BB29" i="17"/>
  <c r="BB13" i="17"/>
  <c r="BB11" i="17"/>
  <c r="BM79" i="2"/>
  <c r="BM81" i="2" s="1"/>
  <c r="BM69" i="2"/>
  <c r="BM56" i="2"/>
  <c r="BM34" i="2"/>
  <c r="BM19" i="2"/>
  <c r="BM4" i="2"/>
  <c r="AZ29" i="17"/>
  <c r="BA29" i="17"/>
  <c r="AZ20" i="17"/>
  <c r="AZ34" i="17"/>
  <c r="BA34" i="17"/>
  <c r="AY34" i="17"/>
  <c r="AY29" i="17"/>
  <c r="AY13" i="17"/>
  <c r="AZ13" i="17"/>
  <c r="BA13" i="17"/>
  <c r="AY11" i="17"/>
  <c r="AZ11" i="17"/>
  <c r="BA11" i="17"/>
  <c r="CB37" i="19"/>
  <c r="CB31" i="19"/>
  <c r="CB21" i="19"/>
  <c r="CB18" i="19"/>
  <c r="CB28" i="19" s="1"/>
  <c r="CB19" i="19"/>
  <c r="CB29" i="19" s="1"/>
  <c r="CB17" i="19"/>
  <c r="CB27" i="19" s="1"/>
  <c r="CB10" i="19"/>
  <c r="CB5" i="19"/>
  <c r="CB3" i="19"/>
  <c r="CD37" i="1"/>
  <c r="CC37" i="1"/>
  <c r="CD1" i="1"/>
  <c r="CC1" i="1"/>
  <c r="BZ37" i="19"/>
  <c r="BY12" i="19"/>
  <c r="CA12" i="19" s="1"/>
  <c r="BZ3" i="19"/>
  <c r="BA3" i="17"/>
  <c r="BL4" i="2"/>
  <c r="BK4" i="2"/>
  <c r="BK79" i="2"/>
  <c r="BK81" i="2" s="1"/>
  <c r="BL79" i="2"/>
  <c r="BL81" i="2" s="1"/>
  <c r="BK69" i="2"/>
  <c r="BL69" i="2"/>
  <c r="BK56" i="2"/>
  <c r="BL56" i="2"/>
  <c r="BK34" i="2"/>
  <c r="BL34" i="2"/>
  <c r="BL19" i="2"/>
  <c r="BK19" i="2"/>
  <c r="B1" i="1"/>
  <c r="C1" i="1"/>
  <c r="D1" i="1"/>
  <c r="E1" i="1"/>
  <c r="F1" i="1"/>
  <c r="H1" i="1"/>
  <c r="I1" i="1"/>
  <c r="J1" i="1"/>
  <c r="K1" i="1"/>
  <c r="M1" i="1"/>
  <c r="N1" i="1"/>
  <c r="O1" i="1"/>
  <c r="P1" i="1"/>
  <c r="R1" i="1"/>
  <c r="S1" i="1"/>
  <c r="T1" i="1"/>
  <c r="U1" i="1"/>
  <c r="W1" i="1"/>
  <c r="X1" i="1"/>
  <c r="Y1" i="1"/>
  <c r="Z1" i="1"/>
  <c r="AB1" i="1"/>
  <c r="AC1" i="1"/>
  <c r="AD1" i="1"/>
  <c r="AE1" i="1"/>
  <c r="AG1" i="1"/>
  <c r="AH1" i="1"/>
  <c r="AI1" i="1"/>
  <c r="AJ1" i="1"/>
  <c r="AL1" i="1"/>
  <c r="AM1" i="1"/>
  <c r="AN1" i="1"/>
  <c r="AQ1" i="1"/>
  <c r="AR1" i="1"/>
  <c r="AS1" i="1"/>
  <c r="AT1" i="1"/>
  <c r="AV1" i="1"/>
  <c r="AW1" i="1"/>
  <c r="AX1" i="1"/>
  <c r="AY1" i="1"/>
  <c r="AZ1" i="1"/>
  <c r="BA1" i="1"/>
  <c r="BB1" i="1"/>
  <c r="BC1" i="1"/>
  <c r="BD1" i="1"/>
  <c r="BF1" i="1"/>
  <c r="BG1" i="1"/>
  <c r="BH1" i="1"/>
  <c r="BI1" i="1"/>
  <c r="BK1" i="1"/>
  <c r="BL1" i="1"/>
  <c r="BM1" i="1"/>
  <c r="BN1" i="1"/>
  <c r="BO1" i="1"/>
  <c r="BP1" i="1"/>
  <c r="BQ1" i="1"/>
  <c r="BR1" i="1"/>
  <c r="BS1" i="1"/>
  <c r="BT1" i="1"/>
  <c r="BU1" i="1"/>
  <c r="BV1" i="1"/>
  <c r="BW1" i="1"/>
  <c r="BX1" i="1"/>
  <c r="BY1" i="1"/>
  <c r="BZ1" i="1"/>
  <c r="CA1" i="1"/>
  <c r="CB1" i="1"/>
  <c r="B3" i="1"/>
  <c r="B5" i="1"/>
  <c r="B6" i="1"/>
  <c r="B7" i="1"/>
  <c r="B8" i="1"/>
  <c r="B10" i="1"/>
  <c r="C10" i="1"/>
  <c r="D10" i="1"/>
  <c r="E10" i="1"/>
  <c r="F10" i="1"/>
  <c r="B14" i="1"/>
  <c r="C14" i="1"/>
  <c r="D14" i="1"/>
  <c r="E14" i="1"/>
  <c r="F14" i="1"/>
  <c r="B18" i="1"/>
  <c r="B19" i="1"/>
  <c r="B20" i="1"/>
  <c r="B24" i="1"/>
  <c r="B25" i="1"/>
  <c r="B26" i="1"/>
  <c r="B27" i="1"/>
  <c r="B28" i="1"/>
  <c r="B29" i="1"/>
  <c r="B31" i="1"/>
  <c r="B33" i="1"/>
  <c r="C33" i="1"/>
  <c r="D33" i="1"/>
  <c r="E33" i="1"/>
  <c r="F33" i="1"/>
  <c r="B35" i="1"/>
  <c r="C35" i="1"/>
  <c r="D35" i="1"/>
  <c r="E35" i="1"/>
  <c r="F35" i="1"/>
  <c r="C37" i="1"/>
  <c r="D37" i="1"/>
  <c r="E37" i="1"/>
  <c r="F37" i="1"/>
  <c r="B38" i="1"/>
  <c r="B39" i="1"/>
  <c r="B40" i="1"/>
  <c r="B41" i="1"/>
  <c r="B42" i="1"/>
  <c r="B43" i="1"/>
  <c r="CA10" i="19" l="1"/>
  <c r="CA16" i="19" s="1"/>
  <c r="CA18" i="19"/>
  <c r="CA28" i="19" s="1"/>
  <c r="AY27" i="17"/>
  <c r="AY38" i="17" s="1"/>
  <c r="AZ27" i="17"/>
  <c r="AZ38" i="17" s="1"/>
  <c r="BB27" i="17"/>
  <c r="BB38" i="17" s="1"/>
  <c r="CB16" i="19"/>
  <c r="CC16" i="19"/>
  <c r="BZ31" i="19"/>
  <c r="BA27" i="17"/>
  <c r="BA38" i="17" s="1"/>
  <c r="BM83" i="2"/>
  <c r="BL83" i="2"/>
  <c r="BK36" i="2"/>
  <c r="BM36" i="2"/>
  <c r="BZ18" i="19"/>
  <c r="BZ28" i="19" s="1"/>
  <c r="BZ5" i="19"/>
  <c r="BZ29" i="19"/>
  <c r="BZ21" i="19"/>
  <c r="BZ26" i="19" s="1"/>
  <c r="BL36" i="2"/>
  <c r="BK83" i="2"/>
  <c r="BT31" i="19"/>
  <c r="BT16" i="19"/>
  <c r="BT37" i="19"/>
  <c r="BT21" i="19"/>
  <c r="BT5" i="19"/>
  <c r="BT3" i="19"/>
  <c r="C59" i="19"/>
  <c r="CC26" i="19" l="1"/>
  <c r="CC42" i="19" s="1"/>
  <c r="CE3" i="1"/>
  <c r="CB26" i="19"/>
  <c r="CB42" i="19" s="1"/>
  <c r="CD3" i="1"/>
  <c r="CA26" i="19"/>
  <c r="CH27" i="19" s="1"/>
  <c r="CB54" i="19"/>
  <c r="CC48" i="19"/>
  <c r="CC52" i="19" s="1"/>
  <c r="CC54" i="19"/>
  <c r="BZ42" i="19"/>
  <c r="BT26" i="19"/>
  <c r="BT42" i="19" s="1"/>
  <c r="BY37" i="19"/>
  <c r="CA42" i="19" l="1"/>
  <c r="CH26" i="19"/>
  <c r="CI26" i="19" s="1"/>
  <c r="BD6" i="17"/>
  <c r="BD11" i="17" s="1"/>
  <c r="BC6" i="17"/>
  <c r="BC11" i="17" s="1"/>
  <c r="BC27" i="17" s="1"/>
  <c r="BC38" i="17" s="1"/>
  <c r="CB48" i="19"/>
  <c r="CB52" i="19" s="1"/>
  <c r="BT48" i="19"/>
  <c r="BT52" i="19" s="1"/>
  <c r="BT54" i="19"/>
  <c r="BZ48" i="19"/>
  <c r="BZ52" i="19" s="1"/>
  <c r="BZ54" i="19"/>
  <c r="BY3" i="19"/>
  <c r="CA54" i="19" l="1"/>
  <c r="CA48" i="19"/>
  <c r="CA52" i="19" s="1"/>
  <c r="BY31" i="19"/>
  <c r="BY21" i="19"/>
  <c r="BY5" i="19"/>
  <c r="BJ4" i="2" l="1"/>
  <c r="BJ79" i="2"/>
  <c r="BJ81" i="2" s="1"/>
  <c r="BJ69" i="2"/>
  <c r="BJ56" i="2"/>
  <c r="BJ34" i="2"/>
  <c r="BJ19" i="2"/>
  <c r="BJ83" i="2" l="1"/>
  <c r="BJ36" i="2"/>
  <c r="BS31" i="19"/>
  <c r="BS21" i="19"/>
  <c r="BS29" i="19"/>
  <c r="BS28" i="19"/>
  <c r="BS16" i="19"/>
  <c r="BS5" i="19"/>
  <c r="BS3" i="19"/>
  <c r="BS37" i="19"/>
  <c r="BS27" i="19"/>
  <c r="BX31" i="19"/>
  <c r="BX28" i="19"/>
  <c r="BX21" i="19"/>
  <c r="BX29" i="19"/>
  <c r="BX5" i="19"/>
  <c r="BX3" i="19"/>
  <c r="BX37" i="19"/>
  <c r="BX27" i="19" l="1"/>
  <c r="BS26" i="19"/>
  <c r="BS42" i="19" s="1"/>
  <c r="BX16" i="19"/>
  <c r="BX26" i="19" s="1"/>
  <c r="BX42" i="19" s="1"/>
  <c r="BX48" i="19" l="1"/>
  <c r="BX52" i="19" s="1"/>
  <c r="BX54" i="19"/>
  <c r="BS48" i="19"/>
  <c r="BS52" i="19" s="1"/>
  <c r="BS54" i="19"/>
  <c r="AX34" i="17"/>
  <c r="AX29" i="17"/>
  <c r="AX20" i="17"/>
  <c r="AX13" i="17"/>
  <c r="AX11" i="17"/>
  <c r="B80" i="2"/>
  <c r="B67" i="2"/>
  <c r="BI4" i="2"/>
  <c r="AX27" i="17" l="1"/>
  <c r="AX38" i="17" s="1"/>
  <c r="BI79" i="2" l="1"/>
  <c r="BI81" i="2" s="1"/>
  <c r="BI69" i="2" l="1"/>
  <c r="BI19" i="2" l="1"/>
  <c r="BI56" i="2"/>
  <c r="BI83" i="2" s="1"/>
  <c r="BI34" i="2" l="1"/>
  <c r="BI36" i="2" s="1"/>
  <c r="C44" i="17" l="1"/>
  <c r="AV3" i="17"/>
  <c r="BR3" i="19" l="1"/>
  <c r="BW3" i="19" l="1"/>
  <c r="AW3" i="17" l="1"/>
  <c r="AW38" i="17"/>
  <c r="AW34" i="17"/>
  <c r="AW29" i="17"/>
  <c r="AW20" i="17"/>
  <c r="AW13" i="17"/>
  <c r="AW11" i="17"/>
  <c r="AW27" i="17" l="1"/>
  <c r="BR28" i="19" l="1"/>
  <c r="BR31" i="19" l="1"/>
  <c r="BR27" i="19"/>
  <c r="BW28" i="19"/>
  <c r="BW31" i="19"/>
  <c r="BR37" i="19"/>
  <c r="BW37" i="19"/>
  <c r="BW27" i="19" l="1"/>
  <c r="BW21" i="19" l="1"/>
  <c r="BW5" i="19"/>
  <c r="BW29" i="19" l="1"/>
  <c r="BW16" i="19"/>
  <c r="BW26" i="19" l="1"/>
  <c r="BR21" i="19"/>
  <c r="BR5" i="19"/>
  <c r="BW42" i="19" l="1"/>
  <c r="BW54" i="19" s="1"/>
  <c r="BW48" i="19"/>
  <c r="BW52" i="19" s="1"/>
  <c r="BR29" i="19" l="1"/>
  <c r="BR16" i="19"/>
  <c r="BR26" i="19" l="1"/>
  <c r="BR42" i="19" l="1"/>
  <c r="BR48" i="19" l="1"/>
  <c r="BR52" i="19" s="1"/>
  <c r="BR54" i="19"/>
  <c r="BH4" i="2"/>
  <c r="BH79" i="2"/>
  <c r="BH81" i="2" s="1"/>
  <c r="BH69" i="2"/>
  <c r="BH56" i="2"/>
  <c r="BH34" i="2"/>
  <c r="BH83" i="2" l="1"/>
  <c r="BH19" i="2"/>
  <c r="BH36" i="2" s="1"/>
  <c r="AV29" i="17" l="1"/>
  <c r="AV20" i="17"/>
  <c r="C8" i="17"/>
  <c r="BQ27" i="19" l="1"/>
  <c r="AV11" i="17"/>
  <c r="BQ28" i="19"/>
  <c r="BQ29" i="19"/>
  <c r="AV38" i="17"/>
  <c r="AV34" i="17"/>
  <c r="AV13" i="17"/>
  <c r="AV27" i="17" s="1"/>
  <c r="BQ37" i="19"/>
  <c r="BQ31" i="19"/>
  <c r="BQ21" i="19"/>
  <c r="BQ16" i="19"/>
  <c r="BQ5" i="19"/>
  <c r="BV37" i="19"/>
  <c r="BQ26" i="19" l="1"/>
  <c r="BQ42" i="19" s="1"/>
  <c r="BQ48" i="19" l="1"/>
  <c r="BQ52" i="19" s="1"/>
  <c r="BQ54" i="19"/>
  <c r="BV27" i="19"/>
  <c r="BV21" i="19"/>
  <c r="BV31" i="19" l="1"/>
  <c r="BV28" i="19" l="1"/>
  <c r="BV5" i="19" l="1"/>
  <c r="BV16" i="19" l="1"/>
  <c r="BV26" i="19" s="1"/>
  <c r="BV42" i="19" s="1"/>
  <c r="BV29" i="19"/>
  <c r="BV48" i="19" l="1"/>
  <c r="BV52" i="19" s="1"/>
  <c r="BV54" i="19"/>
  <c r="BQ3" i="19"/>
  <c r="C58" i="19"/>
  <c r="BP3" i="19" l="1"/>
  <c r="C40" i="19" l="1"/>
  <c r="C35" i="19"/>
  <c r="C29" i="19"/>
  <c r="C24" i="19"/>
  <c r="C19" i="19"/>
  <c r="C8" i="19"/>
  <c r="BV3" i="19"/>
  <c r="BU37" i="19" l="1"/>
  <c r="BU27" i="19" l="1"/>
  <c r="BU21" i="19" l="1"/>
  <c r="BU31" i="19" l="1"/>
  <c r="BP27" i="19" l="1"/>
  <c r="BP31" i="19" l="1"/>
  <c r="BP21" i="19"/>
  <c r="BP37" i="19"/>
  <c r="BP28" i="19" l="1"/>
  <c r="BU28" i="19" l="1"/>
  <c r="BU5" i="19" l="1"/>
  <c r="BP5" i="19"/>
  <c r="BP29" i="19" l="1"/>
  <c r="BP16" i="19"/>
  <c r="BP26" i="19" s="1"/>
  <c r="BP42" i="19" s="1"/>
  <c r="BP48" i="19" l="1"/>
  <c r="BP52" i="19" s="1"/>
  <c r="BP54" i="19"/>
  <c r="BU29" i="19"/>
  <c r="BU16" i="19"/>
  <c r="BU26" i="19" l="1"/>
  <c r="BU42" i="19" s="1"/>
  <c r="BU54" i="19" s="1"/>
  <c r="BU3" i="19"/>
  <c r="BU48" i="19" l="1"/>
  <c r="BU52" i="19" s="1"/>
  <c r="BC4" i="2"/>
  <c r="BC69" i="2" l="1"/>
  <c r="BC79" i="2"/>
  <c r="BC81" i="2" s="1"/>
  <c r="BC34" i="2"/>
  <c r="BC56" i="2"/>
  <c r="BC19" i="2"/>
  <c r="BC36" i="2" l="1"/>
  <c r="BC83" i="2"/>
  <c r="B55" i="2"/>
  <c r="B33" i="2"/>
  <c r="B18" i="2"/>
  <c r="BG56" i="2" l="1"/>
  <c r="BG19" i="2" l="1"/>
  <c r="BG79" i="2"/>
  <c r="BG81" i="2" s="1"/>
  <c r="BG69" i="2"/>
  <c r="BG34" i="2"/>
  <c r="BG4" i="2"/>
  <c r="BG83" i="2" l="1"/>
  <c r="BG36" i="2"/>
  <c r="D48" i="19" l="1"/>
  <c r="D52" i="19" s="1"/>
  <c r="X48" i="19"/>
  <c r="X52" i="19" s="1"/>
  <c r="W48" i="19"/>
  <c r="W52" i="19" s="1"/>
  <c r="V48" i="19"/>
  <c r="V52" i="19" s="1"/>
  <c r="U48" i="19"/>
  <c r="U52" i="19" s="1"/>
  <c r="T48" i="19"/>
  <c r="T52" i="19" s="1"/>
  <c r="S48" i="19"/>
  <c r="S52" i="19" s="1"/>
  <c r="R48" i="19"/>
  <c r="R52" i="19" s="1"/>
  <c r="Q48" i="19"/>
  <c r="Q52" i="19" s="1"/>
  <c r="P48" i="19"/>
  <c r="P52" i="19" s="1"/>
  <c r="O48" i="19"/>
  <c r="O52" i="19" s="1"/>
  <c r="N48" i="19"/>
  <c r="N52" i="19" s="1"/>
  <c r="M48" i="19"/>
  <c r="M52" i="19" s="1"/>
  <c r="L48" i="19"/>
  <c r="L52" i="19" s="1"/>
  <c r="K48" i="19"/>
  <c r="K52" i="19" s="1"/>
  <c r="J48" i="19"/>
  <c r="J52" i="19" s="1"/>
  <c r="I48" i="19"/>
  <c r="I52" i="19" s="1"/>
  <c r="H48" i="19"/>
  <c r="H52" i="19" s="1"/>
  <c r="G48" i="19"/>
  <c r="G52" i="19" s="1"/>
  <c r="F48" i="19"/>
  <c r="F52" i="19" s="1"/>
  <c r="E48" i="19"/>
  <c r="C57" i="19" l="1"/>
  <c r="C39" i="19"/>
  <c r="C34" i="19"/>
  <c r="C28" i="19"/>
  <c r="C23" i="19"/>
  <c r="C18" i="19"/>
  <c r="C7" i="19"/>
  <c r="BO3" i="19" l="1"/>
  <c r="AQ3" i="17"/>
  <c r="AQ41" i="17"/>
  <c r="AQ40" i="17"/>
  <c r="AQ36" i="17"/>
  <c r="AQ35" i="17"/>
  <c r="AQ31" i="17"/>
  <c r="AQ29" i="17" s="1"/>
  <c r="AQ21" i="17"/>
  <c r="AQ20" i="17" s="1"/>
  <c r="AQ18" i="17"/>
  <c r="AQ17" i="17"/>
  <c r="AQ16" i="17"/>
  <c r="AQ15" i="17"/>
  <c r="AQ14" i="17"/>
  <c r="AQ9" i="17"/>
  <c r="AQ7" i="17"/>
  <c r="AQ6" i="17"/>
  <c r="AQ11" i="17" s="1"/>
  <c r="AU29" i="17"/>
  <c r="AU20" i="17"/>
  <c r="AU3" i="17"/>
  <c r="AU11" i="17" l="1"/>
  <c r="AQ38" i="17"/>
  <c r="AQ13" i="17"/>
  <c r="AQ34" i="17"/>
  <c r="AQ27" i="17"/>
  <c r="AU34" i="17"/>
  <c r="AU13" i="17"/>
  <c r="AU27" i="17" l="1"/>
  <c r="AU38" i="17" s="1"/>
  <c r="BF4" i="2"/>
  <c r="AN3" i="17" l="1"/>
  <c r="AR3" i="17"/>
  <c r="AP29" i="17" l="1"/>
  <c r="AP20" i="17"/>
  <c r="AT29" i="17"/>
  <c r="AT20" i="17"/>
  <c r="AP34" i="17" l="1"/>
  <c r="AT34" i="17"/>
  <c r="AP11" i="17"/>
  <c r="AT38" i="17"/>
  <c r="AP38" i="17"/>
  <c r="AP13" i="17"/>
  <c r="AP27" i="17"/>
  <c r="AT13" i="17"/>
  <c r="AT3" i="17" l="1"/>
  <c r="AT11" i="17" l="1"/>
  <c r="AT27" i="17" s="1"/>
  <c r="BN3" i="19" l="1"/>
  <c r="AP3" i="17"/>
  <c r="AO3" i="17"/>
  <c r="BE4" i="2" l="1"/>
  <c r="BE34" i="2" l="1"/>
  <c r="BE69" i="2"/>
  <c r="BE56" i="2"/>
  <c r="BE79" i="2"/>
  <c r="BE81" i="2" s="1"/>
  <c r="BE19" i="2"/>
  <c r="BE36" i="2" l="1"/>
  <c r="BE83" i="2"/>
  <c r="BK3" i="19" l="1"/>
  <c r="BL21" i="19" l="1"/>
  <c r="BL37" i="19"/>
  <c r="BL31" i="19"/>
  <c r="BL16" i="19"/>
  <c r="BK37" i="19" l="1"/>
  <c r="BK21" i="19" l="1"/>
  <c r="BK5" i="19" l="1"/>
  <c r="BK29" i="19"/>
  <c r="BK16" i="19" l="1"/>
  <c r="BK26" i="19" s="1"/>
  <c r="BK27" i="19"/>
  <c r="BK31" i="19" l="1"/>
  <c r="BK42" i="19" s="1"/>
  <c r="BK54" i="19" s="1"/>
  <c r="BK48" i="19" l="1"/>
  <c r="BK52" i="19" s="1"/>
  <c r="BM3" i="19" l="1"/>
  <c r="C55" i="19"/>
  <c r="C54" i="19"/>
  <c r="C56" i="19"/>
  <c r="BL29" i="19" l="1"/>
  <c r="BL5" i="19"/>
  <c r="BL26" i="19"/>
  <c r="BL3" i="19"/>
  <c r="BL42" i="19" l="1"/>
  <c r="BL48" i="19" l="1"/>
  <c r="BL52" i="19" s="1"/>
  <c r="BL54" i="19"/>
  <c r="BL27" i="19"/>
  <c r="AR29" i="17" l="1"/>
  <c r="AR13" i="17" l="1"/>
  <c r="AO13" i="17"/>
  <c r="AR34" i="17" l="1"/>
  <c r="AO34" i="17"/>
  <c r="AO20" i="17" l="1"/>
  <c r="AO27" i="17" s="1"/>
  <c r="AR20" i="17"/>
  <c r="AR11" i="17" l="1"/>
  <c r="AR27" i="17" s="1"/>
  <c r="AO38" i="17" l="1"/>
  <c r="AR38" i="17"/>
  <c r="AS20" i="17" l="1"/>
  <c r="BM37" i="19" l="1"/>
  <c r="BM21" i="19"/>
  <c r="BM5" i="19" l="1"/>
  <c r="BM16" i="19"/>
  <c r="BM26" i="19" s="1"/>
  <c r="BM31" i="19" l="1"/>
  <c r="BM42" i="19" s="1"/>
  <c r="BM48" i="19" l="1"/>
  <c r="BM52" i="19" s="1"/>
  <c r="BM54" i="19"/>
  <c r="AS29" i="17"/>
  <c r="AS38" i="17" l="1"/>
  <c r="AS34" i="17"/>
  <c r="AS13" i="17"/>
  <c r="AS3" i="17" l="1"/>
  <c r="BD79" i="2"/>
  <c r="BD81" i="2" s="1"/>
  <c r="BD4" i="2"/>
  <c r="BD19" i="2" l="1"/>
  <c r="BD56" i="2"/>
  <c r="BD69" i="2"/>
  <c r="BD34" i="2"/>
  <c r="BD83" i="2" l="1"/>
  <c r="BD36" i="2"/>
  <c r="AN38" i="17" l="1"/>
  <c r="AN13" i="17"/>
  <c r="AY4" i="2" l="1"/>
  <c r="B22" i="2" l="1"/>
  <c r="B23" i="2"/>
  <c r="BB55" i="19" l="1"/>
  <c r="BA56" i="2" l="1"/>
  <c r="BA79" i="2"/>
  <c r="BA81" i="2" s="1"/>
  <c r="BA69" i="2"/>
  <c r="BA83" i="2" l="1"/>
  <c r="BA19" i="2"/>
  <c r="BA34" i="2"/>
  <c r="BA36" i="2" l="1"/>
  <c r="C43" i="17" l="1"/>
  <c r="C13" i="17"/>
  <c r="C9" i="17" l="1"/>
  <c r="AN34" i="17"/>
  <c r="AN29" i="17"/>
  <c r="AN20" i="17"/>
  <c r="BJ31" i="19" l="1"/>
  <c r="BI31" i="19"/>
  <c r="BH31" i="19"/>
  <c r="AW79" i="2" l="1"/>
  <c r="AX79" i="2"/>
  <c r="B73" i="2"/>
  <c r="BJ52" i="19" l="1"/>
  <c r="BG38" i="19" l="1"/>
  <c r="BG31" i="19"/>
  <c r="BI21" i="19"/>
  <c r="BI16" i="19"/>
  <c r="BI5" i="19"/>
  <c r="BJ21" i="19" l="1"/>
  <c r="AX81" i="2" l="1"/>
  <c r="BJ5" i="19"/>
  <c r="BJ16" i="19"/>
  <c r="BJ37" i="19"/>
  <c r="AX34" i="2"/>
  <c r="AX69" i="2"/>
  <c r="AX56" i="2"/>
  <c r="AX19" i="2"/>
  <c r="BJ26" i="19" l="1"/>
  <c r="BJ42" i="19" s="1"/>
  <c r="BJ54" i="19" s="1"/>
  <c r="AX36" i="2"/>
  <c r="AX83" i="2"/>
  <c r="BJ3" i="19"/>
  <c r="AX4" i="2"/>
  <c r="AX84" i="2" l="1"/>
  <c r="AW4" i="2" l="1"/>
  <c r="BI3" i="19"/>
  <c r="AW81" i="2" l="1"/>
  <c r="AW19" i="2"/>
  <c r="AW56" i="2"/>
  <c r="AW34" i="2"/>
  <c r="AW69" i="2"/>
  <c r="AW36" i="2" l="1"/>
  <c r="AW83" i="2"/>
  <c r="AW84" i="2" l="1"/>
  <c r="AK40" i="17"/>
  <c r="BH5" i="19" l="1"/>
  <c r="BG26" i="19" l="1"/>
  <c r="BG42" i="19" s="1"/>
  <c r="BG54" i="19" s="1"/>
  <c r="AK3" i="17"/>
  <c r="BH3" i="19"/>
  <c r="AV4" i="2"/>
  <c r="BF31" i="19" l="1"/>
  <c r="BF40" i="19"/>
  <c r="BG40" i="19" s="1"/>
  <c r="BF26" i="19" l="1"/>
  <c r="BF42" i="19" s="1"/>
  <c r="BF54" i="19" s="1"/>
  <c r="BG3" i="19" l="1"/>
  <c r="BF3" i="19"/>
  <c r="AU4" i="2"/>
  <c r="AT79" i="2" l="1"/>
  <c r="AT81" i="2" s="1"/>
  <c r="AT69" i="2"/>
  <c r="AT56" i="2"/>
  <c r="AT34" i="2"/>
  <c r="AT19" i="2"/>
  <c r="AT36" i="2" l="1"/>
  <c r="AT83" i="2"/>
  <c r="BE3" i="19" l="1"/>
  <c r="AT4" i="2"/>
  <c r="AS79" i="2" l="1"/>
  <c r="AS81" i="2" s="1"/>
  <c r="AS69" i="2"/>
  <c r="AS56" i="2"/>
  <c r="AS34" i="2"/>
  <c r="AS19" i="2"/>
  <c r="AS83" i="2" l="1"/>
  <c r="AS36" i="2"/>
  <c r="BD3" i="19" l="1"/>
  <c r="AS4" i="2"/>
  <c r="AG3" i="17" l="1"/>
  <c r="B62" i="2" l="1"/>
  <c r="BC3" i="19" l="1"/>
  <c r="AR79" i="2"/>
  <c r="AR81" i="2" s="1"/>
  <c r="AR69" i="2"/>
  <c r="AR56" i="2"/>
  <c r="AR34" i="2"/>
  <c r="AR19" i="2"/>
  <c r="AR4" i="2"/>
  <c r="AR83" i="2" l="1"/>
  <c r="AR36" i="2"/>
  <c r="BB3" i="19" l="1"/>
  <c r="BA3" i="19"/>
  <c r="AQ79" i="2"/>
  <c r="AQ81" i="2" l="1"/>
  <c r="AQ69" i="2"/>
  <c r="AQ56" i="2"/>
  <c r="AQ34" i="2"/>
  <c r="AQ19" i="2"/>
  <c r="AQ4" i="2"/>
  <c r="AQ83" i="2" l="1"/>
  <c r="AQ36" i="2"/>
  <c r="AP79" i="2" l="1"/>
  <c r="AP81" i="2" s="1"/>
  <c r="AP69" i="2"/>
  <c r="B68" i="2"/>
  <c r="AP56" i="2"/>
  <c r="B60" i="2"/>
  <c r="B44" i="2"/>
  <c r="AP34" i="2"/>
  <c r="AP19" i="2"/>
  <c r="AP36" i="2" l="1"/>
  <c r="AP83" i="2"/>
  <c r="AZ3" i="19" l="1"/>
  <c r="AP4" i="2"/>
  <c r="AD3" i="17" l="1"/>
  <c r="AY3" i="19" l="1"/>
  <c r="AO79" i="2"/>
  <c r="AO81" i="2" s="1"/>
  <c r="AO69" i="2"/>
  <c r="AO56" i="2"/>
  <c r="AO34" i="2"/>
  <c r="AO19" i="2"/>
  <c r="AO4" i="2"/>
  <c r="AO83" i="2" l="1"/>
  <c r="AO36" i="2"/>
  <c r="AN34" i="2" l="1"/>
  <c r="AN79" i="2" l="1"/>
  <c r="AN81" i="2" s="1"/>
  <c r="AN69" i="2"/>
  <c r="AN56" i="2"/>
  <c r="AN83" i="2" l="1"/>
  <c r="AN19" i="2"/>
  <c r="AN36" i="2" l="1"/>
  <c r="AC3" i="17" l="1"/>
  <c r="AX3" i="19"/>
  <c r="AN4" i="2"/>
  <c r="Y48" i="19" l="1"/>
  <c r="Z48" i="19"/>
  <c r="AA48" i="19"/>
  <c r="AB48" i="19"/>
  <c r="AB3" i="17" l="1"/>
  <c r="AW3" i="19" l="1"/>
  <c r="AV3" i="19"/>
  <c r="AM79" i="2"/>
  <c r="AM81" i="2" s="1"/>
  <c r="AM69" i="2"/>
  <c r="AM56" i="2"/>
  <c r="AM34" i="2"/>
  <c r="AM19" i="2"/>
  <c r="AM36" i="2" l="1"/>
  <c r="AM83" i="2"/>
  <c r="AA3" i="17"/>
  <c r="AM4" i="2"/>
  <c r="Z3" i="17" l="1"/>
  <c r="Y3" i="17"/>
  <c r="X3" i="17"/>
  <c r="AU3" i="19" l="1"/>
  <c r="AT3" i="19"/>
  <c r="AS3" i="19"/>
  <c r="AL79" i="2"/>
  <c r="AL81" i="2" s="1"/>
  <c r="AL69" i="2"/>
  <c r="AL56" i="2"/>
  <c r="AL34" i="2"/>
  <c r="AL19" i="2"/>
  <c r="AL4" i="2"/>
  <c r="AK4" i="2"/>
  <c r="AJ4" i="2"/>
  <c r="AL36" i="2" l="1"/>
  <c r="AL83" i="2"/>
  <c r="AK56" i="2" l="1"/>
  <c r="AK79" i="2" l="1"/>
  <c r="AK81" i="2" s="1"/>
  <c r="AK69" i="2"/>
  <c r="AK34" i="2"/>
  <c r="AK19" i="2"/>
  <c r="AK36" i="2" l="1"/>
  <c r="AK83" i="2"/>
  <c r="B74" i="2" l="1"/>
  <c r="AJ19" i="2" l="1"/>
  <c r="AJ34" i="2"/>
  <c r="AJ56" i="2"/>
  <c r="AJ69" i="2"/>
  <c r="AJ79" i="2"/>
  <c r="AJ81" i="2" s="1"/>
  <c r="AJ36" i="2" l="1"/>
  <c r="AJ83" i="2"/>
  <c r="C6" i="17" l="1"/>
  <c r="C5" i="17"/>
  <c r="AR3" i="19" l="1"/>
  <c r="V3" i="17" l="1"/>
  <c r="AQ3" i="19"/>
  <c r="AI79" i="2"/>
  <c r="AI81" i="2" s="1"/>
  <c r="AI69" i="2"/>
  <c r="AI56" i="2"/>
  <c r="AI34" i="2"/>
  <c r="AI19" i="2"/>
  <c r="AI4" i="2"/>
  <c r="AI83" i="2" l="1"/>
  <c r="AI36" i="2"/>
  <c r="C48" i="19"/>
  <c r="C34" i="17" l="1"/>
  <c r="U3" i="17"/>
  <c r="AP3" i="19" l="1"/>
  <c r="AH79" i="2"/>
  <c r="AH81" i="2" s="1"/>
  <c r="AH69" i="2"/>
  <c r="AH56" i="2"/>
  <c r="AH34" i="2"/>
  <c r="AH19" i="2"/>
  <c r="AH4" i="2"/>
  <c r="AH36" i="2" l="1"/>
  <c r="AH83" i="2"/>
  <c r="B21" i="2" l="1"/>
  <c r="C17" i="19" l="1"/>
  <c r="D5" i="19" l="1"/>
  <c r="C52" i="19" l="1"/>
  <c r="C50" i="19" l="1"/>
  <c r="C46" i="19"/>
  <c r="C45" i="19"/>
  <c r="C44" i="19"/>
  <c r="C38" i="19"/>
  <c r="C33" i="19"/>
  <c r="C32" i="19"/>
  <c r="C22" i="19"/>
  <c r="C10" i="19"/>
  <c r="C6" i="19"/>
  <c r="B26" i="2"/>
  <c r="B24" i="2"/>
  <c r="B16" i="2"/>
  <c r="I29" i="19"/>
  <c r="I27" i="19"/>
  <c r="T3" i="17"/>
  <c r="X3" i="19"/>
  <c r="W3" i="19"/>
  <c r="V3" i="19"/>
  <c r="U3" i="19"/>
  <c r="T3" i="19"/>
  <c r="S3" i="19"/>
  <c r="R3" i="19"/>
  <c r="Q3" i="19"/>
  <c r="P3" i="19"/>
  <c r="O3" i="19"/>
  <c r="N3" i="19"/>
  <c r="M3" i="19"/>
  <c r="L3" i="19"/>
  <c r="K3" i="19"/>
  <c r="J3" i="19"/>
  <c r="I3" i="19"/>
  <c r="H3" i="19"/>
  <c r="G3" i="19"/>
  <c r="F3" i="19"/>
  <c r="E3" i="19"/>
  <c r="AO3" i="19"/>
  <c r="AN3" i="19"/>
  <c r="AG4" i="2"/>
  <c r="AF4" i="2"/>
  <c r="E5" i="19" l="1"/>
  <c r="F5" i="19"/>
  <c r="G5" i="19"/>
  <c r="H5" i="19"/>
  <c r="I5" i="19"/>
  <c r="AG69" i="2" l="1"/>
  <c r="AG79" i="2"/>
  <c r="AG81" i="2" s="1"/>
  <c r="AG56" i="2"/>
  <c r="AG34" i="2"/>
  <c r="AG19" i="2"/>
  <c r="AG83" i="2" l="1"/>
  <c r="AG36" i="2"/>
  <c r="X5" i="19" l="1"/>
  <c r="H29" i="19" l="1"/>
  <c r="H27" i="19"/>
  <c r="G29" i="19" l="1"/>
  <c r="G27" i="19"/>
  <c r="F29" i="19"/>
  <c r="E29" i="19"/>
  <c r="F27" i="19"/>
  <c r="E27" i="19"/>
  <c r="G37" i="19" l="1"/>
  <c r="F37" i="19"/>
  <c r="H31" i="19"/>
  <c r="G31" i="19"/>
  <c r="F31" i="19"/>
  <c r="H37" i="19"/>
  <c r="O5" i="19" l="1"/>
  <c r="F21" i="19"/>
  <c r="E37" i="19"/>
  <c r="G21" i="19"/>
  <c r="E31" i="19"/>
  <c r="E21" i="19"/>
  <c r="H21" i="19"/>
  <c r="G16" i="19"/>
  <c r="F16" i="19"/>
  <c r="E16" i="19"/>
  <c r="E26" i="19"/>
  <c r="G26" i="19"/>
  <c r="H16" i="19"/>
  <c r="J16" i="19"/>
  <c r="N16" i="19"/>
  <c r="P37" i="19"/>
  <c r="W37" i="19"/>
  <c r="M37" i="19"/>
  <c r="K37" i="19"/>
  <c r="X37" i="19"/>
  <c r="T37" i="19"/>
  <c r="S37" i="19"/>
  <c r="O37" i="19"/>
  <c r="N37" i="19"/>
  <c r="J37" i="19"/>
  <c r="L31" i="19"/>
  <c r="W31" i="19"/>
  <c r="M31" i="19"/>
  <c r="X31" i="19"/>
  <c r="T31" i="19"/>
  <c r="S31" i="19"/>
  <c r="Q31" i="19"/>
  <c r="O31" i="19"/>
  <c r="N31" i="19"/>
  <c r="J31" i="19"/>
  <c r="X29" i="19"/>
  <c r="T29" i="19"/>
  <c r="S29" i="19"/>
  <c r="O29" i="19"/>
  <c r="N29" i="19"/>
  <c r="J29" i="19"/>
  <c r="X27" i="19"/>
  <c r="T27" i="19"/>
  <c r="S27" i="19"/>
  <c r="O27" i="19"/>
  <c r="N27" i="19"/>
  <c r="J27" i="19"/>
  <c r="R21" i="19"/>
  <c r="P29" i="19"/>
  <c r="X21" i="19"/>
  <c r="T21" i="19"/>
  <c r="S21" i="19"/>
  <c r="O21" i="19"/>
  <c r="N21" i="19"/>
  <c r="L21" i="19"/>
  <c r="J21" i="19"/>
  <c r="W29" i="19"/>
  <c r="L29" i="19"/>
  <c r="X16" i="19"/>
  <c r="T16" i="19"/>
  <c r="S16" i="19"/>
  <c r="O16" i="19"/>
  <c r="S26" i="19" l="1"/>
  <c r="R29" i="19"/>
  <c r="R31" i="19"/>
  <c r="V16" i="19"/>
  <c r="P21" i="19"/>
  <c r="V21" i="19"/>
  <c r="J5" i="19"/>
  <c r="Q37" i="19"/>
  <c r="U37" i="19"/>
  <c r="W5" i="19"/>
  <c r="M16" i="19"/>
  <c r="R37" i="19"/>
  <c r="V37" i="19"/>
  <c r="U21" i="19"/>
  <c r="Q29" i="19"/>
  <c r="Q21" i="19"/>
  <c r="V31" i="19"/>
  <c r="U31" i="19"/>
  <c r="T26" i="19"/>
  <c r="I31" i="19"/>
  <c r="I26" i="19"/>
  <c r="E52" i="19"/>
  <c r="N26" i="19"/>
  <c r="M21" i="19"/>
  <c r="P31" i="19"/>
  <c r="K31" i="19"/>
  <c r="F26" i="19"/>
  <c r="H26" i="19"/>
  <c r="L37" i="19"/>
  <c r="J26" i="19"/>
  <c r="K21" i="19"/>
  <c r="L16" i="19"/>
  <c r="L27" i="19"/>
  <c r="R16" i="19"/>
  <c r="R27" i="19"/>
  <c r="K29" i="19"/>
  <c r="K16" i="19"/>
  <c r="X26" i="19"/>
  <c r="W16" i="19"/>
  <c r="U16" i="19"/>
  <c r="U27" i="19"/>
  <c r="W21" i="19"/>
  <c r="W27" i="19"/>
  <c r="U29" i="19"/>
  <c r="N5" i="19"/>
  <c r="P27" i="19"/>
  <c r="M27" i="19"/>
  <c r="T5" i="19"/>
  <c r="Q16" i="19"/>
  <c r="K27" i="19"/>
  <c r="M29" i="19"/>
  <c r="O26" i="19"/>
  <c r="S5" i="19"/>
  <c r="P16" i="19"/>
  <c r="Q27" i="19"/>
  <c r="V29" i="19"/>
  <c r="V27" i="19"/>
  <c r="U5" i="19" l="1"/>
  <c r="R5" i="19"/>
  <c r="P5" i="19"/>
  <c r="Q5" i="19"/>
  <c r="V5" i="19"/>
  <c r="K5" i="19"/>
  <c r="I16" i="19"/>
  <c r="M5" i="19"/>
  <c r="L5" i="19"/>
  <c r="I37" i="19"/>
  <c r="Q26" i="19"/>
  <c r="K26" i="19"/>
  <c r="L26" i="19"/>
  <c r="W26" i="19"/>
  <c r="M26" i="19"/>
  <c r="R26" i="19"/>
  <c r="V26" i="19"/>
  <c r="P26" i="19"/>
  <c r="U26" i="19"/>
  <c r="I21" i="19" l="1"/>
  <c r="AF79" i="2" l="1"/>
  <c r="AF81" i="2" s="1"/>
  <c r="AF34" i="2"/>
  <c r="AF19" i="2"/>
  <c r="AF56" i="2"/>
  <c r="AF69" i="2"/>
  <c r="S3" i="17"/>
  <c r="AF83" i="2" l="1"/>
  <c r="AF36" i="2"/>
  <c r="R3" i="17" l="1"/>
  <c r="Q3" i="17"/>
  <c r="AM3" i="19" l="1"/>
  <c r="AL3" i="19"/>
  <c r="AE79" i="2"/>
  <c r="AE81" i="2" s="1"/>
  <c r="AE69" i="2"/>
  <c r="AE56" i="2"/>
  <c r="AE34" i="2"/>
  <c r="AE19" i="2"/>
  <c r="AE4" i="2"/>
  <c r="AE83" i="2" l="1"/>
  <c r="AE36" i="2"/>
  <c r="P3" i="17" l="1"/>
  <c r="AK3" i="19" l="1"/>
  <c r="AD79" i="2"/>
  <c r="AD81" i="2" s="1"/>
  <c r="AD69" i="2"/>
  <c r="AD56" i="2"/>
  <c r="AD34" i="2"/>
  <c r="AD19" i="2"/>
  <c r="AD4" i="2"/>
  <c r="AD36" i="2" l="1"/>
  <c r="AD83" i="2"/>
  <c r="O3" i="17" l="1"/>
  <c r="AJ3" i="19" l="1"/>
  <c r="AC79" i="2"/>
  <c r="AC81" i="2" s="1"/>
  <c r="AC69" i="2"/>
  <c r="AC56" i="2"/>
  <c r="B52" i="2"/>
  <c r="AC34" i="2"/>
  <c r="AC19" i="2"/>
  <c r="AC4" i="2"/>
  <c r="AC83" i="2" l="1"/>
  <c r="AC36" i="2"/>
  <c r="C24" i="17" l="1"/>
  <c r="N3" i="17" l="1"/>
  <c r="AI3" i="19" l="1"/>
  <c r="AB79" i="2" l="1"/>
  <c r="AB81" i="2" s="1"/>
  <c r="AB69" i="2"/>
  <c r="AB56" i="2"/>
  <c r="AB34" i="2"/>
  <c r="AB19" i="2"/>
  <c r="AB4" i="2"/>
  <c r="AB83" i="2" l="1"/>
  <c r="AB36" i="2"/>
  <c r="M3" i="17"/>
  <c r="L3" i="17"/>
  <c r="K3" i="17"/>
  <c r="J3" i="17"/>
  <c r="I3" i="17"/>
  <c r="H3" i="17"/>
  <c r="G3" i="17"/>
  <c r="F3" i="17"/>
  <c r="E3" i="17"/>
  <c r="D3" i="17"/>
  <c r="AH3" i="19" l="1"/>
  <c r="AG3" i="19"/>
  <c r="AF3" i="19"/>
  <c r="AE3" i="19"/>
  <c r="AD3" i="19"/>
  <c r="AC3" i="19"/>
  <c r="AB3" i="19"/>
  <c r="AA3" i="19"/>
  <c r="Z3" i="19"/>
  <c r="Y3" i="19"/>
  <c r="W79" i="2"/>
  <c r="W81" i="2" s="1"/>
  <c r="AA79" i="2"/>
  <c r="AA81" i="2" s="1"/>
  <c r="AA69" i="2"/>
  <c r="AA56" i="2"/>
  <c r="AA34" i="2"/>
  <c r="AA19" i="2"/>
  <c r="AA4" i="2"/>
  <c r="AA83" i="2" l="1"/>
  <c r="AA36" i="2"/>
  <c r="O19" i="2"/>
  <c r="S19" i="2"/>
  <c r="C23" i="17" l="1"/>
  <c r="Z79" i="2" l="1"/>
  <c r="Z81" i="2" s="1"/>
  <c r="Z69" i="2"/>
  <c r="Z56" i="2"/>
  <c r="Z34" i="2"/>
  <c r="Z19" i="2"/>
  <c r="Z4" i="2"/>
  <c r="Z36" i="2" l="1"/>
  <c r="Z83" i="2"/>
  <c r="C27" i="19"/>
  <c r="C36" i="17" l="1"/>
  <c r="Y79" i="2" l="1"/>
  <c r="Y81" i="2" s="1"/>
  <c r="Y56" i="2"/>
  <c r="B48" i="2"/>
  <c r="Y19" i="2"/>
  <c r="Y69" i="2"/>
  <c r="Y34" i="2"/>
  <c r="Y4" i="2"/>
  <c r="Y36" i="2" l="1"/>
  <c r="Y83" i="2"/>
  <c r="B65" i="2"/>
  <c r="B64" i="2"/>
  <c r="B30" i="2"/>
  <c r="C35" i="17" l="1"/>
  <c r="C41" i="17"/>
  <c r="C40" i="17"/>
  <c r="C38" i="17"/>
  <c r="C32" i="17"/>
  <c r="C31" i="17"/>
  <c r="C30" i="17"/>
  <c r="C27" i="17"/>
  <c r="C22" i="17"/>
  <c r="C21" i="17"/>
  <c r="C20" i="17"/>
  <c r="C18" i="17"/>
  <c r="C17" i="17"/>
  <c r="C16" i="17"/>
  <c r="C15" i="17"/>
  <c r="C14" i="17"/>
  <c r="C11" i="17"/>
  <c r="C7" i="17"/>
  <c r="C3" i="17"/>
  <c r="B63" i="2"/>
  <c r="X79" i="2"/>
  <c r="C37" i="19"/>
  <c r="C31" i="19"/>
  <c r="C26" i="19"/>
  <c r="C21" i="19"/>
  <c r="C16" i="19"/>
  <c r="C5" i="19"/>
  <c r="C3" i="19"/>
  <c r="X4" i="2" l="1"/>
  <c r="V4" i="2"/>
  <c r="W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  <c r="B83" i="2"/>
  <c r="B81" i="2"/>
  <c r="B77" i="2"/>
  <c r="B76" i="2"/>
  <c r="B75" i="2"/>
  <c r="B72" i="2"/>
  <c r="B71" i="2"/>
  <c r="B69" i="2"/>
  <c r="B66" i="2"/>
  <c r="B59" i="2"/>
  <c r="B58" i="2"/>
  <c r="B56" i="2"/>
  <c r="B54" i="2"/>
  <c r="B53" i="2"/>
  <c r="B51" i="2"/>
  <c r="B50" i="2"/>
  <c r="B49" i="2"/>
  <c r="B47" i="2"/>
  <c r="B46" i="2"/>
  <c r="B45" i="2"/>
  <c r="B43" i="2"/>
  <c r="B41" i="2"/>
  <c r="B40" i="2"/>
  <c r="B38" i="2"/>
  <c r="B36" i="2"/>
  <c r="B34" i="2"/>
  <c r="B32" i="2"/>
  <c r="B31" i="2"/>
  <c r="B29" i="2"/>
  <c r="B28" i="2"/>
  <c r="B27" i="2"/>
  <c r="B3" i="2"/>
  <c r="B4" i="2"/>
  <c r="B6" i="2"/>
  <c r="B19" i="2"/>
  <c r="B17" i="2"/>
  <c r="B15" i="2"/>
  <c r="B14" i="2"/>
  <c r="B13" i="2"/>
  <c r="B12" i="2"/>
  <c r="B11" i="2"/>
  <c r="B10" i="2"/>
  <c r="B9" i="2"/>
  <c r="B8" i="2"/>
  <c r="X81" i="2" l="1"/>
  <c r="X69" i="2"/>
  <c r="X56" i="2"/>
  <c r="X34" i="2"/>
  <c r="X19" i="2"/>
  <c r="AV84" i="2" l="1"/>
  <c r="X83" i="2"/>
  <c r="X36" i="2"/>
  <c r="W19" i="2" l="1"/>
  <c r="W34" i="2"/>
  <c r="W56" i="2"/>
  <c r="W69" i="2"/>
  <c r="W83" i="2" l="1"/>
  <c r="W36" i="2"/>
  <c r="V79" i="2" l="1"/>
  <c r="V81" i="2" s="1"/>
  <c r="U79" i="2"/>
  <c r="V69" i="2"/>
  <c r="V56" i="2"/>
  <c r="V34" i="2"/>
  <c r="V19" i="2"/>
  <c r="V36" i="2" l="1"/>
  <c r="V83" i="2"/>
  <c r="U81" i="2" l="1"/>
  <c r="U69" i="2"/>
  <c r="U56" i="2"/>
  <c r="U34" i="2"/>
  <c r="U19" i="2"/>
  <c r="U36" i="2" l="1"/>
  <c r="U83" i="2"/>
  <c r="T79" i="2" l="1"/>
  <c r="T81" i="2" s="1"/>
  <c r="T69" i="2"/>
  <c r="T56" i="2"/>
  <c r="T34" i="2"/>
  <c r="T19" i="2"/>
  <c r="T36" i="2" l="1"/>
  <c r="T83" i="2"/>
  <c r="S79" i="2" l="1"/>
  <c r="S81" i="2" s="1"/>
  <c r="S69" i="2"/>
  <c r="S56" i="2"/>
  <c r="S34" i="2"/>
  <c r="S36" i="2" l="1"/>
  <c r="S83" i="2"/>
  <c r="R79" i="2"/>
  <c r="R81" i="2" s="1"/>
  <c r="R69" i="2"/>
  <c r="R56" i="2"/>
  <c r="R34" i="2"/>
  <c r="R19" i="2"/>
  <c r="R36" i="2" l="1"/>
  <c r="R83" i="2"/>
  <c r="Q79" i="2"/>
  <c r="Q81" i="2" s="1"/>
  <c r="Q69" i="2"/>
  <c r="Q56" i="2"/>
  <c r="Q34" i="2"/>
  <c r="Q19" i="2"/>
  <c r="P79" i="2"/>
  <c r="Q83" i="2" l="1"/>
  <c r="Q36" i="2"/>
  <c r="P81" i="2" l="1"/>
  <c r="P69" i="2"/>
  <c r="P56" i="2"/>
  <c r="P34" i="2"/>
  <c r="P19" i="2"/>
  <c r="P36" i="2" l="1"/>
  <c r="P83" i="2"/>
  <c r="C79" i="2" l="1"/>
  <c r="K79" i="2"/>
  <c r="O79" i="2"/>
  <c r="O81" i="2" s="1"/>
  <c r="O69" i="2"/>
  <c r="O56" i="2"/>
  <c r="O34" i="2"/>
  <c r="C69" i="2"/>
  <c r="J79" i="2"/>
  <c r="J81" i="2" s="1"/>
  <c r="N79" i="2"/>
  <c r="N81" i="2" s="1"/>
  <c r="N69" i="2"/>
  <c r="N56" i="2"/>
  <c r="N34" i="2"/>
  <c r="N19" i="2"/>
  <c r="O36" i="2" l="1"/>
  <c r="N36" i="2"/>
  <c r="O83" i="2"/>
  <c r="N83" i="2"/>
  <c r="M79" i="2"/>
  <c r="M81" i="2" s="1"/>
  <c r="L79" i="2"/>
  <c r="L81" i="2" s="1"/>
  <c r="K81" i="2"/>
  <c r="I79" i="2"/>
  <c r="I81" i="2" s="1"/>
  <c r="H79" i="2"/>
  <c r="H81" i="2" s="1"/>
  <c r="G79" i="2"/>
  <c r="G81" i="2" s="1"/>
  <c r="F79" i="2"/>
  <c r="F81" i="2" s="1"/>
  <c r="E79" i="2"/>
  <c r="E81" i="2" s="1"/>
  <c r="D79" i="2"/>
  <c r="D81" i="2" s="1"/>
  <c r="C81" i="2"/>
  <c r="M69" i="2"/>
  <c r="L69" i="2"/>
  <c r="K69" i="2"/>
  <c r="J69" i="2"/>
  <c r="I69" i="2"/>
  <c r="H69" i="2"/>
  <c r="G69" i="2"/>
  <c r="F69" i="2"/>
  <c r="E69" i="2"/>
  <c r="D69" i="2"/>
  <c r="M56" i="2"/>
  <c r="L56" i="2"/>
  <c r="K56" i="2"/>
  <c r="J56" i="2"/>
  <c r="I56" i="2"/>
  <c r="H56" i="2"/>
  <c r="G56" i="2"/>
  <c r="F56" i="2"/>
  <c r="E56" i="2"/>
  <c r="D56" i="2"/>
  <c r="C56" i="2"/>
  <c r="M34" i="2"/>
  <c r="L34" i="2"/>
  <c r="K34" i="2"/>
  <c r="J34" i="2"/>
  <c r="I34" i="2"/>
  <c r="H34" i="2"/>
  <c r="G34" i="2"/>
  <c r="F34" i="2"/>
  <c r="E34" i="2"/>
  <c r="D34" i="2"/>
  <c r="C34" i="2"/>
  <c r="M19" i="2"/>
  <c r="L19" i="2"/>
  <c r="K19" i="2"/>
  <c r="J19" i="2"/>
  <c r="I19" i="2"/>
  <c r="H19" i="2"/>
  <c r="G19" i="2"/>
  <c r="F19" i="2"/>
  <c r="E19" i="2"/>
  <c r="D19" i="2"/>
  <c r="C19" i="2"/>
  <c r="M83" i="2" l="1"/>
  <c r="K83" i="2"/>
  <c r="E83" i="2"/>
  <c r="G83" i="2"/>
  <c r="I83" i="2"/>
  <c r="C83" i="2"/>
  <c r="D83" i="2"/>
  <c r="F83" i="2"/>
  <c r="H83" i="2"/>
  <c r="J83" i="2"/>
  <c r="L83" i="2"/>
  <c r="C36" i="2"/>
  <c r="E36" i="2"/>
  <c r="G36" i="2"/>
  <c r="I36" i="2"/>
  <c r="K36" i="2"/>
  <c r="M36" i="2"/>
  <c r="D36" i="2"/>
  <c r="F36" i="2"/>
  <c r="H36" i="2"/>
  <c r="J36" i="2"/>
  <c r="L36" i="2"/>
  <c r="BI26" i="19" l="1"/>
  <c r="BI42" i="19" l="1"/>
  <c r="BI54" i="19" s="1"/>
  <c r="BI52" i="19" l="1"/>
  <c r="BB34" i="2" l="1"/>
  <c r="BB19" i="2"/>
  <c r="BB69" i="2"/>
  <c r="BB56" i="2"/>
  <c r="BB79" i="2"/>
  <c r="BB81" i="2" s="1"/>
  <c r="BB36" i="2" l="1"/>
  <c r="BB83" i="2"/>
  <c r="BB85" i="2" s="1"/>
  <c r="BG55" i="19" l="1"/>
  <c r="AY79" i="2" l="1"/>
  <c r="AY81" i="2" s="1"/>
  <c r="AY34" i="2"/>
  <c r="AY19" i="2"/>
  <c r="AY69" i="2"/>
  <c r="AY56" i="2"/>
  <c r="AY36" i="2" l="1"/>
  <c r="AY83" i="2"/>
  <c r="AN11" i="17" l="1"/>
  <c r="AS11" i="17" l="1"/>
  <c r="AS27" i="17" s="1"/>
  <c r="BN31" i="19" l="1"/>
  <c r="BN5" i="19"/>
  <c r="BN37" i="19"/>
  <c r="BN21" i="19"/>
  <c r="BN16" i="19" l="1"/>
  <c r="BN26" i="19" s="1"/>
  <c r="BN42" i="19" s="1"/>
  <c r="BN48" i="19" l="1"/>
  <c r="BN52" i="19" s="1"/>
  <c r="BN54" i="19"/>
  <c r="BF48" i="19"/>
  <c r="BG48" i="19"/>
  <c r="BO27" i="19" l="1"/>
  <c r="BO28" i="19"/>
  <c r="BF69" i="2" l="1"/>
  <c r="BF34" i="2"/>
  <c r="BF56" i="2"/>
  <c r="BF79" i="2"/>
  <c r="BF81" i="2" s="1"/>
  <c r="BF19" i="2"/>
  <c r="BF83" i="2" l="1"/>
  <c r="BF36" i="2"/>
  <c r="BO5" i="19" l="1"/>
  <c r="BO31" i="19" l="1"/>
  <c r="BO21" i="19"/>
  <c r="BO37" i="19"/>
  <c r="BO29" i="19" l="1"/>
  <c r="BO16" i="19"/>
  <c r="BO26" i="19" l="1"/>
  <c r="BO42" i="19" l="1"/>
  <c r="BO54" i="19" s="1"/>
  <c r="BO48" i="19" l="1"/>
  <c r="BO52" i="19" s="1"/>
  <c r="BY16" i="19"/>
  <c r="BY26" i="19" s="1"/>
  <c r="BY42" i="19" s="1"/>
  <c r="BY48" i="19" l="1"/>
  <c r="BY52" i="19" s="1"/>
  <c r="BY54" i="19"/>
  <c r="BZ17" i="19"/>
  <c r="BZ27" i="19" l="1"/>
  <c r="BD27" i="17" l="1"/>
  <c r="BD38" i="17" s="1"/>
  <c r="CF6" i="19" l="1"/>
  <c r="CF5" i="19"/>
  <c r="CF10" i="19" s="1"/>
  <c r="CF11" i="19" s="1"/>
  <c r="CH5" i="19"/>
  <c r="CE10" i="19"/>
  <c r="CE11" i="19" s="1"/>
  <c r="CE17" i="19" s="1"/>
  <c r="CE27" i="19" s="1"/>
  <c r="CE6" i="19"/>
  <c r="CG28" i="1"/>
  <c r="CF17" i="19" l="1"/>
  <c r="CF27" i="19" s="1"/>
</calcChain>
</file>

<file path=xl/sharedStrings.xml><?xml version="1.0" encoding="utf-8"?>
<sst xmlns="http://schemas.openxmlformats.org/spreadsheetml/2006/main" count="221" uniqueCount="54">
  <si>
    <t>EBITDA</t>
  </si>
  <si>
    <t>SSS</t>
  </si>
  <si>
    <t>Private Label</t>
  </si>
  <si>
    <t>Co-Branded</t>
  </si>
  <si>
    <t xml:space="preserve"> </t>
  </si>
  <si>
    <t>Subtotal</t>
  </si>
  <si>
    <t>Equity</t>
  </si>
  <si>
    <t>Balanço - Balance Sheet</t>
  </si>
  <si>
    <t>DRE Varejo - Retail Income Statements</t>
  </si>
  <si>
    <t>Fluxo de Caixa - Cash Flow</t>
  </si>
  <si>
    <t>Idioma - Language</t>
  </si>
  <si>
    <t>Inglês - English</t>
  </si>
  <si>
    <t>Destaques - Highlights</t>
  </si>
  <si>
    <t>CAPEX</t>
  </si>
  <si>
    <t>-</t>
  </si>
  <si>
    <t>DRE - Income Statements</t>
  </si>
  <si>
    <t>DADOS HISTÓRICOS / HISTORICAL RESULTS</t>
  </si>
  <si>
    <t>4T16</t>
  </si>
  <si>
    <t>2009</t>
  </si>
  <si>
    <t>Português</t>
  </si>
  <si>
    <t>9M19</t>
  </si>
  <si>
    <t>6M20</t>
  </si>
  <si>
    <t>9M20</t>
  </si>
  <si>
    <t>Lucros acumulados</t>
  </si>
  <si>
    <t>878.987</t>
  </si>
  <si>
    <t>122,91</t>
  </si>
  <si>
    <t>Outros créditos</t>
  </si>
  <si>
    <t/>
  </si>
  <si>
    <t>Mbank - Mbank Portfolio</t>
  </si>
  <si>
    <t>DRE Mbank - Mbank Income Statements</t>
  </si>
  <si>
    <t>Instrumentos financeiros</t>
  </si>
  <si>
    <t>6M21</t>
  </si>
  <si>
    <t>9M21</t>
  </si>
  <si>
    <t>1T22</t>
  </si>
  <si>
    <t>2T22</t>
  </si>
  <si>
    <t>3T22</t>
  </si>
  <si>
    <t>Pix</t>
  </si>
  <si>
    <t>Credsystem</t>
  </si>
  <si>
    <t>*O conceito utilizado para definição de clientes ativos foi modificado com a transição para a credsystem, tendo impacto relevante na queda do número para o 1T24</t>
  </si>
  <si>
    <t>Cartão Marisa pré-Credsystem</t>
  </si>
  <si>
    <t>Outras</t>
  </si>
  <si>
    <t>Varejo</t>
  </si>
  <si>
    <t>Mserviços</t>
  </si>
  <si>
    <t>Mpagamentos</t>
  </si>
  <si>
    <t>XXXX</t>
  </si>
  <si>
    <t>Fornecedor - Convênio</t>
  </si>
  <si>
    <t>6M25</t>
  </si>
  <si>
    <t>6M24</t>
  </si>
  <si>
    <t>9M24</t>
  </si>
  <si>
    <t>2024</t>
  </si>
  <si>
    <t>3T25 / 3Q25</t>
  </si>
  <si>
    <t>9M25</t>
  </si>
  <si>
    <t>4T25</t>
  </si>
  <si>
    <t>Depreciação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</si>
</sst>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0.0%"/>
    <numFmt numFmtId="166" formatCode="00000"/>
    <numFmt numFmtId="167" formatCode="_-* #,##0_-;\-* #,##0_-;_-* &quot;-&quot;??_-;_-@_-"/>
    <numFmt numFmtId="168" formatCode="_(* #,##0_);_(* \(#,##0\);_(* &quot;-&quot;??_);_(@_)"/>
    <numFmt numFmtId="169" formatCode="_-* #,##0.0_-;\-* #,##0.0_-;_-* &quot;-&quot;??_-;_-@_-"/>
    <numFmt numFmtId="170" formatCode="General_)"/>
    <numFmt numFmtId="171" formatCode="0."/>
    <numFmt numFmtId="172" formatCode="_(* #,##0.0_);_(* \(#,##0.0\);_(* &quot;-&quot;??_);_(@_)"/>
    <numFmt numFmtId="173" formatCode="_([$€-2]* #,##0.00_);_([$€-2]* \(#,##0.00\);_([$€-2]* &quot;-&quot;??_)"/>
    <numFmt numFmtId="174" formatCode="0.0"/>
    <numFmt numFmtId="175" formatCode="_-* #,##0_-;\-* #,##0_-;_-* &quot;-&quot;?_-;_-@_-"/>
    <numFmt numFmtId="176" formatCode="_(* #,##0.00_);_(* \(#,##0.00\);_(* &quot;-&quot;??_);_(@_)"/>
    <numFmt numFmtId="177" formatCode="_(* #,##0.000_);_(* \(#,##0.000\);_(* &quot;-&quot;??_);_(@_)"/>
    <numFmt numFmtId="178" formatCode="_(* #,##0.0000_);_(* \(#,##0.0000\);_(* &quot;-&quot;??_);_(@_)"/>
    <numFmt numFmtId="179" formatCode="0.000000"/>
    <numFmt numFmtId="180" formatCode="0.000"/>
  </numFmts>
  <fonts count="8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7"/>
      <name val="Times New Roman"/>
      <family val="1"/>
    </font>
    <font>
      <b/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sz val="10"/>
      <name val="MS Sans Serif"/>
      <family val="2"/>
    </font>
    <font>
      <sz val="10"/>
      <name val="Helv"/>
    </font>
    <font>
      <b/>
      <sz val="1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MS Sans Serif"/>
      <family val="2"/>
    </font>
    <font>
      <sz val="11"/>
      <color theme="1"/>
      <name val="Nirmala UI"/>
      <family val="2"/>
    </font>
    <font>
      <sz val="11"/>
      <color theme="0"/>
      <name val="Nirmala UI"/>
      <family val="2"/>
    </font>
    <font>
      <sz val="22"/>
      <color theme="1"/>
      <name val="Nirmala UI"/>
      <family val="2"/>
    </font>
    <font>
      <b/>
      <sz val="30"/>
      <color theme="0"/>
      <name val="Nirmala UI"/>
      <family val="2"/>
    </font>
    <font>
      <b/>
      <sz val="22"/>
      <color rgb="FFEC008C"/>
      <name val="Nirmala UI"/>
      <family val="2"/>
    </font>
    <font>
      <b/>
      <sz val="22"/>
      <color rgb="FFEC008C"/>
      <name val="Pluto Cond Medium"/>
      <family val="2"/>
    </font>
    <font>
      <sz val="11"/>
      <color theme="1"/>
      <name val="Pluto Cond Light"/>
      <family val="2"/>
    </font>
    <font>
      <b/>
      <sz val="13"/>
      <color theme="0"/>
      <name val="Pluto Cond Light"/>
      <family val="2"/>
    </font>
    <font>
      <b/>
      <sz val="13"/>
      <color theme="1" tint="0.34998626667073579"/>
      <name val="Pluto Cond Light"/>
      <family val="2"/>
    </font>
    <font>
      <b/>
      <sz val="14"/>
      <color theme="1" tint="0.34998626667073579"/>
      <name val="Pluto Cond Light"/>
      <family val="2"/>
    </font>
    <font>
      <b/>
      <sz val="13"/>
      <color rgb="FFEC008C"/>
      <name val="Pluto Cond Light"/>
      <family val="2"/>
    </font>
    <font>
      <sz val="10"/>
      <color theme="1"/>
      <name val="Pluto Cond Light"/>
      <family val="2"/>
    </font>
    <font>
      <b/>
      <sz val="10"/>
      <color theme="0"/>
      <name val="Pluto Cond Light"/>
      <family val="2"/>
    </font>
    <font>
      <i/>
      <sz val="10"/>
      <color indexed="14"/>
      <name val="Pluto Cond Light"/>
      <family val="2"/>
    </font>
    <font>
      <b/>
      <sz val="10"/>
      <color indexed="14"/>
      <name val="Pluto Cond Light"/>
      <family val="2"/>
    </font>
    <font>
      <b/>
      <sz val="10"/>
      <name val="Pluto Cond Light"/>
      <family val="2"/>
    </font>
    <font>
      <sz val="10"/>
      <color indexed="14"/>
      <name val="Pluto Cond Light"/>
      <family val="2"/>
    </font>
    <font>
      <sz val="10"/>
      <name val="Pluto Cond Light"/>
      <family val="2"/>
    </font>
    <font>
      <u val="singleAccounting"/>
      <sz val="10"/>
      <name val="Pluto Cond Light"/>
      <family val="2"/>
    </font>
    <font>
      <sz val="10"/>
      <color indexed="8"/>
      <name val="Pluto Cond Light"/>
      <family val="2"/>
    </font>
    <font>
      <b/>
      <sz val="10"/>
      <color theme="1"/>
      <name val="Pluto Cond Light"/>
      <family val="2"/>
    </font>
    <font>
      <b/>
      <i/>
      <sz val="10"/>
      <color theme="1"/>
      <name val="Pluto Cond Light"/>
      <family val="2"/>
    </font>
    <font>
      <b/>
      <sz val="10"/>
      <color indexed="8"/>
      <name val="Pluto Cond Light"/>
      <family val="2"/>
    </font>
    <font>
      <sz val="10"/>
      <color rgb="FFFF0000"/>
      <name val="Pluto Cond Light"/>
      <family val="2"/>
    </font>
    <font>
      <sz val="10"/>
      <color theme="8"/>
      <name val="Pluto Cond Light"/>
      <family val="2"/>
    </font>
    <font>
      <b/>
      <sz val="10"/>
      <color theme="0" tint="-0.499984740745262"/>
      <name val="Pluto Cond Light"/>
      <family val="2"/>
    </font>
    <font>
      <sz val="11"/>
      <color theme="1"/>
      <name val="Calibri"/>
      <family val="2"/>
      <scheme val="minor"/>
    </font>
    <font>
      <i/>
      <sz val="10"/>
      <color indexed="8"/>
      <name val="Pluto Cond Light"/>
      <family val="2"/>
    </font>
    <font>
      <sz val="8"/>
      <name val="Calibri"/>
      <family val="2"/>
      <scheme val="minor"/>
    </font>
    <font>
      <sz val="8.5"/>
      <color theme="1"/>
      <name val="Arial"/>
      <family val="2"/>
    </font>
    <font>
      <b/>
      <sz val="8.5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i/>
      <sz val="10"/>
      <color theme="1"/>
      <name val="Pluto Cond Light"/>
      <family val="2"/>
    </font>
    <font>
      <i/>
      <sz val="6"/>
      <color theme="1"/>
      <name val="Pluto Cond Light"/>
      <family val="2"/>
    </font>
    <font>
      <b/>
      <sz val="10"/>
      <color rgb="FFFF0000"/>
      <name val="Pluto Cond Light"/>
      <family val="2"/>
    </font>
    <font>
      <sz val="10"/>
      <color theme="1"/>
      <name val="Pluto Cond Light"/>
    </font>
    <font>
      <sz val="10"/>
      <name val="Pluto Cond Light"/>
    </font>
    <font>
      <b/>
      <sz val="10"/>
      <color theme="1"/>
      <name val="Pluto Cond Light"/>
    </font>
    <font>
      <b/>
      <sz val="10"/>
      <color theme="0"/>
      <name val="Pluto Cond Light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0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5" fillId="0" borderId="0">
      <alignment vertical="top"/>
    </xf>
    <xf numFmtId="170" fontId="6" fillId="0" borderId="0">
      <alignment horizontal="right"/>
    </xf>
    <xf numFmtId="170" fontId="6" fillId="0" borderId="0">
      <alignment horizontal="left"/>
    </xf>
    <xf numFmtId="0" fontId="7" fillId="2" borderId="0" applyNumberFormat="0" applyFont="0" applyFill="0" applyBorder="0" applyProtection="0">
      <alignment horizontal="left"/>
    </xf>
    <xf numFmtId="0" fontId="3" fillId="0" borderId="0" applyFont="0" applyFill="0" applyBorder="0" applyAlignment="0" applyProtection="0"/>
    <xf numFmtId="171" fontId="8" fillId="3" borderId="0">
      <alignment horizontal="left" vertical="top"/>
    </xf>
    <xf numFmtId="0" fontId="9" fillId="3" borderId="0">
      <alignment horizontal="left" wrapText="1"/>
    </xf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0" borderId="0"/>
    <xf numFmtId="0" fontId="11" fillId="0" borderId="0"/>
    <xf numFmtId="0" fontId="12" fillId="3" borderId="0">
      <alignment wrapText="1"/>
    </xf>
    <xf numFmtId="0" fontId="3" fillId="0" borderId="0"/>
    <xf numFmtId="0" fontId="4" fillId="42" borderId="0" applyNumberFormat="0" applyBorder="0" applyAlignment="0" applyProtection="0"/>
    <xf numFmtId="0" fontId="4" fillId="45" borderId="0" applyNumberFormat="0" applyBorder="0" applyAlignment="0" applyProtection="0"/>
    <xf numFmtId="0" fontId="4" fillId="36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4" borderId="0" applyNumberFormat="0" applyBorder="0" applyAlignment="0" applyProtection="0"/>
    <xf numFmtId="0" fontId="4" fillId="38" borderId="0" applyNumberFormat="0" applyBorder="0" applyAlignment="0" applyProtection="0"/>
    <xf numFmtId="0" fontId="1" fillId="21" borderId="0" applyNumberFormat="0" applyBorder="0" applyAlignment="0" applyProtection="0"/>
    <xf numFmtId="0" fontId="4" fillId="44" borderId="0" applyNumberFormat="0" applyBorder="0" applyAlignment="0" applyProtection="0"/>
    <xf numFmtId="0" fontId="1" fillId="17" borderId="0" applyNumberFormat="0" applyBorder="0" applyAlignment="0" applyProtection="0"/>
    <xf numFmtId="0" fontId="4" fillId="43" borderId="0" applyNumberFormat="0" applyBorder="0" applyAlignment="0" applyProtection="0"/>
    <xf numFmtId="0" fontId="1" fillId="13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4" borderId="0" applyNumberFormat="0" applyBorder="0" applyAlignment="0" applyProtection="0"/>
    <xf numFmtId="0" fontId="4" fillId="4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1" fillId="20" borderId="0" applyNumberFormat="0" applyBorder="0" applyAlignment="0" applyProtection="0"/>
    <xf numFmtId="0" fontId="4" fillId="37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0" fontId="4" fillId="35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5" borderId="0" applyNumberFormat="0" applyBorder="0" applyAlignment="0" applyProtection="0"/>
    <xf numFmtId="0" fontId="4" fillId="38" borderId="0" applyNumberFormat="0" applyBorder="0" applyAlignment="0" applyProtection="0"/>
    <xf numFmtId="0" fontId="1" fillId="25" borderId="0" applyNumberFormat="0" applyBorder="0" applyAlignment="0" applyProtection="0"/>
    <xf numFmtId="0" fontId="4" fillId="41" borderId="0" applyNumberFormat="0" applyBorder="0" applyAlignment="0" applyProtection="0"/>
    <xf numFmtId="0" fontId="1" fillId="29" borderId="0" applyNumberFormat="0" applyBorder="0" applyAlignment="0" applyProtection="0"/>
    <xf numFmtId="0" fontId="4" fillId="45" borderId="0" applyNumberFormat="0" applyBorder="0" applyAlignment="0" applyProtection="0"/>
    <xf numFmtId="0" fontId="1" fillId="33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7" fillId="14" borderId="0" applyNumberFormat="0" applyBorder="0" applyAlignment="0" applyProtection="0"/>
    <xf numFmtId="0" fontId="28" fillId="43" borderId="0" applyNumberFormat="0" applyBorder="0" applyAlignment="0" applyProtection="0"/>
    <xf numFmtId="0" fontId="27" fillId="18" borderId="0" applyNumberFormat="0" applyBorder="0" applyAlignment="0" applyProtection="0"/>
    <xf numFmtId="0" fontId="28" fillId="44" borderId="0" applyNumberFormat="0" applyBorder="0" applyAlignment="0" applyProtection="0"/>
    <xf numFmtId="0" fontId="27" fillId="22" borderId="0" applyNumberFormat="0" applyBorder="0" applyAlignment="0" applyProtection="0"/>
    <xf numFmtId="0" fontId="28" fillId="47" borderId="0" applyNumberFormat="0" applyBorder="0" applyAlignment="0" applyProtection="0"/>
    <xf numFmtId="0" fontId="27" fillId="26" borderId="0" applyNumberFormat="0" applyBorder="0" applyAlignment="0" applyProtection="0"/>
    <xf numFmtId="0" fontId="28" fillId="48" borderId="0" applyNumberFormat="0" applyBorder="0" applyAlignment="0" applyProtection="0"/>
    <xf numFmtId="0" fontId="27" fillId="30" borderId="0" applyNumberFormat="0" applyBorder="0" applyAlignment="0" applyProtection="0"/>
    <xf numFmtId="0" fontId="28" fillId="49" borderId="0" applyNumberFormat="0" applyBorder="0" applyAlignment="0" applyProtection="0"/>
    <xf numFmtId="0" fontId="27" fillId="34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0" fontId="17" fillId="4" borderId="0" applyNumberFormat="0" applyBorder="0" applyAlignment="0" applyProtection="0"/>
    <xf numFmtId="0" fontId="29" fillId="42" borderId="10" applyNumberFormat="0" applyAlignment="0" applyProtection="0"/>
    <xf numFmtId="0" fontId="29" fillId="42" borderId="10" applyNumberFormat="0" applyAlignment="0" applyProtection="0"/>
    <xf numFmtId="0" fontId="22" fillId="8" borderId="4" applyNumberFormat="0" applyAlignment="0" applyProtection="0"/>
    <xf numFmtId="0" fontId="24" fillId="9" borderId="7" applyNumberFormat="0" applyAlignment="0" applyProtection="0"/>
    <xf numFmtId="0" fontId="23" fillId="0" borderId="6" applyNumberFormat="0" applyFill="0" applyAlignment="0" applyProtection="0"/>
    <xf numFmtId="0" fontId="28" fillId="50" borderId="0" applyNumberFormat="0" applyBorder="0" applyAlignment="0" applyProtection="0"/>
    <xf numFmtId="0" fontId="27" fillId="11" borderId="0" applyNumberFormat="0" applyBorder="0" applyAlignment="0" applyProtection="0"/>
    <xf numFmtId="0" fontId="28" fillId="51" borderId="0" applyNumberFormat="0" applyBorder="0" applyAlignment="0" applyProtection="0"/>
    <xf numFmtId="0" fontId="27" fillId="15" borderId="0" applyNumberFormat="0" applyBorder="0" applyAlignment="0" applyProtection="0"/>
    <xf numFmtId="0" fontId="28" fillId="52" borderId="0" applyNumberFormat="0" applyBorder="0" applyAlignment="0" applyProtection="0"/>
    <xf numFmtId="0" fontId="27" fillId="19" borderId="0" applyNumberFormat="0" applyBorder="0" applyAlignment="0" applyProtection="0"/>
    <xf numFmtId="0" fontId="28" fillId="47" borderId="0" applyNumberFormat="0" applyBorder="0" applyAlignment="0" applyProtection="0"/>
    <xf numFmtId="0" fontId="27" fillId="23" borderId="0" applyNumberFormat="0" applyBorder="0" applyAlignment="0" applyProtection="0"/>
    <xf numFmtId="0" fontId="28" fillId="48" borderId="0" applyNumberFormat="0" applyBorder="0" applyAlignment="0" applyProtection="0"/>
    <xf numFmtId="0" fontId="27" fillId="27" borderId="0" applyNumberFormat="0" applyBorder="0" applyAlignment="0" applyProtection="0"/>
    <xf numFmtId="0" fontId="28" fillId="53" borderId="0" applyNumberFormat="0" applyBorder="0" applyAlignment="0" applyProtection="0"/>
    <xf numFmtId="0" fontId="27" fillId="31" borderId="0" applyNumberFormat="0" applyBorder="0" applyAlignment="0" applyProtection="0"/>
    <xf numFmtId="0" fontId="20" fillId="7" borderId="4" applyNumberFormat="0" applyAlignment="0" applyProtection="0"/>
    <xf numFmtId="0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0" fillId="36" borderId="0" applyNumberFormat="0" applyBorder="0" applyAlignment="0" applyProtection="0"/>
    <xf numFmtId="0" fontId="18" fillId="5" borderId="0" applyNumberFormat="0" applyBorder="0" applyAlignment="0" applyProtection="0"/>
    <xf numFmtId="0" fontId="9" fillId="3" borderId="0">
      <alignment horizontal="left" wrapText="1" indent="2"/>
    </xf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6" borderId="0" applyNumberFormat="0" applyBorder="0" applyAlignment="0" applyProtection="0"/>
    <xf numFmtId="0" fontId="1" fillId="0" borderId="0"/>
    <xf numFmtId="0" fontId="1" fillId="0" borderId="0"/>
    <xf numFmtId="0" fontId="9" fillId="0" borderId="0"/>
    <xf numFmtId="0" fontId="1" fillId="10" borderId="8" applyNumberFormat="0" applyFont="0" applyAlignment="0" applyProtection="0"/>
    <xf numFmtId="0" fontId="31" fillId="42" borderId="1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1" fillId="42" borderId="14" applyNumberFormat="0" applyAlignment="0" applyProtection="0"/>
    <xf numFmtId="0" fontId="21" fillId="8" borderId="5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14" fillId="0" borderId="1" applyNumberFormat="0" applyFill="0" applyAlignment="0" applyProtection="0"/>
    <xf numFmtId="0" fontId="35" fillId="0" borderId="12" applyNumberFormat="0" applyFill="0" applyAlignment="0" applyProtection="0"/>
    <xf numFmtId="0" fontId="15" fillId="0" borderId="2" applyNumberFormat="0" applyFill="0" applyAlignment="0" applyProtection="0"/>
    <xf numFmtId="0" fontId="36" fillId="0" borderId="13" applyNumberFormat="0" applyFill="0" applyAlignment="0" applyProtection="0"/>
    <xf numFmtId="0" fontId="16" fillId="0" borderId="3" applyNumberFormat="0" applyFill="0" applyAlignment="0" applyProtection="0"/>
    <xf numFmtId="0" fontId="3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2" fillId="0" borderId="9" applyNumberFormat="0" applyFill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42" borderId="0" applyNumberFormat="0" applyBorder="0" applyAlignment="0" applyProtection="0"/>
    <xf numFmtId="0" fontId="4" fillId="41" borderId="0" applyNumberFormat="0" applyBorder="0" applyAlignment="0" applyProtection="0"/>
    <xf numFmtId="0" fontId="4" fillId="43" borderId="0" applyNumberFormat="0" applyBorder="0" applyAlignment="0" applyProtection="0"/>
    <xf numFmtId="0" fontId="4" fillId="44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9" fillId="42" borderId="10" applyNumberFormat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53" borderId="0" applyNumberFormat="0" applyBorder="0" applyAlignment="0" applyProtection="0"/>
    <xf numFmtId="0" fontId="30" fillId="36" borderId="0" applyNumberFormat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1" fillId="42" borderId="14" applyNumberFormat="0" applyAlignment="0" applyProtection="0"/>
    <xf numFmtId="43" fontId="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11" applyNumberFormat="0" applyFill="0" applyAlignment="0" applyProtection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15" applyNumberFormat="0" applyFill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8" fillId="0" borderId="0"/>
    <xf numFmtId="0" fontId="3" fillId="0" borderId="0"/>
    <xf numFmtId="43" fontId="1" fillId="0" borderId="0" applyFont="0" applyFill="0" applyBorder="0" applyAlignment="0" applyProtection="0"/>
    <xf numFmtId="0" fontId="6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3">
    <xf numFmtId="0" fontId="0" fillId="0" borderId="0" xfId="0"/>
    <xf numFmtId="0" fontId="39" fillId="54" borderId="0" xfId="0" applyFont="1" applyFill="1"/>
    <xf numFmtId="0" fontId="40" fillId="54" borderId="0" xfId="0" applyFont="1" applyFill="1"/>
    <xf numFmtId="0" fontId="41" fillId="54" borderId="0" xfId="0" applyFont="1" applyFill="1"/>
    <xf numFmtId="0" fontId="39" fillId="54" borderId="0" xfId="0" applyFont="1" applyFill="1" applyAlignment="1">
      <alignment vertical="center"/>
    </xf>
    <xf numFmtId="0" fontId="42" fillId="54" borderId="0" xfId="0" applyFont="1" applyFill="1" applyAlignment="1">
      <alignment vertical="center"/>
    </xf>
    <xf numFmtId="0" fontId="39" fillId="54" borderId="20" xfId="0" applyFont="1" applyFill="1" applyBorder="1"/>
    <xf numFmtId="0" fontId="39" fillId="54" borderId="22" xfId="0" applyFont="1" applyFill="1" applyBorder="1"/>
    <xf numFmtId="0" fontId="40" fillId="54" borderId="23" xfId="0" applyFont="1" applyFill="1" applyBorder="1"/>
    <xf numFmtId="0" fontId="39" fillId="54" borderId="24" xfId="0" applyFont="1" applyFill="1" applyBorder="1"/>
    <xf numFmtId="0" fontId="39" fillId="54" borderId="23" xfId="0" applyFont="1" applyFill="1" applyBorder="1"/>
    <xf numFmtId="0" fontId="41" fillId="54" borderId="23" xfId="0" applyFont="1" applyFill="1" applyBorder="1"/>
    <xf numFmtId="0" fontId="41" fillId="54" borderId="24" xfId="0" applyFont="1" applyFill="1" applyBorder="1"/>
    <xf numFmtId="0" fontId="39" fillId="54" borderId="26" xfId="0" applyFont="1" applyFill="1" applyBorder="1"/>
    <xf numFmtId="0" fontId="43" fillId="54" borderId="21" xfId="0" applyFont="1" applyFill="1" applyBorder="1"/>
    <xf numFmtId="0" fontId="43" fillId="54" borderId="0" xfId="0" applyFont="1" applyFill="1"/>
    <xf numFmtId="0" fontId="45" fillId="54" borderId="23" xfId="0" applyFont="1" applyFill="1" applyBorder="1"/>
    <xf numFmtId="0" fontId="45" fillId="54" borderId="0" xfId="0" applyFont="1" applyFill="1"/>
    <xf numFmtId="0" fontId="47" fillId="54" borderId="0" xfId="0" applyFont="1" applyFill="1" applyAlignment="1">
      <alignment vertical="center"/>
    </xf>
    <xf numFmtId="0" fontId="47" fillId="54" borderId="0" xfId="0" applyFont="1" applyFill="1" applyAlignment="1">
      <alignment horizontal="center" vertical="center"/>
    </xf>
    <xf numFmtId="0" fontId="47" fillId="54" borderId="0" xfId="0" applyFont="1" applyFill="1" applyAlignment="1">
      <alignment horizontal="left" vertical="center"/>
    </xf>
    <xf numFmtId="0" fontId="49" fillId="54" borderId="0" xfId="0" applyFont="1" applyFill="1" applyAlignment="1">
      <alignment vertical="center"/>
    </xf>
    <xf numFmtId="0" fontId="45" fillId="54" borderId="0" xfId="0" applyFont="1" applyFill="1" applyAlignment="1">
      <alignment vertical="center"/>
    </xf>
    <xf numFmtId="0" fontId="45" fillId="54" borderId="25" xfId="0" applyFont="1" applyFill="1" applyBorder="1"/>
    <xf numFmtId="0" fontId="45" fillId="54" borderId="19" xfId="0" applyFont="1" applyFill="1" applyBorder="1"/>
    <xf numFmtId="0" fontId="50" fillId="0" borderId="0" xfId="0" applyFont="1"/>
    <xf numFmtId="0" fontId="51" fillId="55" borderId="0" xfId="15" applyFont="1" applyFill="1" applyAlignment="1" applyProtection="1">
      <alignment horizontal="center"/>
      <protection hidden="1"/>
    </xf>
    <xf numFmtId="0" fontId="50" fillId="0" borderId="0" xfId="0" applyFont="1" applyAlignment="1">
      <alignment horizontal="right"/>
    </xf>
    <xf numFmtId="0" fontId="51" fillId="55" borderId="0" xfId="15" applyFont="1" applyFill="1" applyAlignment="1" applyProtection="1">
      <alignment horizontal="right"/>
      <protection hidden="1"/>
    </xf>
    <xf numFmtId="14" fontId="52" fillId="0" borderId="0" xfId="0" applyNumberFormat="1" applyFont="1" applyAlignment="1" applyProtection="1">
      <alignment horizontal="left" vertical="center"/>
      <protection hidden="1"/>
    </xf>
    <xf numFmtId="0" fontId="53" fillId="0" borderId="0" xfId="4" applyFont="1" applyAlignment="1">
      <alignment horizontal="right" vertical="center"/>
    </xf>
    <xf numFmtId="0" fontId="53" fillId="0" borderId="16" xfId="4" applyFont="1" applyBorder="1" applyAlignment="1">
      <alignment horizontal="right" vertical="center"/>
    </xf>
    <xf numFmtId="0" fontId="50" fillId="0" borderId="16" xfId="0" applyFont="1" applyBorder="1" applyAlignment="1">
      <alignment horizontal="right"/>
    </xf>
    <xf numFmtId="0" fontId="50" fillId="0" borderId="16" xfId="0" applyFont="1" applyBorder="1"/>
    <xf numFmtId="0" fontId="54" fillId="0" borderId="0" xfId="0" applyFont="1" applyAlignment="1" applyProtection="1">
      <alignment horizontal="left" vertical="center"/>
      <protection hidden="1"/>
    </xf>
    <xf numFmtId="0" fontId="55" fillId="0" borderId="0" xfId="0" applyFont="1" applyAlignment="1">
      <alignment horizontal="right" vertical="center"/>
    </xf>
    <xf numFmtId="0" fontId="56" fillId="0" borderId="0" xfId="0" applyFont="1" applyAlignment="1" applyProtection="1">
      <alignment horizontal="left" vertical="center"/>
      <protection hidden="1"/>
    </xf>
    <xf numFmtId="168" fontId="56" fillId="0" borderId="0" xfId="30" applyNumberFormat="1" applyFont="1" applyAlignment="1">
      <alignment horizontal="right" vertical="center"/>
    </xf>
    <xf numFmtId="165" fontId="50" fillId="0" borderId="0" xfId="2" applyNumberFormat="1" applyFont="1"/>
    <xf numFmtId="168" fontId="54" fillId="0" borderId="0" xfId="3" applyNumberFormat="1" applyFont="1" applyAlignment="1">
      <alignment horizontal="right" vertical="center"/>
    </xf>
    <xf numFmtId="0" fontId="56" fillId="0" borderId="0" xfId="0" applyFont="1" applyAlignment="1" applyProtection="1">
      <alignment vertical="center"/>
      <protection hidden="1"/>
    </xf>
    <xf numFmtId="168" fontId="56" fillId="0" borderId="0" xfId="3" applyNumberFormat="1" applyFont="1" applyAlignment="1">
      <alignment horizontal="right" vertical="center"/>
    </xf>
    <xf numFmtId="0" fontId="54" fillId="0" borderId="0" xfId="0" applyFont="1" applyAlignment="1" applyProtection="1">
      <alignment vertical="center"/>
      <protection hidden="1"/>
    </xf>
    <xf numFmtId="0" fontId="54" fillId="0" borderId="17" xfId="0" applyFont="1" applyBorder="1" applyAlignment="1" applyProtection="1">
      <alignment horizontal="left" vertical="center"/>
      <protection hidden="1"/>
    </xf>
    <xf numFmtId="168" fontId="54" fillId="0" borderId="17" xfId="3" applyNumberFormat="1" applyFont="1" applyBorder="1" applyAlignment="1">
      <alignment horizontal="right" vertical="center"/>
    </xf>
    <xf numFmtId="41" fontId="50" fillId="0" borderId="0" xfId="0" applyNumberFormat="1" applyFont="1" applyAlignment="1">
      <alignment horizontal="right"/>
    </xf>
    <xf numFmtId="0" fontId="53" fillId="0" borderId="0" xfId="0" applyFont="1" applyAlignment="1" applyProtection="1">
      <alignment horizontal="left" vertical="center"/>
      <protection hidden="1"/>
    </xf>
    <xf numFmtId="14" fontId="53" fillId="0" borderId="0" xfId="0" applyNumberFormat="1" applyFont="1" applyAlignment="1">
      <alignment horizontal="right" vertical="center"/>
    </xf>
    <xf numFmtId="0" fontId="56" fillId="0" borderId="0" xfId="0" applyFont="1" applyAlignment="1">
      <alignment horizontal="right" vertical="center"/>
    </xf>
    <xf numFmtId="41" fontId="56" fillId="0" borderId="0" xfId="0" applyNumberFormat="1" applyFont="1" applyAlignment="1">
      <alignment horizontal="right" vertical="center"/>
    </xf>
    <xf numFmtId="0" fontId="56" fillId="54" borderId="0" xfId="0" applyFont="1" applyFill="1" applyAlignment="1" applyProtection="1">
      <alignment horizontal="left" vertical="center"/>
      <protection hidden="1"/>
    </xf>
    <xf numFmtId="41" fontId="54" fillId="0" borderId="0" xfId="0" applyNumberFormat="1" applyFont="1" applyAlignment="1">
      <alignment horizontal="right" vertical="center"/>
    </xf>
    <xf numFmtId="41" fontId="57" fillId="0" borderId="0" xfId="0" applyNumberFormat="1" applyFont="1" applyAlignment="1">
      <alignment horizontal="right" vertical="center"/>
    </xf>
    <xf numFmtId="168" fontId="50" fillId="0" borderId="0" xfId="0" applyNumberFormat="1" applyFont="1" applyAlignment="1">
      <alignment horizontal="right"/>
    </xf>
    <xf numFmtId="0" fontId="58" fillId="0" borderId="0" xfId="244" applyFont="1" applyAlignment="1" applyProtection="1">
      <alignment horizontal="left"/>
      <protection hidden="1"/>
    </xf>
    <xf numFmtId="0" fontId="58" fillId="0" borderId="0" xfId="244" applyFont="1"/>
    <xf numFmtId="168" fontId="59" fillId="0" borderId="17" xfId="243" applyNumberFormat="1" applyFont="1" applyBorder="1" applyProtection="1">
      <protection hidden="1"/>
    </xf>
    <xf numFmtId="168" fontId="59" fillId="0" borderId="17" xfId="192" applyNumberFormat="1" applyFont="1" applyBorder="1"/>
    <xf numFmtId="168" fontId="59" fillId="54" borderId="17" xfId="192" applyNumberFormat="1" applyFont="1" applyFill="1" applyBorder="1"/>
    <xf numFmtId="168" fontId="50" fillId="0" borderId="0" xfId="243" applyNumberFormat="1" applyFont="1"/>
    <xf numFmtId="168" fontId="50" fillId="54" borderId="0" xfId="192" applyNumberFormat="1" applyFont="1" applyFill="1"/>
    <xf numFmtId="168" fontId="50" fillId="0" borderId="0" xfId="192" applyNumberFormat="1" applyFont="1"/>
    <xf numFmtId="0" fontId="50" fillId="0" borderId="0" xfId="15" quotePrefix="1" applyFont="1" applyAlignment="1" applyProtection="1">
      <alignment horizontal="left" indent="1"/>
      <protection hidden="1"/>
    </xf>
    <xf numFmtId="168" fontId="50" fillId="54" borderId="0" xfId="192" quotePrefix="1" applyNumberFormat="1" applyFont="1" applyFill="1"/>
    <xf numFmtId="168" fontId="50" fillId="0" borderId="0" xfId="192" quotePrefix="1" applyNumberFormat="1" applyFont="1"/>
    <xf numFmtId="0" fontId="59" fillId="0" borderId="0" xfId="0" applyFont="1"/>
    <xf numFmtId="0" fontId="50" fillId="0" borderId="0" xfId="15" quotePrefix="1" applyFont="1" applyProtection="1">
      <protection hidden="1"/>
    </xf>
    <xf numFmtId="168" fontId="59" fillId="0" borderId="0" xfId="243" applyNumberFormat="1" applyFont="1"/>
    <xf numFmtId="168" fontId="59" fillId="0" borderId="0" xfId="192" applyNumberFormat="1" applyFont="1"/>
    <xf numFmtId="168" fontId="50" fillId="0" borderId="0" xfId="243" quotePrefix="1" applyNumberFormat="1" applyFont="1" applyProtection="1">
      <protection hidden="1"/>
    </xf>
    <xf numFmtId="168" fontId="50" fillId="0" borderId="0" xfId="243" quotePrefix="1" applyNumberFormat="1" applyFont="1"/>
    <xf numFmtId="168" fontId="50" fillId="54" borderId="0" xfId="192" quotePrefix="1" applyNumberFormat="1" applyFont="1" applyFill="1" applyAlignment="1">
      <alignment horizontal="right"/>
    </xf>
    <xf numFmtId="0" fontId="50" fillId="0" borderId="0" xfId="0" applyFont="1" applyProtection="1">
      <protection hidden="1"/>
    </xf>
    <xf numFmtId="165" fontId="60" fillId="0" borderId="0" xfId="242" applyNumberFormat="1" applyFont="1"/>
    <xf numFmtId="168" fontId="59" fillId="0" borderId="16" xfId="243" applyNumberFormat="1" applyFont="1" applyBorder="1" applyProtection="1">
      <protection hidden="1"/>
    </xf>
    <xf numFmtId="168" fontId="59" fillId="54" borderId="16" xfId="192" applyNumberFormat="1" applyFont="1" applyFill="1" applyBorder="1"/>
    <xf numFmtId="165" fontId="51" fillId="55" borderId="0" xfId="242" applyNumberFormat="1" applyFont="1" applyFill="1" applyAlignment="1" applyProtection="1">
      <alignment horizontal="center"/>
      <protection hidden="1"/>
    </xf>
    <xf numFmtId="165" fontId="51" fillId="55" borderId="0" xfId="242" applyNumberFormat="1" applyFont="1" applyFill="1" applyAlignment="1" applyProtection="1">
      <alignment horizontal="right"/>
      <protection hidden="1"/>
    </xf>
    <xf numFmtId="0" fontId="56" fillId="0" borderId="0" xfId="0" applyFont="1" applyProtection="1">
      <protection hidden="1"/>
    </xf>
    <xf numFmtId="1" fontId="51" fillId="55" borderId="0" xfId="1" applyNumberFormat="1" applyFont="1" applyFill="1" applyAlignment="1" applyProtection="1">
      <alignment horizontal="right"/>
      <protection hidden="1"/>
    </xf>
    <xf numFmtId="167" fontId="51" fillId="55" borderId="0" xfId="1" applyNumberFormat="1" applyFont="1" applyFill="1" applyAlignment="1" applyProtection="1">
      <alignment horizontal="right"/>
      <protection hidden="1"/>
    </xf>
    <xf numFmtId="174" fontId="50" fillId="0" borderId="0" xfId="0" applyNumberFormat="1" applyFont="1"/>
    <xf numFmtId="166" fontId="61" fillId="0" borderId="0" xfId="4" applyNumberFormat="1" applyFont="1" applyAlignment="1" applyProtection="1">
      <alignment wrapText="1"/>
      <protection hidden="1"/>
    </xf>
    <xf numFmtId="41" fontId="58" fillId="0" borderId="0" xfId="4" applyNumberFormat="1" applyFont="1" applyAlignment="1">
      <alignment horizontal="right"/>
    </xf>
    <xf numFmtId="41" fontId="61" fillId="0" borderId="0" xfId="4" applyNumberFormat="1" applyFont="1" applyAlignment="1">
      <alignment horizontal="right"/>
    </xf>
    <xf numFmtId="165" fontId="50" fillId="0" borderId="0" xfId="2" applyNumberFormat="1" applyFont="1" applyAlignment="1">
      <alignment horizontal="right"/>
    </xf>
    <xf numFmtId="165" fontId="59" fillId="0" borderId="0" xfId="2" applyNumberFormat="1" applyFont="1" applyAlignment="1">
      <alignment horizontal="right"/>
    </xf>
    <xf numFmtId="0" fontId="59" fillId="0" borderId="0" xfId="0" applyFont="1" applyProtection="1">
      <protection hidden="1"/>
    </xf>
    <xf numFmtId="169" fontId="50" fillId="0" borderId="0" xfId="1" applyNumberFormat="1" applyFont="1" applyAlignment="1">
      <alignment horizontal="right"/>
    </xf>
    <xf numFmtId="169" fontId="59" fillId="0" borderId="0" xfId="1" applyNumberFormat="1" applyFont="1" applyAlignment="1">
      <alignment horizontal="right"/>
    </xf>
    <xf numFmtId="169" fontId="50" fillId="54" borderId="0" xfId="1" applyNumberFormat="1" applyFont="1" applyFill="1" applyAlignment="1">
      <alignment horizontal="right"/>
    </xf>
    <xf numFmtId="167" fontId="50" fillId="0" borderId="0" xfId="1" applyNumberFormat="1" applyFont="1" applyAlignment="1">
      <alignment horizontal="right"/>
    </xf>
    <xf numFmtId="167" fontId="59" fillId="0" borderId="0" xfId="1" applyNumberFormat="1" applyFont="1" applyAlignment="1">
      <alignment horizontal="right"/>
    </xf>
    <xf numFmtId="167" fontId="50" fillId="0" borderId="0" xfId="0" applyNumberFormat="1" applyFont="1" applyAlignment="1">
      <alignment horizontal="right"/>
    </xf>
    <xf numFmtId="0" fontId="59" fillId="0" borderId="0" xfId="0" applyFont="1" applyAlignment="1">
      <alignment horizontal="right"/>
    </xf>
    <xf numFmtId="167" fontId="56" fillId="0" borderId="0" xfId="1" applyNumberFormat="1" applyFont="1" applyAlignment="1">
      <alignment horizontal="right"/>
    </xf>
    <xf numFmtId="167" fontId="54" fillId="0" borderId="0" xfId="1" applyNumberFormat="1" applyFont="1" applyAlignment="1">
      <alignment horizontal="right"/>
    </xf>
    <xf numFmtId="167" fontId="59" fillId="0" borderId="0" xfId="0" applyNumberFormat="1" applyFont="1" applyAlignment="1">
      <alignment horizontal="right"/>
    </xf>
    <xf numFmtId="165" fontId="59" fillId="0" borderId="0" xfId="0" applyNumberFormat="1" applyFont="1" applyAlignment="1">
      <alignment horizontal="right"/>
    </xf>
    <xf numFmtId="165" fontId="50" fillId="0" borderId="0" xfId="0" applyNumberFormat="1" applyFont="1"/>
    <xf numFmtId="43" fontId="50" fillId="0" borderId="0" xfId="1" applyFont="1" applyAlignment="1">
      <alignment horizontal="right"/>
    </xf>
    <xf numFmtId="43" fontId="59" fillId="0" borderId="0" xfId="0" applyNumberFormat="1" applyFont="1" applyAlignment="1">
      <alignment horizontal="right"/>
    </xf>
    <xf numFmtId="43" fontId="59" fillId="0" borderId="0" xfId="1" applyFont="1" applyAlignment="1">
      <alignment horizontal="right"/>
    </xf>
    <xf numFmtId="175" fontId="50" fillId="54" borderId="0" xfId="0" applyNumberFormat="1" applyFont="1" applyFill="1" applyAlignment="1">
      <alignment horizontal="right"/>
    </xf>
    <xf numFmtId="169" fontId="59" fillId="0" borderId="0" xfId="0" applyNumberFormat="1" applyFont="1" applyAlignment="1">
      <alignment horizontal="right"/>
    </xf>
    <xf numFmtId="0" fontId="52" fillId="0" borderId="0" xfId="0" applyFont="1" applyAlignment="1" applyProtection="1">
      <alignment vertical="center"/>
      <protection hidden="1"/>
    </xf>
    <xf numFmtId="0" fontId="53" fillId="0" borderId="0" xfId="154" applyNumberFormat="1" applyFont="1" applyAlignment="1">
      <alignment horizontal="right" vertical="center"/>
    </xf>
    <xf numFmtId="3" fontId="59" fillId="0" borderId="17" xfId="1" applyNumberFormat="1" applyFont="1" applyBorder="1" applyAlignment="1">
      <alignment horizontal="right"/>
    </xf>
    <xf numFmtId="166" fontId="58" fillId="0" borderId="0" xfId="4" applyNumberFormat="1" applyFont="1" applyAlignment="1" applyProtection="1">
      <alignment horizontal="left" vertical="center"/>
      <protection hidden="1"/>
    </xf>
    <xf numFmtId="168" fontId="50" fillId="0" borderId="0" xfId="0" applyNumberFormat="1" applyFont="1" applyAlignment="1">
      <alignment horizontal="right" indent="3"/>
    </xf>
    <xf numFmtId="168" fontId="50" fillId="0" borderId="0" xfId="192" applyNumberFormat="1" applyFont="1" applyAlignment="1">
      <alignment horizontal="right"/>
    </xf>
    <xf numFmtId="168" fontId="50" fillId="0" borderId="0" xfId="192" applyNumberFormat="1" applyFont="1" applyAlignment="1">
      <alignment horizontal="right" indent="3"/>
    </xf>
    <xf numFmtId="166" fontId="58" fillId="0" borderId="0" xfId="4" applyNumberFormat="1" applyFont="1" applyAlignment="1" applyProtection="1">
      <alignment vertical="center"/>
      <protection hidden="1"/>
    </xf>
    <xf numFmtId="41" fontId="63" fillId="54" borderId="0" xfId="156" applyNumberFormat="1" applyFont="1" applyFill="1" applyAlignment="1">
      <alignment horizontal="right" vertical="center"/>
    </xf>
    <xf numFmtId="41" fontId="63" fillId="0" borderId="0" xfId="156" applyNumberFormat="1" applyFont="1" applyAlignment="1">
      <alignment horizontal="right" vertical="center"/>
    </xf>
    <xf numFmtId="168" fontId="59" fillId="0" borderId="17" xfId="1" applyNumberFormat="1" applyFont="1" applyBorder="1" applyAlignment="1">
      <alignment horizontal="right"/>
    </xf>
    <xf numFmtId="41" fontId="56" fillId="54" borderId="0" xfId="156" applyNumberFormat="1" applyFont="1" applyFill="1" applyAlignment="1">
      <alignment horizontal="right" vertical="center"/>
    </xf>
    <xf numFmtId="41" fontId="59" fillId="0" borderId="17" xfId="1" applyNumberFormat="1" applyFont="1" applyBorder="1" applyAlignment="1">
      <alignment horizontal="right"/>
    </xf>
    <xf numFmtId="41" fontId="63" fillId="54" borderId="0" xfId="156" applyNumberFormat="1" applyFont="1" applyFill="1" applyAlignment="1" applyProtection="1">
      <alignment horizontal="right" vertical="center"/>
      <protection hidden="1"/>
    </xf>
    <xf numFmtId="166" fontId="58" fillId="54" borderId="0" xfId="4" applyNumberFormat="1" applyFont="1" applyFill="1" applyAlignment="1" applyProtection="1">
      <alignment vertical="center"/>
      <protection hidden="1"/>
    </xf>
    <xf numFmtId="168" fontId="50" fillId="54" borderId="0" xfId="192" applyNumberFormat="1" applyFont="1" applyFill="1" applyAlignment="1">
      <alignment horizontal="right"/>
    </xf>
    <xf numFmtId="0" fontId="54" fillId="0" borderId="18" xfId="0" applyFont="1" applyBorder="1" applyProtection="1">
      <protection hidden="1"/>
    </xf>
    <xf numFmtId="3" fontId="59" fillId="0" borderId="18" xfId="1" applyNumberFormat="1" applyFont="1" applyBorder="1" applyAlignment="1">
      <alignment horizontal="right"/>
    </xf>
    <xf numFmtId="0" fontId="54" fillId="0" borderId="16" xfId="0" applyFont="1" applyBorder="1" applyProtection="1">
      <protection hidden="1"/>
    </xf>
    <xf numFmtId="3" fontId="59" fillId="0" borderId="16" xfId="1" applyNumberFormat="1" applyFont="1" applyBorder="1" applyAlignment="1">
      <alignment horizontal="right"/>
    </xf>
    <xf numFmtId="165" fontId="50" fillId="54" borderId="0" xfId="2" applyNumberFormat="1" applyFont="1" applyFill="1" applyAlignment="1">
      <alignment horizontal="right"/>
    </xf>
    <xf numFmtId="168" fontId="59" fillId="0" borderId="16" xfId="192" applyNumberFormat="1" applyFont="1" applyBorder="1"/>
    <xf numFmtId="169" fontId="50" fillId="0" borderId="0" xfId="0" applyNumberFormat="1" applyFont="1" applyAlignment="1">
      <alignment horizontal="right"/>
    </xf>
    <xf numFmtId="167" fontId="50" fillId="0" borderId="0" xfId="0" applyNumberFormat="1" applyFont="1"/>
    <xf numFmtId="167" fontId="50" fillId="0" borderId="0" xfId="1" applyNumberFormat="1" applyFont="1"/>
    <xf numFmtId="1" fontId="50" fillId="0" borderId="0" xfId="0" applyNumberFormat="1" applyFont="1"/>
    <xf numFmtId="176" fontId="50" fillId="0" borderId="0" xfId="0" applyNumberFormat="1" applyFont="1" applyAlignment="1">
      <alignment horizontal="right"/>
    </xf>
    <xf numFmtId="177" fontId="50" fillId="0" borderId="0" xfId="0" applyNumberFormat="1" applyFont="1" applyAlignment="1">
      <alignment horizontal="right"/>
    </xf>
    <xf numFmtId="178" fontId="50" fillId="0" borderId="0" xfId="0" applyNumberFormat="1" applyFont="1" applyAlignment="1">
      <alignment horizontal="right"/>
    </xf>
    <xf numFmtId="41" fontId="50" fillId="0" borderId="0" xfId="0" applyNumberFormat="1" applyFont="1"/>
    <xf numFmtId="172" fontId="50" fillId="0" borderId="0" xfId="0" applyNumberFormat="1" applyFont="1"/>
    <xf numFmtId="9" fontId="50" fillId="0" borderId="0" xfId="2" quotePrefix="1" applyFont="1"/>
    <xf numFmtId="179" fontId="50" fillId="0" borderId="0" xfId="0" applyNumberFormat="1" applyFont="1"/>
    <xf numFmtId="1" fontId="50" fillId="0" borderId="0" xfId="2" applyNumberFormat="1" applyFont="1"/>
    <xf numFmtId="9" fontId="59" fillId="0" borderId="16" xfId="2" applyFont="1" applyBorder="1"/>
    <xf numFmtId="165" fontId="59" fillId="0" borderId="16" xfId="2" applyNumberFormat="1" applyFont="1" applyBorder="1"/>
    <xf numFmtId="167" fontId="59" fillId="0" borderId="0" xfId="1" applyNumberFormat="1" applyFont="1"/>
    <xf numFmtId="167" fontId="59" fillId="0" borderId="0" xfId="0" applyNumberFormat="1" applyFont="1"/>
    <xf numFmtId="168" fontId="59" fillId="0" borderId="17" xfId="0" applyNumberFormat="1" applyFont="1" applyBorder="1" applyAlignment="1">
      <alignment horizontal="right"/>
    </xf>
    <xf numFmtId="168" fontId="50" fillId="0" borderId="0" xfId="0" applyNumberFormat="1" applyFont="1"/>
    <xf numFmtId="0" fontId="64" fillId="55" borderId="0" xfId="15" applyFont="1" applyFill="1" applyAlignment="1" applyProtection="1">
      <alignment horizontal="center"/>
      <protection hidden="1"/>
    </xf>
    <xf numFmtId="0" fontId="50" fillId="0" borderId="0" xfId="0" quotePrefix="1" applyFont="1"/>
    <xf numFmtId="169" fontId="50" fillId="0" borderId="0" xfId="0" applyNumberFormat="1" applyFont="1"/>
    <xf numFmtId="168" fontId="59" fillId="0" borderId="17" xfId="1" applyNumberFormat="1" applyFont="1" applyFill="1" applyBorder="1" applyAlignment="1">
      <alignment horizontal="right"/>
    </xf>
    <xf numFmtId="168" fontId="50" fillId="0" borderId="0" xfId="192" applyNumberFormat="1" applyFont="1" applyFill="1" applyAlignment="1">
      <alignment horizontal="right"/>
    </xf>
    <xf numFmtId="2" fontId="50" fillId="0" borderId="0" xfId="0" applyNumberFormat="1" applyFont="1"/>
    <xf numFmtId="167" fontId="50" fillId="0" borderId="0" xfId="1" applyNumberFormat="1" applyFont="1" applyFill="1" applyAlignment="1">
      <alignment horizontal="right"/>
    </xf>
    <xf numFmtId="168" fontId="56" fillId="54" borderId="0" xfId="156" applyNumberFormat="1" applyFont="1" applyFill="1" applyAlignment="1">
      <alignment horizontal="right" vertical="center"/>
    </xf>
    <xf numFmtId="168" fontId="56" fillId="0" borderId="0" xfId="156" applyNumberFormat="1" applyFont="1" applyFill="1" applyAlignment="1">
      <alignment horizontal="right" vertical="center"/>
    </xf>
    <xf numFmtId="165" fontId="50" fillId="0" borderId="0" xfId="2" applyNumberFormat="1" applyFont="1" applyFill="1" applyAlignment="1">
      <alignment horizontal="right"/>
    </xf>
    <xf numFmtId="3" fontId="50" fillId="0" borderId="0" xfId="0" applyNumberFormat="1" applyFont="1" applyAlignment="1">
      <alignment horizontal="right"/>
    </xf>
    <xf numFmtId="165" fontId="59" fillId="54" borderId="0" xfId="2" applyNumberFormat="1" applyFont="1" applyFill="1" applyAlignment="1">
      <alignment horizontal="right"/>
    </xf>
    <xf numFmtId="175" fontId="62" fillId="54" borderId="0" xfId="0" applyNumberFormat="1" applyFont="1" applyFill="1" applyAlignment="1">
      <alignment horizontal="right"/>
    </xf>
    <xf numFmtId="0" fontId="62" fillId="0" borderId="0" xfId="0" applyFont="1" applyAlignment="1">
      <alignment horizontal="right"/>
    </xf>
    <xf numFmtId="169" fontId="59" fillId="0" borderId="0" xfId="1" applyNumberFormat="1" applyFont="1" applyFill="1" applyAlignment="1">
      <alignment horizontal="right"/>
    </xf>
    <xf numFmtId="169" fontId="50" fillId="0" borderId="0" xfId="1" applyNumberFormat="1" applyFont="1" applyFill="1" applyAlignment="1">
      <alignment horizontal="right"/>
    </xf>
    <xf numFmtId="165" fontId="59" fillId="0" borderId="0" xfId="2" applyNumberFormat="1" applyFont="1" applyFill="1" applyAlignment="1">
      <alignment horizontal="right"/>
    </xf>
    <xf numFmtId="166" fontId="66" fillId="0" borderId="0" xfId="4" applyNumberFormat="1" applyFont="1" applyAlignment="1" applyProtection="1">
      <alignment horizontal="left" vertical="center"/>
      <protection hidden="1"/>
    </xf>
    <xf numFmtId="167" fontId="59" fillId="0" borderId="0" xfId="1" applyNumberFormat="1" applyFont="1" applyFill="1" applyAlignment="1">
      <alignment horizontal="right"/>
    </xf>
    <xf numFmtId="168" fontId="59" fillId="0" borderId="17" xfId="192" applyNumberFormat="1" applyFont="1" applyFill="1" applyBorder="1"/>
    <xf numFmtId="168" fontId="59" fillId="0" borderId="0" xfId="192" applyNumberFormat="1" applyFont="1" applyFill="1"/>
    <xf numFmtId="0" fontId="51" fillId="55" borderId="0" xfId="15" applyFont="1" applyFill="1" applyAlignment="1" applyProtection="1">
      <alignment horizontal="right" wrapText="1"/>
      <protection hidden="1"/>
    </xf>
    <xf numFmtId="0" fontId="51" fillId="55" borderId="0" xfId="15" applyFont="1" applyFill="1" applyAlignment="1" applyProtection="1">
      <alignment horizontal="center" wrapText="1"/>
      <protection hidden="1"/>
    </xf>
    <xf numFmtId="168" fontId="50" fillId="0" borderId="0" xfId="192" applyNumberFormat="1" applyFont="1" applyFill="1"/>
    <xf numFmtId="168" fontId="50" fillId="0" borderId="0" xfId="192" quotePrefix="1" applyNumberFormat="1" applyFont="1" applyFill="1"/>
    <xf numFmtId="168" fontId="56" fillId="0" borderId="0" xfId="30" applyNumberFormat="1" applyFont="1" applyFill="1" applyAlignment="1">
      <alignment horizontal="right" vertical="center"/>
    </xf>
    <xf numFmtId="43" fontId="50" fillId="0" borderId="0" xfId="1" applyFont="1" applyFill="1" applyAlignment="1">
      <alignment horizontal="right"/>
    </xf>
    <xf numFmtId="3" fontId="69" fillId="0" borderId="0" xfId="0" applyNumberFormat="1" applyFont="1" applyAlignment="1">
      <alignment horizontal="right" vertical="center"/>
    </xf>
    <xf numFmtId="3" fontId="50" fillId="0" borderId="0" xfId="0" applyNumberFormat="1" applyFont="1"/>
    <xf numFmtId="3" fontId="68" fillId="0" borderId="0" xfId="0" applyNumberFormat="1" applyFont="1" applyAlignment="1">
      <alignment horizontal="right" vertical="center"/>
    </xf>
    <xf numFmtId="3" fontId="70" fillId="0" borderId="0" xfId="0" applyNumberFormat="1" applyFont="1" applyAlignment="1">
      <alignment horizontal="right" vertical="center"/>
    </xf>
    <xf numFmtId="3" fontId="71" fillId="0" borderId="0" xfId="0" applyNumberFormat="1" applyFont="1" applyAlignment="1">
      <alignment horizontal="right" vertical="center"/>
    </xf>
    <xf numFmtId="0" fontId="70" fillId="0" borderId="0" xfId="0" applyFont="1" applyAlignment="1">
      <alignment horizontal="right" vertical="center"/>
    </xf>
    <xf numFmtId="168" fontId="71" fillId="0" borderId="0" xfId="0" applyNumberFormat="1" applyFont="1" applyAlignment="1">
      <alignment horizontal="right" vertical="center"/>
    </xf>
    <xf numFmtId="3" fontId="72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horizontal="right" vertical="center"/>
    </xf>
    <xf numFmtId="168" fontId="74" fillId="0" borderId="0" xfId="243" quotePrefix="1" applyNumberFormat="1" applyFont="1" applyProtection="1">
      <protection hidden="1"/>
    </xf>
    <xf numFmtId="168" fontId="59" fillId="0" borderId="16" xfId="192" applyNumberFormat="1" applyFont="1" applyFill="1" applyBorder="1"/>
    <xf numFmtId="168" fontId="50" fillId="0" borderId="0" xfId="192" quotePrefix="1" applyNumberFormat="1" applyFont="1" applyFill="1" applyAlignment="1">
      <alignment horizontal="right"/>
    </xf>
    <xf numFmtId="9" fontId="50" fillId="0" borderId="0" xfId="2" quotePrefix="1" applyFont="1" applyFill="1"/>
    <xf numFmtId="41" fontId="63" fillId="0" borderId="0" xfId="156" applyNumberFormat="1" applyFont="1" applyFill="1" applyAlignment="1">
      <alignment horizontal="right" vertical="center"/>
    </xf>
    <xf numFmtId="3" fontId="59" fillId="0" borderId="18" xfId="1" applyNumberFormat="1" applyFont="1" applyFill="1" applyBorder="1" applyAlignment="1">
      <alignment horizontal="right"/>
    </xf>
    <xf numFmtId="3" fontId="59" fillId="0" borderId="16" xfId="1" applyNumberFormat="1" applyFont="1" applyFill="1" applyBorder="1" applyAlignment="1">
      <alignment horizontal="right"/>
    </xf>
    <xf numFmtId="3" fontId="59" fillId="0" borderId="17" xfId="1" applyNumberFormat="1" applyFont="1" applyFill="1" applyBorder="1" applyAlignment="1">
      <alignment horizontal="right"/>
    </xf>
    <xf numFmtId="165" fontId="50" fillId="0" borderId="0" xfId="0" applyNumberFormat="1" applyFont="1" applyAlignment="1">
      <alignment horizontal="right"/>
    </xf>
    <xf numFmtId="0" fontId="75" fillId="0" borderId="0" xfId="0" applyFont="1" applyAlignment="1" applyProtection="1">
      <alignment horizontal="left" vertical="top" wrapText="1"/>
      <protection hidden="1"/>
    </xf>
    <xf numFmtId="168" fontId="54" fillId="0" borderId="17" xfId="3" applyNumberFormat="1" applyFont="1" applyFill="1" applyBorder="1" applyAlignment="1">
      <alignment horizontal="right" vertical="center"/>
    </xf>
    <xf numFmtId="168" fontId="54" fillId="0" borderId="0" xfId="3" applyNumberFormat="1" applyFont="1" applyFill="1" applyAlignment="1">
      <alignment horizontal="right" vertical="center"/>
    </xf>
    <xf numFmtId="168" fontId="59" fillId="0" borderId="0" xfId="192" applyNumberFormat="1" applyFont="1" applyBorder="1"/>
    <xf numFmtId="168" fontId="59" fillId="0" borderId="0" xfId="192" applyNumberFormat="1" applyFont="1" applyFill="1" applyBorder="1"/>
    <xf numFmtId="168" fontId="59" fillId="0" borderId="0" xfId="243" applyNumberFormat="1" applyFont="1" applyBorder="1" applyProtection="1">
      <protection hidden="1"/>
    </xf>
    <xf numFmtId="168" fontId="59" fillId="54" borderId="0" xfId="192" applyNumberFormat="1" applyFont="1" applyFill="1" applyBorder="1"/>
    <xf numFmtId="180" fontId="50" fillId="0" borderId="0" xfId="0" applyNumberFormat="1" applyFont="1"/>
    <xf numFmtId="3" fontId="76" fillId="57" borderId="18" xfId="1" applyNumberFormat="1" applyFont="1" applyFill="1" applyBorder="1" applyAlignment="1">
      <alignment horizontal="right"/>
    </xf>
    <xf numFmtId="3" fontId="76" fillId="57" borderId="16" xfId="1" applyNumberFormat="1" applyFont="1" applyFill="1" applyBorder="1" applyAlignment="1">
      <alignment horizontal="right"/>
    </xf>
    <xf numFmtId="168" fontId="54" fillId="0" borderId="17" xfId="3" applyNumberFormat="1" applyFont="1" applyFill="1" applyBorder="1" applyAlignment="1">
      <alignment vertical="center"/>
    </xf>
    <xf numFmtId="1" fontId="51" fillId="55" borderId="0" xfId="1" applyNumberFormat="1" applyFont="1" applyFill="1" applyAlignment="1" applyProtection="1">
      <alignment horizontal="center" wrapText="1"/>
      <protection hidden="1"/>
    </xf>
    <xf numFmtId="168" fontId="76" fillId="57" borderId="17" xfId="1" applyNumberFormat="1" applyFont="1" applyFill="1" applyBorder="1" applyAlignment="1">
      <alignment horizontal="right"/>
    </xf>
    <xf numFmtId="168" fontId="62" fillId="57" borderId="0" xfId="0" applyNumberFormat="1" applyFont="1" applyFill="1" applyAlignment="1">
      <alignment horizontal="right"/>
    </xf>
    <xf numFmtId="41" fontId="62" fillId="57" borderId="0" xfId="156" applyNumberFormat="1" applyFont="1" applyFill="1" applyAlignment="1">
      <alignment horizontal="right" vertical="center"/>
    </xf>
    <xf numFmtId="168" fontId="62" fillId="57" borderId="0" xfId="156" applyNumberFormat="1" applyFont="1" applyFill="1" applyAlignment="1">
      <alignment horizontal="right" vertical="center"/>
    </xf>
    <xf numFmtId="168" fontId="62" fillId="57" borderId="0" xfId="192" applyNumberFormat="1" applyFont="1" applyFill="1" applyAlignment="1">
      <alignment horizontal="right"/>
    </xf>
    <xf numFmtId="168" fontId="76" fillId="57" borderId="17" xfId="0" applyNumberFormat="1" applyFont="1" applyFill="1" applyBorder="1" applyAlignment="1">
      <alignment horizontal="right"/>
    </xf>
    <xf numFmtId="169" fontId="77" fillId="0" borderId="0" xfId="1" applyNumberFormat="1" applyFont="1" applyAlignment="1">
      <alignment horizontal="right"/>
    </xf>
    <xf numFmtId="167" fontId="77" fillId="0" borderId="0" xfId="1" applyNumberFormat="1" applyFont="1" applyAlignment="1">
      <alignment horizontal="right"/>
    </xf>
    <xf numFmtId="167" fontId="77" fillId="0" borderId="0" xfId="0" applyNumberFormat="1" applyFont="1"/>
    <xf numFmtId="165" fontId="77" fillId="0" borderId="0" xfId="2" applyNumberFormat="1" applyFont="1" applyFill="1" applyAlignment="1">
      <alignment horizontal="right"/>
    </xf>
    <xf numFmtId="43" fontId="77" fillId="0" borderId="0" xfId="1" applyFont="1" applyFill="1" applyAlignment="1">
      <alignment horizontal="right"/>
    </xf>
    <xf numFmtId="0" fontId="51" fillId="55" borderId="0" xfId="15" quotePrefix="1" applyFont="1" applyFill="1" applyAlignment="1" applyProtection="1">
      <alignment horizontal="center"/>
      <protection hidden="1"/>
    </xf>
    <xf numFmtId="0" fontId="50" fillId="0" borderId="0" xfId="0" quotePrefix="1" applyFont="1" applyAlignment="1">
      <alignment horizontal="right"/>
    </xf>
    <xf numFmtId="3" fontId="77" fillId="0" borderId="0" xfId="0" quotePrefix="1" applyNumberFormat="1" applyFont="1" applyAlignment="1">
      <alignment horizontal="right"/>
    </xf>
    <xf numFmtId="3" fontId="77" fillId="0" borderId="0" xfId="0" applyNumberFormat="1" applyFont="1"/>
    <xf numFmtId="0" fontId="77" fillId="0" borderId="0" xfId="0" applyFont="1"/>
    <xf numFmtId="3" fontId="78" fillId="0" borderId="0" xfId="0" applyNumberFormat="1" applyFont="1" applyAlignment="1">
      <alignment vertical="center"/>
    </xf>
    <xf numFmtId="3" fontId="79" fillId="0" borderId="0" xfId="0" applyNumberFormat="1" applyFont="1"/>
    <xf numFmtId="3" fontId="77" fillId="0" borderId="0" xfId="0" quotePrefix="1" applyNumberFormat="1" applyFont="1" applyAlignment="1">
      <alignment horizontal="right" vertical="center"/>
    </xf>
    <xf numFmtId="3" fontId="79" fillId="0" borderId="28" xfId="0" applyNumberFormat="1" applyFont="1" applyBorder="1"/>
    <xf numFmtId="3" fontId="77" fillId="0" borderId="27" xfId="0" applyNumberFormat="1" applyFont="1" applyBorder="1"/>
    <xf numFmtId="0" fontId="77" fillId="0" borderId="29" xfId="0" applyFont="1" applyBorder="1"/>
    <xf numFmtId="0" fontId="80" fillId="55" borderId="0" xfId="0" applyFont="1" applyFill="1" applyAlignment="1">
      <alignment horizontal="center"/>
    </xf>
    <xf numFmtId="168" fontId="59" fillId="0" borderId="18" xfId="192" applyNumberFormat="1" applyFont="1" applyBorder="1"/>
    <xf numFmtId="168" fontId="77" fillId="0" borderId="0" xfId="0" applyNumberFormat="1" applyFont="1"/>
    <xf numFmtId="168" fontId="0" fillId="0" borderId="0" xfId="0" quotePrefix="1" applyNumberFormat="1" applyAlignment="1">
      <alignment horizontal="center"/>
    </xf>
    <xf numFmtId="168" fontId="50" fillId="0" borderId="0" xfId="0" quotePrefix="1" applyNumberFormat="1" applyFont="1" applyAlignment="1">
      <alignment horizontal="center"/>
    </xf>
    <xf numFmtId="3" fontId="59" fillId="0" borderId="0" xfId="0" applyNumberFormat="1" applyFont="1"/>
    <xf numFmtId="169" fontId="79" fillId="0" borderId="0" xfId="1" applyNumberFormat="1" applyFont="1" applyFill="1" applyAlignment="1">
      <alignment horizontal="right"/>
    </xf>
    <xf numFmtId="0" fontId="79" fillId="0" borderId="0" xfId="0" applyFont="1" applyAlignment="1">
      <alignment horizontal="right" vertical="center"/>
    </xf>
    <xf numFmtId="168" fontId="0" fillId="0" borderId="0" xfId="0" applyNumberFormat="1"/>
    <xf numFmtId="168" fontId="77" fillId="0" borderId="0" xfId="192" applyNumberFormat="1" applyFont="1" applyFill="1"/>
    <xf numFmtId="168" fontId="79" fillId="58" borderId="28" xfId="0" applyNumberFormat="1" applyFont="1" applyFill="1" applyBorder="1" applyAlignment="1">
      <alignment horizontal="right"/>
    </xf>
    <xf numFmtId="168" fontId="50" fillId="58" borderId="0" xfId="0" applyNumberFormat="1" applyFont="1" applyFill="1" applyAlignment="1">
      <alignment horizontal="right"/>
    </xf>
    <xf numFmtId="168" fontId="50" fillId="58" borderId="0" xfId="192" applyNumberFormat="1" applyFont="1" applyFill="1" applyAlignment="1">
      <alignment horizontal="right"/>
    </xf>
    <xf numFmtId="168" fontId="59" fillId="58" borderId="17" xfId="0" applyNumberFormat="1" applyFont="1" applyFill="1" applyBorder="1" applyAlignment="1">
      <alignment horizontal="right"/>
    </xf>
    <xf numFmtId="168" fontId="59" fillId="58" borderId="17" xfId="1" applyNumberFormat="1" applyFont="1" applyFill="1" applyBorder="1" applyAlignment="1">
      <alignment horizontal="right"/>
    </xf>
    <xf numFmtId="3" fontId="59" fillId="58" borderId="18" xfId="1" applyNumberFormat="1" applyFont="1" applyFill="1" applyBorder="1" applyAlignment="1">
      <alignment horizontal="right"/>
    </xf>
    <xf numFmtId="3" fontId="59" fillId="58" borderId="16" xfId="1" applyNumberFormat="1" applyFont="1" applyFill="1" applyBorder="1" applyAlignment="1">
      <alignment horizontal="right"/>
    </xf>
    <xf numFmtId="3" fontId="59" fillId="54" borderId="17" xfId="1" applyNumberFormat="1" applyFont="1" applyFill="1" applyBorder="1" applyAlignment="1">
      <alignment horizontal="right"/>
    </xf>
    <xf numFmtId="0" fontId="50" fillId="54" borderId="0" xfId="0" applyFont="1" applyFill="1" applyAlignment="1">
      <alignment horizontal="right"/>
    </xf>
    <xf numFmtId="168" fontId="50" fillId="54" borderId="0" xfId="0" applyNumberFormat="1" applyFont="1" applyFill="1" applyAlignment="1">
      <alignment horizontal="right"/>
    </xf>
    <xf numFmtId="168" fontId="77" fillId="0" borderId="0" xfId="192" applyNumberFormat="1" applyFont="1" applyBorder="1"/>
    <xf numFmtId="0" fontId="47" fillId="54" borderId="19" xfId="0" applyFont="1" applyFill="1" applyBorder="1" applyAlignment="1">
      <alignment horizontal="left" vertical="center"/>
    </xf>
    <xf numFmtId="0" fontId="46" fillId="56" borderId="0" xfId="0" applyFont="1" applyFill="1" applyAlignment="1">
      <alignment horizontal="center" vertical="center" wrapText="1"/>
    </xf>
    <xf numFmtId="0" fontId="48" fillId="54" borderId="16" xfId="0" applyFont="1" applyFill="1" applyBorder="1" applyAlignment="1">
      <alignment horizontal="center"/>
    </xf>
    <xf numFmtId="0" fontId="44" fillId="54" borderId="21" xfId="0" applyFont="1" applyFill="1" applyBorder="1" applyAlignment="1">
      <alignment horizontal="left" indent="1"/>
    </xf>
    <xf numFmtId="0" fontId="44" fillId="54" borderId="0" xfId="0" applyFont="1" applyFill="1" applyAlignment="1">
      <alignment horizontal="left" indent="1"/>
    </xf>
    <xf numFmtId="0" fontId="44" fillId="54" borderId="19" xfId="0" applyFont="1" applyFill="1" applyBorder="1" applyAlignment="1">
      <alignment horizontal="left" vertical="center" indent="1"/>
    </xf>
    <xf numFmtId="165" fontId="50" fillId="0" borderId="0" xfId="0" applyNumberFormat="1" applyFont="1" applyFill="1"/>
    <xf numFmtId="165" fontId="50" fillId="0" borderId="0" xfId="2" applyNumberFormat="1" applyFont="1" applyFill="1"/>
  </cellXfs>
  <cellStyles count="304">
    <cellStyle name="20% - Accent1" xfId="66" xr:uid="{00000000-0005-0000-0000-000000000000}"/>
    <cellStyle name="20% - Accent2" xfId="65" xr:uid="{00000000-0005-0000-0000-000001000000}"/>
    <cellStyle name="20% - Accent3" xfId="64" xr:uid="{00000000-0005-0000-0000-000002000000}"/>
    <cellStyle name="20% - Accent4" xfId="43" xr:uid="{00000000-0005-0000-0000-000003000000}"/>
    <cellStyle name="20% - Accent5" xfId="42" xr:uid="{00000000-0005-0000-0000-000004000000}"/>
    <cellStyle name="20% - Accent6" xfId="40" xr:uid="{00000000-0005-0000-0000-000005000000}"/>
    <cellStyle name="20% - Ênfase1 2" xfId="62" xr:uid="{00000000-0005-0000-0000-000006000000}"/>
    <cellStyle name="20% - Ênfase1 3" xfId="199" xr:uid="{00000000-0005-0000-0000-000007000000}"/>
    <cellStyle name="20% - Ênfase1 4" xfId="63" xr:uid="{00000000-0005-0000-0000-000008000000}"/>
    <cellStyle name="20% - Ênfase2 2" xfId="61" xr:uid="{00000000-0005-0000-0000-000009000000}"/>
    <cellStyle name="20% - Ênfase2 3" xfId="200" xr:uid="{00000000-0005-0000-0000-00000A000000}"/>
    <cellStyle name="20% - Ênfase2 4" xfId="39" xr:uid="{00000000-0005-0000-0000-00000B000000}"/>
    <cellStyle name="20% - Ênfase3 2" xfId="59" xr:uid="{00000000-0005-0000-0000-00000C000000}"/>
    <cellStyle name="20% - Ênfase3 3" xfId="201" xr:uid="{00000000-0005-0000-0000-00000D000000}"/>
    <cellStyle name="20% - Ênfase3 4" xfId="60" xr:uid="{00000000-0005-0000-0000-00000E000000}"/>
    <cellStyle name="20% - Ênfase4 2" xfId="44" xr:uid="{00000000-0005-0000-0000-00000F000000}"/>
    <cellStyle name="20% - Ênfase4 3" xfId="202" xr:uid="{00000000-0005-0000-0000-000010000000}"/>
    <cellStyle name="20% - Ênfase4 4" xfId="58" xr:uid="{00000000-0005-0000-0000-000011000000}"/>
    <cellStyle name="20% - Ênfase5 2" xfId="56" xr:uid="{00000000-0005-0000-0000-000012000000}"/>
    <cellStyle name="20% - Ênfase5 3" xfId="203" xr:uid="{00000000-0005-0000-0000-000013000000}"/>
    <cellStyle name="20% - Ênfase5 4" xfId="57" xr:uid="{00000000-0005-0000-0000-000014000000}"/>
    <cellStyle name="20% - Ênfase6 2" xfId="55" xr:uid="{00000000-0005-0000-0000-000015000000}"/>
    <cellStyle name="20% - Ênfase6 3" xfId="204" xr:uid="{00000000-0005-0000-0000-000016000000}"/>
    <cellStyle name="20% - Ênfase6 4" xfId="37" xr:uid="{00000000-0005-0000-0000-000017000000}"/>
    <cellStyle name="40% - Accent1" xfId="41" xr:uid="{00000000-0005-0000-0000-000018000000}"/>
    <cellStyle name="40% - Accent2" xfId="54" xr:uid="{00000000-0005-0000-0000-000019000000}"/>
    <cellStyle name="40% - Accent3" xfId="53" xr:uid="{00000000-0005-0000-0000-00001A000000}"/>
    <cellStyle name="40% - Accent4" xfId="67" xr:uid="{00000000-0005-0000-0000-00001B000000}"/>
    <cellStyle name="40% - Accent5" xfId="52" xr:uid="{00000000-0005-0000-0000-00001C000000}"/>
    <cellStyle name="40% - Accent6" xfId="38" xr:uid="{00000000-0005-0000-0000-00001D000000}"/>
    <cellStyle name="40% - Ênfase1 2" xfId="50" xr:uid="{00000000-0005-0000-0000-00001E000000}"/>
    <cellStyle name="40% - Ênfase1 3" xfId="205" xr:uid="{00000000-0005-0000-0000-00001F000000}"/>
    <cellStyle name="40% - Ênfase1 4" xfId="51" xr:uid="{00000000-0005-0000-0000-000020000000}"/>
    <cellStyle name="40% - Ênfase2 2" xfId="48" xr:uid="{00000000-0005-0000-0000-000021000000}"/>
    <cellStyle name="40% - Ênfase2 3" xfId="206" xr:uid="{00000000-0005-0000-0000-000022000000}"/>
    <cellStyle name="40% - Ênfase2 4" xfId="49" xr:uid="{00000000-0005-0000-0000-000023000000}"/>
    <cellStyle name="40% - Ênfase3 2" xfId="46" xr:uid="{00000000-0005-0000-0000-000024000000}"/>
    <cellStyle name="40% - Ênfase3 3" xfId="207" xr:uid="{00000000-0005-0000-0000-000025000000}"/>
    <cellStyle name="40% - Ênfase3 4" xfId="47" xr:uid="{00000000-0005-0000-0000-000026000000}"/>
    <cellStyle name="40% - Ênfase4 2" xfId="68" xr:uid="{00000000-0005-0000-0000-000027000000}"/>
    <cellStyle name="40% - Ênfase4 3" xfId="208" xr:uid="{00000000-0005-0000-0000-000028000000}"/>
    <cellStyle name="40% - Ênfase4 4" xfId="45" xr:uid="{00000000-0005-0000-0000-000029000000}"/>
    <cellStyle name="40% - Ênfase5 2" xfId="70" xr:uid="{00000000-0005-0000-0000-00002A000000}"/>
    <cellStyle name="40% - Ênfase5 3" xfId="209" xr:uid="{00000000-0005-0000-0000-00002B000000}"/>
    <cellStyle name="40% - Ênfase5 4" xfId="69" xr:uid="{00000000-0005-0000-0000-00002C000000}"/>
    <cellStyle name="40% - Ênfase6 2" xfId="72" xr:uid="{00000000-0005-0000-0000-00002D000000}"/>
    <cellStyle name="40% - Ênfase6 3" xfId="210" xr:uid="{00000000-0005-0000-0000-00002E000000}"/>
    <cellStyle name="40% - Ênfase6 4" xfId="71" xr:uid="{00000000-0005-0000-0000-00002F000000}"/>
    <cellStyle name="60% - Accent1" xfId="73" xr:uid="{00000000-0005-0000-0000-000030000000}"/>
    <cellStyle name="60% - Accent2" xfId="74" xr:uid="{00000000-0005-0000-0000-000031000000}"/>
    <cellStyle name="60% - Accent3" xfId="75" xr:uid="{00000000-0005-0000-0000-000032000000}"/>
    <cellStyle name="60% - Accent4" xfId="76" xr:uid="{00000000-0005-0000-0000-000033000000}"/>
    <cellStyle name="60% - Accent5" xfId="77" xr:uid="{00000000-0005-0000-0000-000034000000}"/>
    <cellStyle name="60% - Accent6" xfId="78" xr:uid="{00000000-0005-0000-0000-000035000000}"/>
    <cellStyle name="60% - Ênfase1 2" xfId="80" xr:uid="{00000000-0005-0000-0000-000036000000}"/>
    <cellStyle name="60% - Ênfase1 3" xfId="211" xr:uid="{00000000-0005-0000-0000-000037000000}"/>
    <cellStyle name="60% - Ênfase1 4" xfId="79" xr:uid="{00000000-0005-0000-0000-000038000000}"/>
    <cellStyle name="60% - Ênfase2 2" xfId="82" xr:uid="{00000000-0005-0000-0000-000039000000}"/>
    <cellStyle name="60% - Ênfase2 3" xfId="212" xr:uid="{00000000-0005-0000-0000-00003A000000}"/>
    <cellStyle name="60% - Ênfase2 4" xfId="81" xr:uid="{00000000-0005-0000-0000-00003B000000}"/>
    <cellStyle name="60% - Ênfase3 2" xfId="84" xr:uid="{00000000-0005-0000-0000-00003C000000}"/>
    <cellStyle name="60% - Ênfase3 3" xfId="213" xr:uid="{00000000-0005-0000-0000-00003D000000}"/>
    <cellStyle name="60% - Ênfase3 4" xfId="83" xr:uid="{00000000-0005-0000-0000-00003E000000}"/>
    <cellStyle name="60% - Ênfase4 2" xfId="86" xr:uid="{00000000-0005-0000-0000-00003F000000}"/>
    <cellStyle name="60% - Ênfase4 3" xfId="214" xr:uid="{00000000-0005-0000-0000-000040000000}"/>
    <cellStyle name="60% - Ênfase4 4" xfId="85" xr:uid="{00000000-0005-0000-0000-000041000000}"/>
    <cellStyle name="60% - Ênfase5 2" xfId="88" xr:uid="{00000000-0005-0000-0000-000042000000}"/>
    <cellStyle name="60% - Ênfase5 3" xfId="215" xr:uid="{00000000-0005-0000-0000-000043000000}"/>
    <cellStyle name="60% - Ênfase5 4" xfId="87" xr:uid="{00000000-0005-0000-0000-000044000000}"/>
    <cellStyle name="60% - Ênfase6 2" xfId="90" xr:uid="{00000000-0005-0000-0000-000045000000}"/>
    <cellStyle name="60% - Ênfase6 3" xfId="216" xr:uid="{00000000-0005-0000-0000-000046000000}"/>
    <cellStyle name="60% - Ênfase6 4" xfId="89" xr:uid="{00000000-0005-0000-0000-000047000000}"/>
    <cellStyle name="Accent1" xfId="91" xr:uid="{00000000-0005-0000-0000-000048000000}"/>
    <cellStyle name="Accent2" xfId="92" xr:uid="{00000000-0005-0000-0000-000049000000}"/>
    <cellStyle name="Accent3" xfId="93" xr:uid="{00000000-0005-0000-0000-00004A000000}"/>
    <cellStyle name="Accent4" xfId="94" xr:uid="{00000000-0005-0000-0000-00004B000000}"/>
    <cellStyle name="Accent5" xfId="95" xr:uid="{00000000-0005-0000-0000-00004C000000}"/>
    <cellStyle name="Accent6" xfId="96" xr:uid="{00000000-0005-0000-0000-00004D000000}"/>
    <cellStyle name="Bad" xfId="97" xr:uid="{00000000-0005-0000-0000-00004E000000}"/>
    <cellStyle name="Bol-Data" xfId="8" xr:uid="{00000000-0005-0000-0000-00004F000000}"/>
    <cellStyle name="bolet" xfId="9" xr:uid="{00000000-0005-0000-0000-000050000000}"/>
    <cellStyle name="Boletim" xfId="10" xr:uid="{00000000-0005-0000-0000-000051000000}"/>
    <cellStyle name="Bom 2" xfId="98" xr:uid="{00000000-0005-0000-0000-000052000000}"/>
    <cellStyle name="Calculation" xfId="99" xr:uid="{00000000-0005-0000-0000-000053000000}"/>
    <cellStyle name="Cálculo 2" xfId="101" xr:uid="{00000000-0005-0000-0000-000054000000}"/>
    <cellStyle name="Cálculo 3" xfId="217" xr:uid="{00000000-0005-0000-0000-000055000000}"/>
    <cellStyle name="Cálculo 4" xfId="100" xr:uid="{00000000-0005-0000-0000-000056000000}"/>
    <cellStyle name="Célula de Verificação 2" xfId="102" xr:uid="{00000000-0005-0000-0000-000057000000}"/>
    <cellStyle name="Célula Vinculada 2" xfId="103" xr:uid="{00000000-0005-0000-0000-000058000000}"/>
    <cellStyle name="Dan" xfId="11" xr:uid="{00000000-0005-0000-0000-00005B000000}"/>
    <cellStyle name="Ênfase1 2" xfId="105" xr:uid="{00000000-0005-0000-0000-00005C000000}"/>
    <cellStyle name="Ênfase1 3" xfId="218" xr:uid="{00000000-0005-0000-0000-00005D000000}"/>
    <cellStyle name="Ênfase1 4" xfId="104" xr:uid="{00000000-0005-0000-0000-00005E000000}"/>
    <cellStyle name="Ênfase2 2" xfId="107" xr:uid="{00000000-0005-0000-0000-00005F000000}"/>
    <cellStyle name="Ênfase2 3" xfId="219" xr:uid="{00000000-0005-0000-0000-000060000000}"/>
    <cellStyle name="Ênfase2 4" xfId="106" xr:uid="{00000000-0005-0000-0000-000061000000}"/>
    <cellStyle name="Ênfase3 2" xfId="109" xr:uid="{00000000-0005-0000-0000-000062000000}"/>
    <cellStyle name="Ênfase3 3" xfId="220" xr:uid="{00000000-0005-0000-0000-000063000000}"/>
    <cellStyle name="Ênfase3 4" xfId="108" xr:uid="{00000000-0005-0000-0000-000064000000}"/>
    <cellStyle name="Ênfase4 2" xfId="111" xr:uid="{00000000-0005-0000-0000-000065000000}"/>
    <cellStyle name="Ênfase4 3" xfId="221" xr:uid="{00000000-0005-0000-0000-000066000000}"/>
    <cellStyle name="Ênfase4 4" xfId="110" xr:uid="{00000000-0005-0000-0000-000067000000}"/>
    <cellStyle name="Ênfase5 2" xfId="113" xr:uid="{00000000-0005-0000-0000-000068000000}"/>
    <cellStyle name="Ênfase5 3" xfId="222" xr:uid="{00000000-0005-0000-0000-000069000000}"/>
    <cellStyle name="Ênfase5 4" xfId="112" xr:uid="{00000000-0005-0000-0000-00006A000000}"/>
    <cellStyle name="Ênfase6 2" xfId="115" xr:uid="{00000000-0005-0000-0000-00006B000000}"/>
    <cellStyle name="Ênfase6 3" xfId="223" xr:uid="{00000000-0005-0000-0000-00006C000000}"/>
    <cellStyle name="Ênfase6 4" xfId="114" xr:uid="{00000000-0005-0000-0000-00006D000000}"/>
    <cellStyle name="Entrada 2" xfId="116" xr:uid="{00000000-0005-0000-0000-00006E000000}"/>
    <cellStyle name="Euro" xfId="12" xr:uid="{00000000-0005-0000-0000-00006F000000}"/>
    <cellStyle name="Euro 2" xfId="117" xr:uid="{00000000-0005-0000-0000-000070000000}"/>
    <cellStyle name="Euro 2 2" xfId="118" xr:uid="{00000000-0005-0000-0000-000071000000}"/>
    <cellStyle name="Euro 3" xfId="119" xr:uid="{00000000-0005-0000-0000-000072000000}"/>
    <cellStyle name="Explanatory Text" xfId="120" xr:uid="{00000000-0005-0000-0000-000073000000}"/>
    <cellStyle name="Heading" xfId="13" xr:uid="{00000000-0005-0000-0000-000074000000}"/>
    <cellStyle name="Heading 1" xfId="121" xr:uid="{00000000-0005-0000-0000-000075000000}"/>
    <cellStyle name="Heading 2" xfId="122" xr:uid="{00000000-0005-0000-0000-000076000000}"/>
    <cellStyle name="Heading 3" xfId="123" xr:uid="{00000000-0005-0000-0000-000077000000}"/>
    <cellStyle name="Heading 4" xfId="124" xr:uid="{00000000-0005-0000-0000-000078000000}"/>
    <cellStyle name="Incorreto 2" xfId="126" xr:uid="{00000000-0005-0000-0000-000079000000}"/>
    <cellStyle name="Incorreto 3" xfId="224" xr:uid="{00000000-0005-0000-0000-00007A000000}"/>
    <cellStyle name="Incorreto 4" xfId="125" xr:uid="{00000000-0005-0000-0000-00007B000000}"/>
    <cellStyle name="Indent" xfId="14" xr:uid="{00000000-0005-0000-0000-00007C000000}"/>
    <cellStyle name="Indent 2" xfId="127" xr:uid="{00000000-0005-0000-0000-00007D000000}"/>
    <cellStyle name="Moeda 2" xfId="129" xr:uid="{00000000-0005-0000-0000-00007E000000}"/>
    <cellStyle name="Moeda 3" xfId="225" xr:uid="{00000000-0005-0000-0000-00007F000000}"/>
    <cellStyle name="Moeda 4" xfId="128" xr:uid="{00000000-0005-0000-0000-000080000000}"/>
    <cellStyle name="Neutra 2" xfId="130" xr:uid="{00000000-0005-0000-0000-000081000000}"/>
    <cellStyle name="Normal" xfId="0" builtinId="0"/>
    <cellStyle name="Normal 12" xfId="245" xr:uid="{00000000-0005-0000-0000-000083000000}"/>
    <cellStyle name="Normal 2" xfId="15" xr:uid="{00000000-0005-0000-0000-000084000000}"/>
    <cellStyle name="Normal 2 2" xfId="36" xr:uid="{00000000-0005-0000-0000-000085000000}"/>
    <cellStyle name="Normal 2 3" xfId="197" xr:uid="{00000000-0005-0000-0000-000086000000}"/>
    <cellStyle name="Normal 3" xfId="16" xr:uid="{00000000-0005-0000-0000-000087000000}"/>
    <cellStyle name="Normal 3 2" xfId="131" xr:uid="{00000000-0005-0000-0000-000088000000}"/>
    <cellStyle name="Normal 4" xfId="132" xr:uid="{00000000-0005-0000-0000-000089000000}"/>
    <cellStyle name="Normal 4 2" xfId="17" xr:uid="{00000000-0005-0000-0000-00008A000000}"/>
    <cellStyle name="Normal 4 3" xfId="133" xr:uid="{00000000-0005-0000-0000-00008B000000}"/>
    <cellStyle name="Normal 5" xfId="195" xr:uid="{00000000-0005-0000-0000-00008C000000}"/>
    <cellStyle name="Normal 6" xfId="239" xr:uid="{00000000-0005-0000-0000-00008D000000}"/>
    <cellStyle name="Normal 7" xfId="241" xr:uid="{00000000-0005-0000-0000-00008E000000}"/>
    <cellStyle name="Normal 8" xfId="247" xr:uid="{BA7B41C5-1B3B-41C6-B9C6-D5C7F9F064A3}"/>
    <cellStyle name="Normal 8 2" xfId="301" xr:uid="{66CB5290-4760-4043-9913-71A0FAD75ECA}"/>
    <cellStyle name="Normal 9" xfId="250" xr:uid="{1B87B281-FC9D-45BB-A177-A78DEB1B2D9E}"/>
    <cellStyle name="Normal_DRE Marisa 3T07 MZ" xfId="4" xr:uid="{00000000-0005-0000-0000-00008F000000}"/>
    <cellStyle name="Normal_Pasta1" xfId="244" xr:uid="{00000000-0005-0000-0000-000090000000}"/>
    <cellStyle name="Nota 2" xfId="134" xr:uid="{00000000-0005-0000-0000-000091000000}"/>
    <cellStyle name="Output" xfId="135" xr:uid="{00000000-0005-0000-0000-000092000000}"/>
    <cellStyle name="Percent 2" xfId="18" xr:uid="{00000000-0005-0000-0000-000093000000}"/>
    <cellStyle name="Porcentagem" xfId="2" builtinId="5"/>
    <cellStyle name="Porcentagem 10" xfId="226" xr:uid="{00000000-0005-0000-0000-000096000000}"/>
    <cellStyle name="Porcentagem 11" xfId="238" xr:uid="{00000000-0005-0000-0000-000097000000}"/>
    <cellStyle name="Porcentagem 12" xfId="242" xr:uid="{00000000-0005-0000-0000-000098000000}"/>
    <cellStyle name="Porcentagem 2" xfId="19" xr:uid="{00000000-0005-0000-0000-000099000000}"/>
    <cellStyle name="Porcentagem 2 2" xfId="136" xr:uid="{00000000-0005-0000-0000-00009A000000}"/>
    <cellStyle name="Porcentagem 2 2 2" xfId="240" xr:uid="{00000000-0005-0000-0000-00009B000000}"/>
    <cellStyle name="Porcentagem 2 3" xfId="198" xr:uid="{00000000-0005-0000-0000-00009C000000}"/>
    <cellStyle name="Porcentagem 3" xfId="20" xr:uid="{00000000-0005-0000-0000-00009D000000}"/>
    <cellStyle name="Porcentagem 3 2" xfId="137" xr:uid="{00000000-0005-0000-0000-00009E000000}"/>
    <cellStyle name="Porcentagem 3 3" xfId="138" xr:uid="{00000000-0005-0000-0000-00009F000000}"/>
    <cellStyle name="Porcentagem 4" xfId="7" xr:uid="{00000000-0005-0000-0000-0000A0000000}"/>
    <cellStyle name="Porcentagem 4 2" xfId="139" xr:uid="{00000000-0005-0000-0000-0000A1000000}"/>
    <cellStyle name="Porcentagem 5" xfId="21" xr:uid="{00000000-0005-0000-0000-0000A2000000}"/>
    <cellStyle name="Porcentagem 5 2" xfId="140" xr:uid="{00000000-0005-0000-0000-0000A3000000}"/>
    <cellStyle name="Porcentagem 6" xfId="22" xr:uid="{00000000-0005-0000-0000-0000A4000000}"/>
    <cellStyle name="Porcentagem 6 2" xfId="141" xr:uid="{00000000-0005-0000-0000-0000A5000000}"/>
    <cellStyle name="Porcentagem 7" xfId="23" xr:uid="{00000000-0005-0000-0000-0000A6000000}"/>
    <cellStyle name="Porcentagem 7 2" xfId="142" xr:uid="{00000000-0005-0000-0000-0000A7000000}"/>
    <cellStyle name="Porcentagem 8" xfId="143" xr:uid="{00000000-0005-0000-0000-0000A8000000}"/>
    <cellStyle name="Porcentagem 9" xfId="144" xr:uid="{00000000-0005-0000-0000-0000A9000000}"/>
    <cellStyle name="Saída 2" xfId="146" xr:uid="{00000000-0005-0000-0000-0000AA000000}"/>
    <cellStyle name="Saída 3" xfId="227" xr:uid="{00000000-0005-0000-0000-0000AB000000}"/>
    <cellStyle name="Saída 4" xfId="145" xr:uid="{00000000-0005-0000-0000-0000AC000000}"/>
    <cellStyle name="Sep. milhar [0]" xfId="24" xr:uid="{00000000-0005-0000-0000-0000AD000000}"/>
    <cellStyle name="Separador de milhares 10" xfId="228" xr:uid="{00000000-0005-0000-0000-0000AE000000}"/>
    <cellStyle name="Separador de milhares 10 2" xfId="296" xr:uid="{C748C168-7121-402C-A315-FD6E0378F05D}"/>
    <cellStyle name="Separador de milhares 11" xfId="191" xr:uid="{00000000-0005-0000-0000-0000AF000000}"/>
    <cellStyle name="Separador de milhares 11 2" xfId="291" xr:uid="{B03F03CC-16AD-4F73-A76E-46B8165D8087}"/>
    <cellStyle name="Separador de milhares 2" xfId="25" xr:uid="{00000000-0005-0000-0000-0000B0000000}"/>
    <cellStyle name="Separador de milhares 2 2" xfId="26" xr:uid="{00000000-0005-0000-0000-0000B1000000}"/>
    <cellStyle name="Separador de milhares 2 2 2" xfId="149" xr:uid="{00000000-0005-0000-0000-0000B2000000}"/>
    <cellStyle name="Separador de milhares 2 2 2 2" xfId="265" xr:uid="{08C7644D-BFA7-4103-A259-F755B7CC7C71}"/>
    <cellStyle name="Separador de milhares 2 2 3" xfId="148" xr:uid="{00000000-0005-0000-0000-0000B3000000}"/>
    <cellStyle name="Separador de milhares 2 2 3 2" xfId="264" xr:uid="{B5AB041A-EF35-4B15-8004-F162416ABB72}"/>
    <cellStyle name="Separador de milhares 2 2 4" xfId="256" xr:uid="{4FA56CAE-4C1A-4381-A13B-EA6A5BBEB7CC}"/>
    <cellStyle name="Separador de milhares 2 3" xfId="150" xr:uid="{00000000-0005-0000-0000-0000B4000000}"/>
    <cellStyle name="Separador de milhares 2 3 2" xfId="266" xr:uid="{6218F67D-3688-440E-BAE9-8391A2C6F9BF}"/>
    <cellStyle name="Separador de milhares 2 4" xfId="147" xr:uid="{00000000-0005-0000-0000-0000B5000000}"/>
    <cellStyle name="Separador de milhares 2 4 2" xfId="263" xr:uid="{B0120C4B-26C3-4EAD-9DEA-4795217F7076}"/>
    <cellStyle name="Separador de milhares 2 5" xfId="255" xr:uid="{E86CCBC4-783D-4041-89CE-67833B44CB49}"/>
    <cellStyle name="Separador de milhares 3" xfId="3" xr:uid="{00000000-0005-0000-0000-0000B6000000}"/>
    <cellStyle name="Separador de milhares 3 2" xfId="152" xr:uid="{00000000-0005-0000-0000-0000B7000000}"/>
    <cellStyle name="Separador de milhares 3 2 2" xfId="268" xr:uid="{4A2CE3FE-83F2-4F39-B6A9-11F0C2A3BBEB}"/>
    <cellStyle name="Separador de milhares 3 3" xfId="153" xr:uid="{00000000-0005-0000-0000-0000B8000000}"/>
    <cellStyle name="Separador de milhares 3 3 2" xfId="269" xr:uid="{316734BC-D65F-4691-90A0-F8641509D0BE}"/>
    <cellStyle name="Separador de milhares 3 4" xfId="154" xr:uid="{00000000-0005-0000-0000-0000B9000000}"/>
    <cellStyle name="Separador de milhares 3 4 2" xfId="270" xr:uid="{5ED3F931-C53C-4BB3-B327-41F887AA305B}"/>
    <cellStyle name="Separador de milhares 3 5" xfId="151" xr:uid="{00000000-0005-0000-0000-0000BA000000}"/>
    <cellStyle name="Separador de milhares 3 5 2" xfId="267" xr:uid="{8804E1CE-F429-4E29-AF89-615BF7D457B2}"/>
    <cellStyle name="Separador de milhares 3 6" xfId="252" xr:uid="{E9CCAF50-0FBC-4784-BD8C-6F3A85E0E40A}"/>
    <cellStyle name="Separador de milhares 4" xfId="5" xr:uid="{00000000-0005-0000-0000-0000BB000000}"/>
    <cellStyle name="Separador de milhares 4 2" xfId="6" xr:uid="{00000000-0005-0000-0000-0000BC000000}"/>
    <cellStyle name="Separador de milhares 4 2 2" xfId="157" xr:uid="{00000000-0005-0000-0000-0000BD000000}"/>
    <cellStyle name="Separador de milhares 4 2 2 2" xfId="273" xr:uid="{A3A3ED32-7C79-41DE-BCA4-CB97FF36ECA0}"/>
    <cellStyle name="Separador de milhares 4 2 3" xfId="156" xr:uid="{00000000-0005-0000-0000-0000BE000000}"/>
    <cellStyle name="Separador de milhares 4 2 3 2" xfId="272" xr:uid="{8739E033-8BB3-40D0-93D7-7FB3D0CBE961}"/>
    <cellStyle name="Separador de milhares 4 2 4" xfId="254" xr:uid="{436B638D-234D-4D1C-9D11-A4330D6E01A0}"/>
    <cellStyle name="Separador de milhares 4 3" xfId="158" xr:uid="{00000000-0005-0000-0000-0000BF000000}"/>
    <cellStyle name="Separador de milhares 4 3 2" xfId="274" xr:uid="{991ADAE4-2A64-4B56-B777-FB6534AC78D8}"/>
    <cellStyle name="Separador de milhares 4 4" xfId="236" xr:uid="{00000000-0005-0000-0000-0000C0000000}"/>
    <cellStyle name="Separador de milhares 4 4 2" xfId="297" xr:uid="{A24C3C38-1C09-45BD-8DD1-C0B851E2DCFC}"/>
    <cellStyle name="Separador de milhares 4 5" xfId="155" xr:uid="{00000000-0005-0000-0000-0000C1000000}"/>
    <cellStyle name="Separador de milhares 4 5 2" xfId="271" xr:uid="{33C4163D-A315-4BBE-A554-E7DC21321594}"/>
    <cellStyle name="Separador de milhares 4 6" xfId="253" xr:uid="{D2F6515A-4F8C-4DB0-A0C7-9A93FA735728}"/>
    <cellStyle name="Separador de milhares 5" xfId="27" xr:uid="{00000000-0005-0000-0000-0000C2000000}"/>
    <cellStyle name="Separador de milhares 5 2" xfId="28" xr:uid="{00000000-0005-0000-0000-0000C3000000}"/>
    <cellStyle name="Separador de milhares 5 2 2" xfId="161" xr:uid="{00000000-0005-0000-0000-0000C4000000}"/>
    <cellStyle name="Separador de milhares 5 2 2 2" xfId="277" xr:uid="{5718C8A6-AFDB-436F-A3C7-20C2EA93EC16}"/>
    <cellStyle name="Separador de milhares 5 2 3" xfId="160" xr:uid="{00000000-0005-0000-0000-0000C5000000}"/>
    <cellStyle name="Separador de milhares 5 2 3 2" xfId="276" xr:uid="{99CD3976-528E-4D59-8BD3-19B754ADF2DB}"/>
    <cellStyle name="Separador de milhares 5 2 4" xfId="258" xr:uid="{9CA49015-7603-4B2E-974F-84CF7C710CDE}"/>
    <cellStyle name="Separador de milhares 5 3" xfId="162" xr:uid="{00000000-0005-0000-0000-0000C6000000}"/>
    <cellStyle name="Separador de milhares 5 3 2" xfId="278" xr:uid="{A6C97D13-38E5-4934-84D6-29CB85BCC379}"/>
    <cellStyle name="Separador de milhares 5 4" xfId="159" xr:uid="{00000000-0005-0000-0000-0000C7000000}"/>
    <cellStyle name="Separador de milhares 5 4 2" xfId="275" xr:uid="{3311F43C-8569-413F-B055-A9EC15B038EA}"/>
    <cellStyle name="Separador de milhares 5 5" xfId="257" xr:uid="{CDA6CC6B-8AE7-46A7-BBD0-B3665624D742}"/>
    <cellStyle name="Separador de milhares 6" xfId="29" xr:uid="{00000000-0005-0000-0000-0000C8000000}"/>
    <cellStyle name="Separador de milhares 6 2" xfId="164" xr:uid="{00000000-0005-0000-0000-0000C9000000}"/>
    <cellStyle name="Separador de milhares 6 2 2" xfId="280" xr:uid="{715C6638-884B-4CEA-939C-95576D56DB13}"/>
    <cellStyle name="Separador de milhares 6 3" xfId="165" xr:uid="{00000000-0005-0000-0000-0000CA000000}"/>
    <cellStyle name="Separador de milhares 6 3 2" xfId="281" xr:uid="{1E4EBF65-F8D1-48EF-A15B-85A07B7A015F}"/>
    <cellStyle name="Separador de milhares 6 4" xfId="163" xr:uid="{00000000-0005-0000-0000-0000CB000000}"/>
    <cellStyle name="Separador de milhares 6 4 2" xfId="279" xr:uid="{5945FCB4-FDBB-4008-994C-3EC998A421CC}"/>
    <cellStyle name="Separador de milhares 6 5" xfId="259" xr:uid="{6A52B3D0-9273-4DAF-A0C7-B028B7366B6C}"/>
    <cellStyle name="Separador de milhares 7" xfId="30" xr:uid="{00000000-0005-0000-0000-0000CC000000}"/>
    <cellStyle name="Separador de milhares 7 2" xfId="167" xr:uid="{00000000-0005-0000-0000-0000CD000000}"/>
    <cellStyle name="Separador de milhares 7 2 2" xfId="283" xr:uid="{22E2A1BF-D6BC-4C29-9562-B8AC1E6D47E2}"/>
    <cellStyle name="Separador de milhares 7 3" xfId="168" xr:uid="{00000000-0005-0000-0000-0000CE000000}"/>
    <cellStyle name="Separador de milhares 7 3 2" xfId="284" xr:uid="{7A0DD63A-4790-42C0-8441-C5E4378C1D52}"/>
    <cellStyle name="Separador de milhares 7 4" xfId="166" xr:uid="{00000000-0005-0000-0000-0000CF000000}"/>
    <cellStyle name="Separador de milhares 7 4 2" xfId="282" xr:uid="{717FBB3C-5DAA-42ED-8B70-79A7F40FF7F1}"/>
    <cellStyle name="Separador de milhares 7 5" xfId="260" xr:uid="{12D596C8-DC75-49AF-9969-BCC80067E59C}"/>
    <cellStyle name="Separador de milhares 8" xfId="31" xr:uid="{00000000-0005-0000-0000-0000D0000000}"/>
    <cellStyle name="Separador de milhares 8 2" xfId="170" xr:uid="{00000000-0005-0000-0000-0000D1000000}"/>
    <cellStyle name="Separador de milhares 8 2 2" xfId="286" xr:uid="{66DDB58B-37F8-4305-804C-5846479F4C99}"/>
    <cellStyle name="Separador de milhares 8 3" xfId="171" xr:uid="{00000000-0005-0000-0000-0000D2000000}"/>
    <cellStyle name="Separador de milhares 8 3 2" xfId="287" xr:uid="{EC35369C-89E8-48DB-84E9-C8C778CE9F4E}"/>
    <cellStyle name="Separador de milhares 8 4" xfId="169" xr:uid="{00000000-0005-0000-0000-0000D3000000}"/>
    <cellStyle name="Separador de milhares 8 4 2" xfId="285" xr:uid="{183BF49D-28E6-44AF-AE8D-34574157C3E0}"/>
    <cellStyle name="Separador de milhares 8 5" xfId="261" xr:uid="{62114ADC-3433-4B1D-9698-CB9EC037751D}"/>
    <cellStyle name="Separador de milhares 9" xfId="32" xr:uid="{00000000-0005-0000-0000-0000D4000000}"/>
    <cellStyle name="Separador de milhares 9 2" xfId="173" xr:uid="{00000000-0005-0000-0000-0000D5000000}"/>
    <cellStyle name="Separador de milhares 9 2 2" xfId="289" xr:uid="{9A1DBD1E-7EDB-4FFE-8E33-AD828FB750B2}"/>
    <cellStyle name="Separador de milhares 9 3" xfId="174" xr:uid="{00000000-0005-0000-0000-0000D6000000}"/>
    <cellStyle name="Separador de milhares 9 3 2" xfId="290" xr:uid="{4CD04319-1780-4646-B3E3-36BEDC58AE02}"/>
    <cellStyle name="Separador de milhares 9 4" xfId="172" xr:uid="{00000000-0005-0000-0000-0000D7000000}"/>
    <cellStyle name="Separador de milhares 9 4 2" xfId="288" xr:uid="{DC025B23-6283-4D25-8BAF-61D366822E83}"/>
    <cellStyle name="Separador de milhares 9 5" xfId="262" xr:uid="{7633244D-BD98-4B08-A1A1-2AD3C13750E5}"/>
    <cellStyle name="STYLE1 - Style1" xfId="33" xr:uid="{00000000-0005-0000-0000-0000D8000000}"/>
    <cellStyle name="STYLE2 - Style2" xfId="34" xr:uid="{00000000-0005-0000-0000-0000D9000000}"/>
    <cellStyle name="SubHeading" xfId="35" xr:uid="{00000000-0005-0000-0000-0000DA000000}"/>
    <cellStyle name="Texto de Aviso 2" xfId="175" xr:uid="{00000000-0005-0000-0000-0000DB000000}"/>
    <cellStyle name="Texto Explicativo 2" xfId="177" xr:uid="{00000000-0005-0000-0000-0000DC000000}"/>
    <cellStyle name="Texto Explicativo 3" xfId="229" xr:uid="{00000000-0005-0000-0000-0000DD000000}"/>
    <cellStyle name="Texto Explicativo 4" xfId="176" xr:uid="{00000000-0005-0000-0000-0000DE000000}"/>
    <cellStyle name="Title" xfId="178" xr:uid="{00000000-0005-0000-0000-0000DF000000}"/>
    <cellStyle name="Título 1 2" xfId="181" xr:uid="{00000000-0005-0000-0000-0000E0000000}"/>
    <cellStyle name="Título 1 3" xfId="230" xr:uid="{00000000-0005-0000-0000-0000E1000000}"/>
    <cellStyle name="Título 1 4" xfId="180" xr:uid="{00000000-0005-0000-0000-0000E2000000}"/>
    <cellStyle name="Título 2 2" xfId="183" xr:uid="{00000000-0005-0000-0000-0000E3000000}"/>
    <cellStyle name="Título 2 3" xfId="231" xr:uid="{00000000-0005-0000-0000-0000E4000000}"/>
    <cellStyle name="Título 2 4" xfId="182" xr:uid="{00000000-0005-0000-0000-0000E5000000}"/>
    <cellStyle name="Título 3 2" xfId="185" xr:uid="{00000000-0005-0000-0000-0000E6000000}"/>
    <cellStyle name="Título 3 3" xfId="232" xr:uid="{00000000-0005-0000-0000-0000E7000000}"/>
    <cellStyle name="Título 3 4" xfId="184" xr:uid="{00000000-0005-0000-0000-0000E8000000}"/>
    <cellStyle name="Título 4 2" xfId="187" xr:uid="{00000000-0005-0000-0000-0000E9000000}"/>
    <cellStyle name="Título 4 3" xfId="233" xr:uid="{00000000-0005-0000-0000-0000EA000000}"/>
    <cellStyle name="Título 4 4" xfId="186" xr:uid="{00000000-0005-0000-0000-0000EB000000}"/>
    <cellStyle name="Título 5" xfId="188" xr:uid="{00000000-0005-0000-0000-0000EC000000}"/>
    <cellStyle name="Título 6" xfId="234" xr:uid="{00000000-0005-0000-0000-0000ED000000}"/>
    <cellStyle name="Título 7" xfId="179" xr:uid="{00000000-0005-0000-0000-0000EE000000}"/>
    <cellStyle name="Total 2" xfId="190" xr:uid="{00000000-0005-0000-0000-0000EF000000}"/>
    <cellStyle name="Total 3" xfId="235" xr:uid="{00000000-0005-0000-0000-0000F0000000}"/>
    <cellStyle name="Total 4" xfId="189" xr:uid="{00000000-0005-0000-0000-0000F1000000}"/>
    <cellStyle name="Vírgula" xfId="1" builtinId="3"/>
    <cellStyle name="Vírgula 2" xfId="192" xr:uid="{00000000-0005-0000-0000-0000F3000000}"/>
    <cellStyle name="Vírgula 2 2" xfId="249" xr:uid="{0EA2D383-FC4A-4AB8-BC9A-98F50DB3F00E}"/>
    <cellStyle name="Vírgula 2 2 2" xfId="303" xr:uid="{960328AD-7C28-4538-BEE0-A19993DEA586}"/>
    <cellStyle name="Vírgula 2 3" xfId="292" xr:uid="{7B5B44DB-0C34-472E-ADD8-B3F0CDA04E98}"/>
    <cellStyle name="Vírgula 3" xfId="193" xr:uid="{00000000-0005-0000-0000-0000F4000000}"/>
    <cellStyle name="Vírgula 3 2" xfId="293" xr:uid="{2EB2AB3B-9E18-4F83-AB57-5BC137264429}"/>
    <cellStyle name="Vírgula 4" xfId="194" xr:uid="{00000000-0005-0000-0000-0000F5000000}"/>
    <cellStyle name="Vírgula 4 2" xfId="294" xr:uid="{D6701F6F-7478-4520-BBDA-58C9630E69AC}"/>
    <cellStyle name="Vírgula 5" xfId="196" xr:uid="{00000000-0005-0000-0000-0000F6000000}"/>
    <cellStyle name="Vírgula 5 2" xfId="295" xr:uid="{65B67E63-8112-4BFE-8DD1-EAAB02DE873A}"/>
    <cellStyle name="Vírgula 6" xfId="237" xr:uid="{00000000-0005-0000-0000-0000F7000000}"/>
    <cellStyle name="Vírgula 6 2" xfId="298" xr:uid="{948D4995-6C63-4806-8580-2CC0077A5E3D}"/>
    <cellStyle name="Vírgula 7" xfId="248" xr:uid="{56366935-E0F4-4C09-83C8-9F68946D6A3A}"/>
    <cellStyle name="Vírgula 7 2" xfId="246" xr:uid="{00000000-0005-0000-0000-0000F8000000}"/>
    <cellStyle name="Vírgula 7 2 2" xfId="300" xr:uid="{75B5B37F-68AA-45A1-8DE5-20FC728A8ED8}"/>
    <cellStyle name="Vírgula 7 3" xfId="302" xr:uid="{631B5508-6EFB-4F28-9637-905CAAD25898}"/>
    <cellStyle name="Vírgula 8" xfId="251" xr:uid="{6884BBE9-CFE3-4397-B4FC-9A926828F32A}"/>
    <cellStyle name="Vírgula 9" xfId="243" xr:uid="{00000000-0005-0000-0000-0000F9000000}"/>
    <cellStyle name="Vírgula 9 2" xfId="299" xr:uid="{4B977DDA-E71F-4E3C-918E-23BBE0033A2A}"/>
  </cellStyles>
  <dxfs count="0"/>
  <tableStyles count="0" defaultTableStyle="TableStyleMedium9" defaultPivotStyle="PivotStyleLight16"/>
  <colors>
    <mruColors>
      <color rgb="FFEC008C"/>
      <color rgb="FFFFCCFF"/>
      <color rgb="FFFF99FF"/>
      <color rgb="FFEC006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'&#205;ndice - Index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'&#205;ndice - Index'!A1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7.png"/><Relationship Id="rId1" Type="http://schemas.openxmlformats.org/officeDocument/2006/relationships/hyperlink" Target="#'&#205;ndice - Index'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hyperlink" Target="#'&#205;ndice - Index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526677</xdr:colOff>
      <xdr:row>16</xdr:row>
      <xdr:rowOff>3</xdr:rowOff>
    </xdr:from>
    <xdr:to>
      <xdr:col>9</xdr:col>
      <xdr:colOff>526676</xdr:colOff>
      <xdr:row>24</xdr:row>
      <xdr:rowOff>212914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927412" y="3675532"/>
          <a:ext cx="3978088" cy="1938617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800" b="1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Contatos</a:t>
          </a:r>
          <a:r>
            <a:rPr lang="pt-BR" sz="18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- Contact Information</a:t>
          </a:r>
          <a:endParaRPr lang="pt-BR" sz="18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u="sng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Investor Relations</a:t>
          </a:r>
          <a:r>
            <a:rPr lang="pt-BR" sz="1300" b="1" u="sng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 Team</a:t>
          </a: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Edson Garcia</a:t>
          </a:r>
        </a:p>
        <a:p>
          <a:pPr algn="l"/>
          <a:endParaRPr lang="pt-BR" sz="1300" b="1" baseline="0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  <a:p>
          <a:pPr algn="l"/>
          <a:r>
            <a:rPr lang="pt-BR" sz="1300" b="1" baseline="0">
              <a:solidFill>
                <a:schemeClr val="tx1">
                  <a:lumMod val="65000"/>
                  <a:lumOff val="35000"/>
                </a:schemeClr>
              </a:solidFill>
              <a:latin typeface="Pluto Cond Light" panose="020B0306020203060204" pitchFamily="34" charset="0"/>
            </a:rPr>
            <a:t>Email: dri@marisa.com.br</a:t>
          </a:r>
          <a:endParaRPr lang="pt-BR" sz="1300" b="1">
            <a:solidFill>
              <a:schemeClr val="tx1">
                <a:lumMod val="65000"/>
                <a:lumOff val="35000"/>
              </a:schemeClr>
            </a:solidFill>
            <a:latin typeface="Pluto Cond Light" panose="020B0306020203060204" pitchFamily="34" charset="0"/>
          </a:endParaRPr>
        </a:p>
      </xdr:txBody>
    </xdr:sp>
    <xdr:clientData/>
  </xdr:twoCellAnchor>
  <xdr:twoCellAnchor editAs="oneCell">
    <xdr:from>
      <xdr:col>2</xdr:col>
      <xdr:colOff>67234</xdr:colOff>
      <xdr:row>2</xdr:row>
      <xdr:rowOff>85689</xdr:rowOff>
    </xdr:from>
    <xdr:to>
      <xdr:col>6</xdr:col>
      <xdr:colOff>277758</xdr:colOff>
      <xdr:row>5</xdr:row>
      <xdr:rowOff>11205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64FA685-AD69-4C8B-8ED8-EDEF1E02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7969" y="511513"/>
          <a:ext cx="2624645" cy="564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0</xdr:row>
      <xdr:rowOff>116204</xdr:rowOff>
    </xdr:from>
    <xdr:to>
      <xdr:col>0</xdr:col>
      <xdr:colOff>590550</xdr:colOff>
      <xdr:row>3</xdr:row>
      <xdr:rowOff>63500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27FEA-F8FC-4545-89F2-FBE37BCAFABF}"/>
            </a:ext>
          </a:extLst>
        </xdr:cNvPr>
        <xdr:cNvGrpSpPr/>
      </xdr:nvGrpSpPr>
      <xdr:grpSpPr>
        <a:xfrm>
          <a:off x="44450" y="116204"/>
          <a:ext cx="546100" cy="481572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3978DBD6-744C-4002-B2B6-577C32E4B2C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7949F8C6-4332-4C0E-A891-1C162B3F905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75266</xdr:colOff>
      <xdr:row>0</xdr:row>
      <xdr:rowOff>8032</xdr:rowOff>
    </xdr:from>
    <xdr:to>
      <xdr:col>82</xdr:col>
      <xdr:colOff>621366</xdr:colOff>
      <xdr:row>2</xdr:row>
      <xdr:rowOff>155727</xdr:rowOff>
    </xdr:to>
    <xdr:grpSp>
      <xdr:nvGrpSpPr>
        <xdr:cNvPr id="11" name="Agrupar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65365-31EB-46C2-B694-8B69DF610A48}"/>
            </a:ext>
          </a:extLst>
        </xdr:cNvPr>
        <xdr:cNvGrpSpPr/>
      </xdr:nvGrpSpPr>
      <xdr:grpSpPr>
        <a:xfrm>
          <a:off x="7536240" y="8032"/>
          <a:ext cx="546100" cy="478999"/>
          <a:chOff x="5677535" y="949959"/>
          <a:chExt cx="582930" cy="533400"/>
        </a:xfrm>
      </xdr:grpSpPr>
      <xdr:pic>
        <xdr:nvPicPr>
          <xdr:cNvPr id="12" name="Imagem 11">
            <a:extLst>
              <a:ext uri="{FF2B5EF4-FFF2-40B4-BE49-F238E27FC236}">
                <a16:creationId xmlns:a16="http://schemas.microsoft.com/office/drawing/2014/main" id="{C71B9647-0732-446B-BB91-DABABD66BE76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m 12">
            <a:extLst>
              <a:ext uri="{FF2B5EF4-FFF2-40B4-BE49-F238E27FC236}">
                <a16:creationId xmlns:a16="http://schemas.microsoft.com/office/drawing/2014/main" id="{C414DD5B-6146-4D0D-9B8D-7A6E423B31A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88</xdr:col>
      <xdr:colOff>540456</xdr:colOff>
      <xdr:row>4</xdr:row>
      <xdr:rowOff>134055</xdr:rowOff>
    </xdr:from>
    <xdr:to>
      <xdr:col>100</xdr:col>
      <xdr:colOff>260703</xdr:colOff>
      <xdr:row>45</xdr:row>
      <xdr:rowOff>155222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ED2A69D-39B5-6588-65A2-E63BECD26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59456" y="994833"/>
          <a:ext cx="7424914" cy="6716889"/>
        </a:xfrm>
        <a:prstGeom prst="rect">
          <a:avLst/>
        </a:prstGeom>
      </xdr:spPr>
    </xdr:pic>
    <xdr:clientData/>
  </xdr:twoCellAnchor>
  <xdr:twoCellAnchor>
    <xdr:from>
      <xdr:col>88</xdr:col>
      <xdr:colOff>216377</xdr:colOff>
      <xdr:row>0</xdr:row>
      <xdr:rowOff>15087</xdr:rowOff>
    </xdr:from>
    <xdr:to>
      <xdr:col>89</xdr:col>
      <xdr:colOff>120421</xdr:colOff>
      <xdr:row>2</xdr:row>
      <xdr:rowOff>162782</xdr:rowOff>
    </xdr:to>
    <xdr:grpSp>
      <xdr:nvGrpSpPr>
        <xdr:cNvPr id="3" name="Agrupar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09766-DC23-7E65-6875-AD96B41D80E0}"/>
            </a:ext>
          </a:extLst>
        </xdr:cNvPr>
        <xdr:cNvGrpSpPr/>
      </xdr:nvGrpSpPr>
      <xdr:grpSpPr>
        <a:xfrm>
          <a:off x="12295734" y="15087"/>
          <a:ext cx="533522" cy="478999"/>
          <a:chOff x="5677535" y="949959"/>
          <a:chExt cx="582930" cy="533400"/>
        </a:xfrm>
      </xdr:grpSpPr>
      <xdr:pic>
        <xdr:nvPicPr>
          <xdr:cNvPr id="4" name="Imagem 3">
            <a:extLst>
              <a:ext uri="{FF2B5EF4-FFF2-40B4-BE49-F238E27FC236}">
                <a16:creationId xmlns:a16="http://schemas.microsoft.com/office/drawing/2014/main" id="{14A8D3AC-1419-726A-5562-4F1B08CD954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m 4">
            <a:extLst>
              <a:ext uri="{FF2B5EF4-FFF2-40B4-BE49-F238E27FC236}">
                <a16:creationId xmlns:a16="http://schemas.microsoft.com/office/drawing/2014/main" id="{9B296A2E-1AAF-9BBF-DA0D-FE31E2073B6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85</xdr:col>
      <xdr:colOff>823154</xdr:colOff>
      <xdr:row>1</xdr:row>
      <xdr:rowOff>64477</xdr:rowOff>
    </xdr:from>
    <xdr:to>
      <xdr:col>86</xdr:col>
      <xdr:colOff>543754</xdr:colOff>
      <xdr:row>3</xdr:row>
      <xdr:rowOff>506</xdr:rowOff>
    </xdr:to>
    <xdr:grpSp>
      <xdr:nvGrpSpPr>
        <xdr:cNvPr id="6" name="Agrupar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CA7F5-8EFF-EB16-15D4-72CFC2062106}"/>
            </a:ext>
          </a:extLst>
        </xdr:cNvPr>
        <xdr:cNvGrpSpPr/>
      </xdr:nvGrpSpPr>
      <xdr:grpSpPr>
        <a:xfrm>
          <a:off x="10793427" y="230129"/>
          <a:ext cx="544223" cy="472742"/>
          <a:chOff x="5677535" y="949959"/>
          <a:chExt cx="582930" cy="533400"/>
        </a:xfrm>
      </xdr:grpSpPr>
      <xdr:pic>
        <xdr:nvPicPr>
          <xdr:cNvPr id="7" name="Imagem 6">
            <a:extLst>
              <a:ext uri="{FF2B5EF4-FFF2-40B4-BE49-F238E27FC236}">
                <a16:creationId xmlns:a16="http://schemas.microsoft.com/office/drawing/2014/main" id="{D606F365-A7D7-9C07-4146-BDD147AD760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m 7">
            <a:extLst>
              <a:ext uri="{FF2B5EF4-FFF2-40B4-BE49-F238E27FC236}">
                <a16:creationId xmlns:a16="http://schemas.microsoft.com/office/drawing/2014/main" id="{33BAC56B-A83E-B229-EBA1-4855086BBB4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93</xdr:col>
      <xdr:colOff>329265</xdr:colOff>
      <xdr:row>1</xdr:row>
      <xdr:rowOff>71532</xdr:rowOff>
    </xdr:from>
    <xdr:to>
      <xdr:col>94</xdr:col>
      <xdr:colOff>233310</xdr:colOff>
      <xdr:row>3</xdr:row>
      <xdr:rowOff>7561</xdr:rowOff>
    </xdr:to>
    <xdr:grpSp>
      <xdr:nvGrpSpPr>
        <xdr:cNvPr id="9" name="Agrupar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DF341B-7665-E0D7-96FF-A23AD119E54C}"/>
            </a:ext>
          </a:extLst>
        </xdr:cNvPr>
        <xdr:cNvGrpSpPr/>
      </xdr:nvGrpSpPr>
      <xdr:grpSpPr>
        <a:xfrm>
          <a:off x="15556013" y="237184"/>
          <a:ext cx="533523" cy="472742"/>
          <a:chOff x="5677535" y="949959"/>
          <a:chExt cx="582930" cy="533400"/>
        </a:xfrm>
      </xdr:grpSpPr>
      <xdr:pic>
        <xdr:nvPicPr>
          <xdr:cNvPr id="10" name="Imagem 9">
            <a:extLst>
              <a:ext uri="{FF2B5EF4-FFF2-40B4-BE49-F238E27FC236}">
                <a16:creationId xmlns:a16="http://schemas.microsoft.com/office/drawing/2014/main" id="{97B4E8F7-0026-79F7-1803-AE6D1FD9E43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Imagem 13">
            <a:extLst>
              <a:ext uri="{FF2B5EF4-FFF2-40B4-BE49-F238E27FC236}">
                <a16:creationId xmlns:a16="http://schemas.microsoft.com/office/drawing/2014/main" id="{F1C9DF5C-695D-3525-5327-EC71D898849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84</xdr:col>
      <xdr:colOff>1006599</xdr:colOff>
      <xdr:row>0</xdr:row>
      <xdr:rowOff>22143</xdr:rowOff>
    </xdr:from>
    <xdr:to>
      <xdr:col>85</xdr:col>
      <xdr:colOff>536699</xdr:colOff>
      <xdr:row>2</xdr:row>
      <xdr:rowOff>169838</xdr:rowOff>
    </xdr:to>
    <xdr:grpSp>
      <xdr:nvGrpSpPr>
        <xdr:cNvPr id="15" name="Agrupar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D57DD-F58F-DEA2-B8CA-5BD60509E3A6}"/>
            </a:ext>
          </a:extLst>
        </xdr:cNvPr>
        <xdr:cNvGrpSpPr/>
      </xdr:nvGrpSpPr>
      <xdr:grpSpPr>
        <a:xfrm>
          <a:off x="9983953" y="22143"/>
          <a:ext cx="538259" cy="478999"/>
          <a:chOff x="5677535" y="949959"/>
          <a:chExt cx="582930" cy="533400"/>
        </a:xfrm>
      </xdr:grpSpPr>
      <xdr:pic>
        <xdr:nvPicPr>
          <xdr:cNvPr id="16" name="Imagem 15">
            <a:extLst>
              <a:ext uri="{FF2B5EF4-FFF2-40B4-BE49-F238E27FC236}">
                <a16:creationId xmlns:a16="http://schemas.microsoft.com/office/drawing/2014/main" id="{09E0FA0D-9A83-E615-26A0-59C45B9C7DA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Imagem 16">
            <a:extLst>
              <a:ext uri="{FF2B5EF4-FFF2-40B4-BE49-F238E27FC236}">
                <a16:creationId xmlns:a16="http://schemas.microsoft.com/office/drawing/2014/main" id="{B1123174-6D8A-E060-6685-2CB9F976AA1E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47625</xdr:colOff>
      <xdr:row>0</xdr:row>
      <xdr:rowOff>19050</xdr:rowOff>
    </xdr:from>
    <xdr:to>
      <xdr:col>55</xdr:col>
      <xdr:colOff>590550</xdr:colOff>
      <xdr:row>2</xdr:row>
      <xdr:rowOff>160021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403F28-267F-4A21-8A0C-550AF87B4FF1}"/>
            </a:ext>
          </a:extLst>
        </xdr:cNvPr>
        <xdr:cNvGrpSpPr/>
      </xdr:nvGrpSpPr>
      <xdr:grpSpPr>
        <a:xfrm>
          <a:off x="15459903" y="19050"/>
          <a:ext cx="542925" cy="472275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7FEF10BE-7884-4128-A774-4338602A475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5CFBFF94-F495-48B2-8A1E-B7CF548C98E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0</xdr:row>
      <xdr:rowOff>53975</xdr:rowOff>
    </xdr:from>
    <xdr:to>
      <xdr:col>0</xdr:col>
      <xdr:colOff>657225</xdr:colOff>
      <xdr:row>3</xdr:row>
      <xdr:rowOff>26671</xdr:rowOff>
    </xdr:to>
    <xdr:grpSp>
      <xdr:nvGrpSpPr>
        <xdr:cNvPr id="2" name="Agrupar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7DA27-D7D1-4E38-8CE0-F4EAAEB0B7B4}"/>
            </a:ext>
          </a:extLst>
        </xdr:cNvPr>
        <xdr:cNvGrpSpPr/>
      </xdr:nvGrpSpPr>
      <xdr:grpSpPr>
        <a:xfrm>
          <a:off x="111125" y="53975"/>
          <a:ext cx="546100" cy="480696"/>
          <a:chOff x="5677535" y="949959"/>
          <a:chExt cx="582930" cy="533400"/>
        </a:xfrm>
      </xdr:grpSpPr>
      <xdr:pic>
        <xdr:nvPicPr>
          <xdr:cNvPr id="3" name="Imagem 2">
            <a:extLst>
              <a:ext uri="{FF2B5EF4-FFF2-40B4-BE49-F238E27FC236}">
                <a16:creationId xmlns:a16="http://schemas.microsoft.com/office/drawing/2014/main" id="{DBD701E1-5AD6-4112-AE1B-229EF11CB6E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394" t="23633" r="17510" b="22656"/>
          <a:stretch/>
        </xdr:blipFill>
        <xdr:spPr bwMode="auto">
          <a:xfrm>
            <a:off x="5677535" y="949959"/>
            <a:ext cx="582930" cy="5334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>
            <a:extLst>
              <a:ext uri="{FF2B5EF4-FFF2-40B4-BE49-F238E27FC236}">
                <a16:creationId xmlns:a16="http://schemas.microsoft.com/office/drawing/2014/main" id="{1A3090DC-B5D2-4607-9F1B-B1A528C0A58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781"/>
          <a:stretch/>
        </xdr:blipFill>
        <xdr:spPr bwMode="auto">
          <a:xfrm>
            <a:off x="5890261" y="1078231"/>
            <a:ext cx="152400" cy="12561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>
    <tabColor rgb="FFEC006F"/>
  </sheetPr>
  <dimension ref="A1:AG31"/>
  <sheetViews>
    <sheetView showGridLines="0" zoomScale="83" zoomScaleNormal="83" workbookViewId="0"/>
  </sheetViews>
  <sheetFormatPr defaultColWidth="9.21875" defaultRowHeight="16.8"/>
  <cols>
    <col min="1" max="1" width="14.77734375" style="1" customWidth="1"/>
    <col min="2" max="2" width="6.44140625" style="1" customWidth="1"/>
    <col min="3" max="6" width="9.21875" style="1"/>
    <col min="7" max="7" width="5.44140625" style="1" customWidth="1"/>
    <col min="8" max="18" width="9.21875" style="1"/>
    <col min="19" max="19" width="6.44140625" style="1" customWidth="1"/>
    <col min="20" max="16384" width="9.21875" style="1"/>
  </cols>
  <sheetData>
    <row r="1" spans="1:33">
      <c r="AG1" s="2"/>
    </row>
    <row r="2" spans="1:33" ht="16.5" customHeight="1">
      <c r="B2" s="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7"/>
      <c r="AG2" s="2" t="s">
        <v>11</v>
      </c>
    </row>
    <row r="3" spans="1:33" ht="16.5" customHeight="1">
      <c r="B3" s="10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9"/>
      <c r="AG3" s="2"/>
    </row>
    <row r="4" spans="1:33" ht="16.5" customHeight="1">
      <c r="B4" s="10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9"/>
      <c r="AG4" s="2"/>
    </row>
    <row r="5" spans="1:33" ht="16.5" customHeight="1">
      <c r="B5" s="1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9"/>
      <c r="AG5" s="2"/>
    </row>
    <row r="6" spans="1:33" ht="16.5" customHeight="1">
      <c r="B6" s="10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9"/>
      <c r="AG6" s="2"/>
    </row>
    <row r="7" spans="1:33" ht="16.5" customHeight="1">
      <c r="A7" s="2"/>
      <c r="B7" s="8"/>
      <c r="C7" s="248" t="s">
        <v>16</v>
      </c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9"/>
    </row>
    <row r="8" spans="1:33" ht="16.5" customHeight="1">
      <c r="B8" s="10"/>
      <c r="C8" s="249"/>
      <c r="D8" s="249"/>
      <c r="E8" s="249"/>
      <c r="F8" s="249"/>
      <c r="G8" s="249"/>
      <c r="H8" s="249"/>
      <c r="I8" s="249"/>
      <c r="J8" s="249"/>
      <c r="K8" s="249"/>
      <c r="L8" s="249"/>
      <c r="M8" s="249"/>
      <c r="N8" s="249"/>
      <c r="O8" s="249"/>
      <c r="P8" s="249"/>
      <c r="Q8" s="249"/>
      <c r="R8" s="249"/>
      <c r="S8" s="9"/>
    </row>
    <row r="9" spans="1:33" s="3" customFormat="1" ht="33.75" customHeight="1">
      <c r="B9" s="11"/>
      <c r="C9" s="250" t="s">
        <v>50</v>
      </c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12"/>
    </row>
    <row r="10" spans="1:33" ht="16.5" customHeight="1">
      <c r="B10" s="10"/>
      <c r="D10" s="5"/>
      <c r="E10" s="5"/>
      <c r="F10" s="5"/>
      <c r="S10" s="9"/>
    </row>
    <row r="11" spans="1:33"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9"/>
    </row>
    <row r="12" spans="1:33" ht="16.5" customHeight="1">
      <c r="B12" s="16"/>
      <c r="C12" s="17"/>
      <c r="D12" s="246" t="s">
        <v>10</v>
      </c>
      <c r="E12" s="246"/>
      <c r="F12" s="246"/>
      <c r="G12" s="17"/>
      <c r="H12" s="17"/>
      <c r="I12" s="17"/>
      <c r="J12" s="17"/>
      <c r="K12" s="17"/>
      <c r="L12" s="245" t="s">
        <v>7</v>
      </c>
      <c r="M12" s="245"/>
      <c r="N12" s="245"/>
      <c r="O12" s="245"/>
      <c r="P12" s="245"/>
      <c r="Q12" s="245"/>
      <c r="R12" s="18"/>
      <c r="S12" s="9"/>
    </row>
    <row r="13" spans="1:33" ht="16.5" customHeight="1">
      <c r="B13" s="16"/>
      <c r="C13" s="17"/>
      <c r="D13" s="246"/>
      <c r="E13" s="246"/>
      <c r="F13" s="246"/>
      <c r="G13" s="17"/>
      <c r="H13" s="17"/>
      <c r="I13" s="17"/>
      <c r="J13" s="17"/>
      <c r="K13" s="17"/>
      <c r="L13" s="19"/>
      <c r="M13" s="17"/>
      <c r="N13" s="17"/>
      <c r="O13" s="17"/>
      <c r="P13" s="17"/>
      <c r="Q13" s="17"/>
      <c r="R13" s="17"/>
      <c r="S13" s="9"/>
    </row>
    <row r="14" spans="1:33" ht="19.5" customHeight="1">
      <c r="B14" s="16"/>
      <c r="C14" s="17"/>
      <c r="D14" s="247" t="s">
        <v>19</v>
      </c>
      <c r="E14" s="247"/>
      <c r="F14" s="247"/>
      <c r="G14" s="17"/>
      <c r="H14" s="17"/>
      <c r="I14" s="17"/>
      <c r="J14" s="17"/>
      <c r="K14" s="17"/>
      <c r="L14" s="245" t="s">
        <v>15</v>
      </c>
      <c r="M14" s="245"/>
      <c r="N14" s="245"/>
      <c r="O14" s="245"/>
      <c r="P14" s="245"/>
      <c r="Q14" s="245"/>
      <c r="R14" s="20"/>
      <c r="S14" s="9"/>
    </row>
    <row r="15" spans="1:33" ht="17.25" customHeight="1">
      <c r="B15" s="16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21"/>
      <c r="N15" s="17"/>
      <c r="O15" s="17"/>
      <c r="P15" s="17"/>
      <c r="Q15" s="17"/>
      <c r="R15" s="17"/>
      <c r="S15" s="9"/>
    </row>
    <row r="16" spans="1:33">
      <c r="B16" s="16"/>
      <c r="C16" s="17"/>
      <c r="D16" s="17"/>
      <c r="E16" s="17"/>
      <c r="F16" s="17"/>
      <c r="G16" s="17"/>
      <c r="H16" s="22"/>
      <c r="I16" s="22"/>
      <c r="J16" s="22"/>
      <c r="K16" s="17"/>
      <c r="L16" s="245" t="s">
        <v>8</v>
      </c>
      <c r="M16" s="245"/>
      <c r="N16" s="245"/>
      <c r="O16" s="245"/>
      <c r="P16" s="245"/>
      <c r="Q16" s="245"/>
      <c r="R16" s="20"/>
      <c r="S16" s="9"/>
    </row>
    <row r="17" spans="2:19" ht="16.5" customHeight="1"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21"/>
      <c r="N17" s="17"/>
      <c r="O17" s="17"/>
      <c r="P17" s="17"/>
      <c r="Q17" s="17"/>
      <c r="R17" s="17"/>
      <c r="S17" s="9"/>
    </row>
    <row r="18" spans="2:19" ht="16.5" customHeight="1"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245" t="s">
        <v>12</v>
      </c>
      <c r="M18" s="245"/>
      <c r="N18" s="245"/>
      <c r="O18" s="245"/>
      <c r="P18" s="245"/>
      <c r="Q18" s="245"/>
      <c r="R18" s="20"/>
      <c r="S18" s="9"/>
    </row>
    <row r="19" spans="2:19">
      <c r="B19" s="16"/>
      <c r="C19" s="17"/>
      <c r="D19" s="17"/>
      <c r="E19" s="17"/>
      <c r="F19" s="17"/>
      <c r="G19" s="17"/>
      <c r="H19" s="22"/>
      <c r="I19" s="22"/>
      <c r="J19" s="22"/>
      <c r="K19" s="17"/>
      <c r="L19" s="18"/>
      <c r="M19" s="21"/>
      <c r="N19" s="17"/>
      <c r="O19" s="17"/>
      <c r="P19" s="17"/>
      <c r="Q19" s="17"/>
      <c r="R19" s="17"/>
      <c r="S19" s="9"/>
    </row>
    <row r="20" spans="2:19" ht="16.5" customHeight="1"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245" t="s">
        <v>28</v>
      </c>
      <c r="M20" s="245"/>
      <c r="N20" s="245"/>
      <c r="O20" s="245"/>
      <c r="P20" s="245"/>
      <c r="Q20" s="245"/>
      <c r="S20" s="9"/>
    </row>
    <row r="21" spans="2:19" ht="16.5" customHeight="1"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21"/>
      <c r="N21" s="17"/>
      <c r="O21" s="17"/>
      <c r="P21" s="17"/>
      <c r="Q21" s="17"/>
      <c r="R21" s="17"/>
      <c r="S21" s="9"/>
    </row>
    <row r="22" spans="2:19">
      <c r="B22" s="16"/>
      <c r="C22" s="17"/>
      <c r="D22" s="17"/>
      <c r="E22" s="17"/>
      <c r="F22" s="17"/>
      <c r="G22" s="17"/>
      <c r="H22" s="22"/>
      <c r="I22" s="22"/>
      <c r="J22" s="22"/>
      <c r="K22" s="17"/>
      <c r="L22" s="245" t="s">
        <v>29</v>
      </c>
      <c r="M22" s="245"/>
      <c r="N22" s="245"/>
      <c r="O22" s="245"/>
      <c r="P22" s="245"/>
      <c r="Q22" s="245"/>
      <c r="R22" s="20"/>
      <c r="S22" s="9"/>
    </row>
    <row r="23" spans="2:19" ht="16.5" customHeight="1"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8"/>
      <c r="M23" s="21"/>
      <c r="N23" s="17"/>
      <c r="O23" s="17"/>
      <c r="P23" s="17"/>
      <c r="Q23" s="17"/>
      <c r="R23" s="17"/>
      <c r="S23" s="9"/>
    </row>
    <row r="24" spans="2:19" ht="16.5" customHeight="1"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245" t="s">
        <v>9</v>
      </c>
      <c r="M24" s="245"/>
      <c r="N24" s="245"/>
      <c r="O24" s="245"/>
      <c r="P24" s="245"/>
      <c r="Q24" s="245"/>
      <c r="R24" s="20"/>
      <c r="S24" s="9"/>
    </row>
    <row r="25" spans="2:19">
      <c r="B25" s="16"/>
      <c r="C25" s="17"/>
      <c r="D25" s="17"/>
      <c r="E25" s="17"/>
      <c r="F25" s="17"/>
      <c r="G25" s="17"/>
      <c r="H25" s="22"/>
      <c r="I25" s="22"/>
      <c r="J25" s="22"/>
      <c r="K25" s="17"/>
      <c r="L25" s="17"/>
      <c r="M25" s="21"/>
      <c r="N25" s="17"/>
      <c r="O25" s="17"/>
      <c r="P25" s="17"/>
      <c r="Q25" s="17"/>
      <c r="R25" s="17"/>
      <c r="S25" s="9"/>
    </row>
    <row r="26" spans="2:19" ht="16.5" customHeight="1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3"/>
    </row>
    <row r="27" spans="2:19">
      <c r="H27" s="4"/>
      <c r="I27" s="4"/>
      <c r="J27" s="4"/>
    </row>
    <row r="28" spans="2:19" ht="16.5" customHeight="1"/>
    <row r="29" spans="2:19" ht="16.5" customHeight="1"/>
    <row r="31" spans="2:19" ht="16.5" customHeight="1"/>
  </sheetData>
  <mergeCells count="11">
    <mergeCell ref="C7:R8"/>
    <mergeCell ref="C9:R9"/>
    <mergeCell ref="L12:Q12"/>
    <mergeCell ref="L14:Q14"/>
    <mergeCell ref="L16:Q16"/>
    <mergeCell ref="L18:Q18"/>
    <mergeCell ref="L20:Q20"/>
    <mergeCell ref="L22:Q22"/>
    <mergeCell ref="L24:Q24"/>
    <mergeCell ref="D12:F13"/>
    <mergeCell ref="D14:F14"/>
  </mergeCells>
  <dataValidations count="1">
    <dataValidation type="list" allowBlank="1" showInputMessage="1" showErrorMessage="1" sqref="D14:F14" xr:uid="{00000000-0002-0000-0000-000000000000}">
      <formula1>"Português, Inglês - English"</formula1>
    </dataValidation>
  </dataValidations>
  <hyperlinks>
    <hyperlink ref="L15:M16" location="'DRE - Income Statement (New)'!A1" display="DRE Novo - Income Statements (new)" xr:uid="{00000000-0004-0000-0000-000000000000}"/>
    <hyperlink ref="L17:M18" location="'DRE Varejo - Retail IS (New)'!A1" display="DRE Varejo - Retail Income Statements" xr:uid="{00000000-0004-0000-0000-000001000000}"/>
    <hyperlink ref="L21:M22" location="'PSF - FPS Portfolio'!A1" display="PFS - FPS Portfolio" xr:uid="{00000000-0004-0000-0000-000002000000}"/>
    <hyperlink ref="L23:M24" location="'DRE_PSF Novo Formato'!A1" display="DRE PFS - FPS Income Statements" xr:uid="{00000000-0004-0000-0000-000003000000}"/>
    <hyperlink ref="K25:M25" location="'Fluxo de Caixa - Cash Flow'!A1" display="Fluxo de Caixa - Cash Flow" xr:uid="{00000000-0004-0000-0000-000004000000}"/>
    <hyperlink ref="L19:M20" location="'Destaques - Highlights'!A1" display="Destaques - Highlights" xr:uid="{00000000-0004-0000-0000-000005000000}"/>
    <hyperlink ref="L12:Q12" location="'Balanço - Balance Sheet'!A1" display="Balanço - Balance Sheet" xr:uid="{00000000-0004-0000-0000-000006000000}"/>
    <hyperlink ref="L14:Q14" location="'DRE Consolidado | P&amp;L '!A1" display="DRE - Income Statements" xr:uid="{00000000-0004-0000-0000-000007000000}"/>
    <hyperlink ref="L16:Q16" location="'DRE Varejo - Retail P&amp;L'!A1" display="DRE Varejo - Retail Income Statements" xr:uid="{00000000-0004-0000-0000-000008000000}"/>
    <hyperlink ref="L18:Q18" location="'Destaques - Highlights'!A1" display="Destaques - Highlights" xr:uid="{00000000-0004-0000-0000-000009000000}"/>
    <hyperlink ref="L20:Q20" location="'Mbank - Mbank Portfolio'!A1" display="Mbank - Mbank Portfolio" xr:uid="{00000000-0004-0000-0000-00000A000000}"/>
    <hyperlink ref="L22:Q22" location="'DRE Mbank - Mbank P&amp;L'!A1" display="DRE Mbank - Mbank Income Statements" xr:uid="{00000000-0004-0000-0000-00000B000000}"/>
    <hyperlink ref="L24:Q24" location="'Fluxo de Caixa - Cash Flow'!A1" display="Fluxo de Caixa - Cash Flow" xr:uid="{00000000-0004-0000-0000-00000C000000}"/>
  </hyperlinks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rgb="FFFFCCFF"/>
  </sheetPr>
  <dimension ref="A1:BO86"/>
  <sheetViews>
    <sheetView showGridLines="0" zoomScale="87" zoomScaleNormal="87" zoomScaleSheetLayoutView="52" workbookViewId="0">
      <pane xSplit="2" ySplit="4" topLeftCell="BB5" activePane="bottomRight" state="frozen"/>
      <selection activeCell="B1" sqref="B1"/>
      <selection pane="topRight" activeCell="B1" sqref="B1"/>
      <selection pane="bottomLeft" activeCell="B1" sqref="B1"/>
      <selection pane="bottomRight" activeCell="BI5" sqref="BI5"/>
    </sheetView>
  </sheetViews>
  <sheetFormatPr defaultColWidth="9.21875" defaultRowHeight="13.2" outlineLevelRow="1" outlineLevelCol="3"/>
  <cols>
    <col min="1" max="1" width="9.44140625" style="25" customWidth="1"/>
    <col min="2" max="2" width="44.5546875" style="25" bestFit="1" customWidth="1"/>
    <col min="3" max="3" width="13.21875" style="27" hidden="1" customWidth="1" outlineLevel="1"/>
    <col min="4" max="6" width="13.21875" style="27" hidden="1" customWidth="1" outlineLevel="2"/>
    <col min="7" max="7" width="13.21875" style="27" hidden="1" customWidth="1" outlineLevel="1"/>
    <col min="8" max="10" width="13.21875" style="27" hidden="1" customWidth="1" outlineLevel="2"/>
    <col min="11" max="11" width="13.21875" style="27" hidden="1" customWidth="1" outlineLevel="1"/>
    <col min="12" max="12" width="13.21875" style="27" hidden="1" customWidth="1" outlineLevel="2"/>
    <col min="13" max="13" width="11" style="27" hidden="1" customWidth="1" outlineLevel="2"/>
    <col min="14" max="14" width="13.21875" style="27" hidden="1" customWidth="1" outlineLevel="2"/>
    <col min="15" max="15" width="13.21875" style="27" hidden="1" customWidth="1" outlineLevel="1"/>
    <col min="16" max="18" width="13.21875" style="27" hidden="1" customWidth="1" outlineLevel="2"/>
    <col min="19" max="19" width="13.21875" style="27" hidden="1" customWidth="1" outlineLevel="1"/>
    <col min="20" max="22" width="13.21875" style="27" hidden="1" customWidth="1" outlineLevel="2"/>
    <col min="23" max="23" width="13.21875" style="27" hidden="1" customWidth="1" outlineLevel="1"/>
    <col min="24" max="26" width="13.21875" style="27" hidden="1" customWidth="1" outlineLevel="2"/>
    <col min="27" max="27" width="13.21875" style="27" hidden="1" customWidth="1" outlineLevel="1"/>
    <col min="28" max="30" width="13.21875" style="27" hidden="1" customWidth="1" outlineLevel="2"/>
    <col min="31" max="31" width="13.21875" style="27" hidden="1" customWidth="1" outlineLevel="1"/>
    <col min="32" max="34" width="13.44140625" style="27" hidden="1" customWidth="1" outlineLevel="2"/>
    <col min="35" max="35" width="13.5546875" style="27" hidden="1" customWidth="1" outlineLevel="1"/>
    <col min="36" max="38" width="13.5546875" style="25" hidden="1" customWidth="1" outlineLevel="2"/>
    <col min="39" max="39" width="13.5546875" style="25" hidden="1" customWidth="1" outlineLevel="1"/>
    <col min="40" max="42" width="13.5546875" style="25" hidden="1" customWidth="1" outlineLevel="2"/>
    <col min="43" max="43" width="13.5546875" style="25" hidden="1" customWidth="1" outlineLevel="1"/>
    <col min="44" max="46" width="13.5546875" style="25" hidden="1" customWidth="1" outlineLevel="2"/>
    <col min="47" max="47" width="13.5546875" style="25" hidden="1" customWidth="1" outlineLevel="1"/>
    <col min="48" max="48" width="13.5546875" style="25" hidden="1" customWidth="1" outlineLevel="2"/>
    <col min="49" max="49" width="11.44140625" style="25" hidden="1" customWidth="1" outlineLevel="2"/>
    <col min="50" max="50" width="10.77734375" style="25" hidden="1" customWidth="1" outlineLevel="2"/>
    <col min="51" max="51" width="15.44140625" style="25" hidden="1" customWidth="1" outlineLevel="1"/>
    <col min="52" max="52" width="12.21875" style="25" hidden="1" customWidth="1" outlineLevel="2"/>
    <col min="53" max="53" width="13.5546875" style="25" hidden="1" customWidth="1" outlineLevel="2"/>
    <col min="54" max="54" width="13.77734375" style="25" hidden="1" customWidth="1" outlineLevel="2"/>
    <col min="55" max="55" width="15.21875" style="25" hidden="1" customWidth="1" outlineLevel="1"/>
    <col min="56" max="58" width="13.77734375" style="25" hidden="1" customWidth="1" outlineLevel="3" collapsed="1"/>
    <col min="59" max="59" width="13.77734375" style="25" hidden="1" customWidth="1" outlineLevel="1"/>
    <col min="60" max="60" width="13.77734375" style="25" hidden="1" customWidth="1" outlineLevel="1" collapsed="1"/>
    <col min="61" max="66" width="13.77734375" style="25" customWidth="1" collapsed="1"/>
    <col min="67" max="67" width="13.77734375" style="25" customWidth="1"/>
    <col min="68" max="16384" width="9.21875" style="25"/>
  </cols>
  <sheetData>
    <row r="1" spans="1:67" ht="14.4">
      <c r="A1"/>
    </row>
    <row r="2" spans="1:67" ht="14.4">
      <c r="H2"/>
    </row>
    <row r="3" spans="1:67">
      <c r="B3" s="26" t="str">
        <f>IF('Índice - Index'!$D$14="Português","Balanço Patrimonial","Balance Sheet")</f>
        <v>Balanço Patrimonial</v>
      </c>
    </row>
    <row r="4" spans="1:67" ht="26.4">
      <c r="B4" s="26" t="str">
        <f>IF('Índice - Index'!$D$14="Português","(R$ milhares)","(R$ million)")</f>
        <v>(R$ milhares)</v>
      </c>
      <c r="C4" s="28" t="str">
        <f>IF('Índice - Index'!$D$14="Português","4T09","4Q09")</f>
        <v>4T09</v>
      </c>
      <c r="D4" s="28" t="str">
        <f>IF('Índice - Index'!$D$14="Português","1T10","1Q10")</f>
        <v>1T10</v>
      </c>
      <c r="E4" s="28" t="str">
        <f>IF('Índice - Index'!$D$14="Português","2T10","2Q10")</f>
        <v>2T10</v>
      </c>
      <c r="F4" s="28" t="str">
        <f>IF('Índice - Index'!$D$14="Português","3T10","3Q10")</f>
        <v>3T10</v>
      </c>
      <c r="G4" s="28" t="str">
        <f>IF('Índice - Index'!$D$14="Português","4T10","4Q10")</f>
        <v>4T10</v>
      </c>
      <c r="H4" s="28" t="str">
        <f>IF('Índice - Index'!$D$14="Português","1T11","1Q11")</f>
        <v>1T11</v>
      </c>
      <c r="I4" s="28" t="str">
        <f>IF('Índice - Index'!$D$14="Português","2T11","2Q11")</f>
        <v>2T11</v>
      </c>
      <c r="J4" s="28" t="str">
        <f>IF('Índice - Index'!$D$14="Português","3T11","3Q11")</f>
        <v>3T11</v>
      </c>
      <c r="K4" s="28" t="str">
        <f>IF('Índice - Index'!$D$14="Português","4T11","4Q11")</f>
        <v>4T11</v>
      </c>
      <c r="L4" s="28" t="str">
        <f>IF('Índice - Index'!$D$14="Português","1T12","1Q12")</f>
        <v>1T12</v>
      </c>
      <c r="M4" s="28" t="str">
        <f>IF('Índice - Index'!$D$14="Português","2T12","2Q12")</f>
        <v>2T12</v>
      </c>
      <c r="N4" s="28" t="str">
        <f>IF('Índice - Index'!$D$14="Português","3T12","3Q12")</f>
        <v>3T12</v>
      </c>
      <c r="O4" s="28" t="str">
        <f>IF('Índice - Index'!$D$14="Português","4T12","4Q12")</f>
        <v>4T12</v>
      </c>
      <c r="P4" s="28" t="str">
        <f>IF('Índice - Index'!$D$14="Português","1T13","1Q13")</f>
        <v>1T13</v>
      </c>
      <c r="Q4" s="28" t="str">
        <f>IF('Índice - Index'!$D$14="Português","2T13","2Q13")</f>
        <v>2T13</v>
      </c>
      <c r="R4" s="28" t="str">
        <f>IF('Índice - Index'!$D$14="Português","3T13","3Q13")</f>
        <v>3T13</v>
      </c>
      <c r="S4" s="28" t="str">
        <f>IF('Índice - Index'!$D$14="Português","4T13","4Q13")</f>
        <v>4T13</v>
      </c>
      <c r="T4" s="28" t="str">
        <f>IF('Índice - Index'!$D$14="Português","1T14","1Q14")</f>
        <v>1T14</v>
      </c>
      <c r="U4" s="28" t="str">
        <f>IF('Índice - Index'!$D$14="Português","2T14","2Q14")</f>
        <v>2T14</v>
      </c>
      <c r="V4" s="28" t="str">
        <f>IF('Índice - Index'!$D$14="Português","3T14","3Q14")</f>
        <v>3T14</v>
      </c>
      <c r="W4" s="28" t="str">
        <f>IF('Índice - Index'!$D$14="Português","4T14","4Q14")</f>
        <v>4T14</v>
      </c>
      <c r="X4" s="28" t="str">
        <f>IF('Índice - Index'!$D$14="Português","1T15","1Q15")</f>
        <v>1T15</v>
      </c>
      <c r="Y4" s="28" t="str">
        <f>IF('Índice - Index'!$D$14="Português","2T15","2Q15")</f>
        <v>2T15</v>
      </c>
      <c r="Z4" s="28" t="str">
        <f>IF('Índice - Index'!$D$14="Português","3T15","3Q15")</f>
        <v>3T15</v>
      </c>
      <c r="AA4" s="28" t="str">
        <f>IF('Índice - Index'!$D$14="Português","4T15","4Q15")</f>
        <v>4T15</v>
      </c>
      <c r="AB4" s="28" t="str">
        <f>IF('Índice - Index'!$D$14="Português","1T16","1Q16")</f>
        <v>1T16</v>
      </c>
      <c r="AC4" s="28" t="str">
        <f>IF('Índice - Index'!$D$14="Português","2T16","2Q16")</f>
        <v>2T16</v>
      </c>
      <c r="AD4" s="28" t="str">
        <f>IF('Índice - Index'!$D$14="Português","3T16","3Q16")</f>
        <v>3T16</v>
      </c>
      <c r="AE4" s="28" t="str">
        <f>IF('Índice - Index'!$D$14="Português","4T16","4Q16")</f>
        <v>4T16</v>
      </c>
      <c r="AF4" s="28" t="str">
        <f>IF('Índice - Index'!$D$14="Português","1T17","1Q17")</f>
        <v>1T17</v>
      </c>
      <c r="AG4" s="28" t="str">
        <f>IF('Índice - Index'!$D$14="Português","2T17","2Q17")</f>
        <v>2T17</v>
      </c>
      <c r="AH4" s="28" t="str">
        <f>IF('Índice - Index'!$D$14="Português","3T17","3Q17")</f>
        <v>3T17</v>
      </c>
      <c r="AI4" s="28" t="str">
        <f>IF('Índice - Index'!$D$14="Português","4T17","4Q17")</f>
        <v>4T17</v>
      </c>
      <c r="AJ4" s="28" t="str">
        <f>IF('Índice - Index'!$D$14="Português","1T18","1Q18")</f>
        <v>1T18</v>
      </c>
      <c r="AK4" s="28" t="str">
        <f>IF('Índice - Index'!$D$14="Português","2T18","2Q18")</f>
        <v>2T18</v>
      </c>
      <c r="AL4" s="28" t="str">
        <f>IF('Índice - Index'!$D$14="Português","3T18","3Q18")</f>
        <v>3T18</v>
      </c>
      <c r="AM4" s="28" t="str">
        <f>IF('Índice - Index'!$D$14="Português","4T18","4Q18")</f>
        <v>4T18</v>
      </c>
      <c r="AN4" s="28" t="str">
        <f>IF('Índice - Index'!$D$14="Português","1T19","1Q19")</f>
        <v>1T19</v>
      </c>
      <c r="AO4" s="28" t="str">
        <f>IF('Índice - Index'!$D$14="Português","2T19","2Q19")</f>
        <v>2T19</v>
      </c>
      <c r="AP4" s="28" t="str">
        <f>IF('Índice - Index'!$D$14="Português","3T19","3Q19")</f>
        <v>3T19</v>
      </c>
      <c r="AQ4" s="28" t="str">
        <f>IF('Índice - Index'!$D$14="Português","4T19","4Q19")</f>
        <v>4T19</v>
      </c>
      <c r="AR4" s="28" t="str">
        <f>IF('Índice - Index'!$D$14="Português","1T20","1Q20")</f>
        <v>1T20</v>
      </c>
      <c r="AS4" s="28" t="str">
        <f>IF('Índice - Index'!$D$14="Português","2T20","2Q20")</f>
        <v>2T20</v>
      </c>
      <c r="AT4" s="28" t="str">
        <f>IF('Índice - Index'!$D$14="Português","3T20","3Q20")</f>
        <v>3T20</v>
      </c>
      <c r="AU4" s="28" t="str">
        <f>IF('Índice - Index'!$D$14="Português","4T20","4Q20")</f>
        <v>4T20</v>
      </c>
      <c r="AV4" s="28" t="str">
        <f>IF('Índice - Index'!$D$14="Português","1T21","1Q21")</f>
        <v>1T21</v>
      </c>
      <c r="AW4" s="28" t="str">
        <f>IF('Índice - Index'!$D$14="Português","2T21","2Q21")</f>
        <v>2T21</v>
      </c>
      <c r="AX4" s="28" t="str">
        <f>IF('Índice - Index'!$D$14="Português","3T21","3Q21")</f>
        <v>3T21</v>
      </c>
      <c r="AY4" s="166" t="str">
        <f>IF('Índice - Index'!$D$14="Português","4T21 (reapresentado)","4Q21 (restated)")</f>
        <v>4T21 (reapresentado)</v>
      </c>
      <c r="AZ4" s="28" t="s">
        <v>33</v>
      </c>
      <c r="BA4" s="28" t="s">
        <v>34</v>
      </c>
      <c r="BB4" s="28" t="s">
        <v>35</v>
      </c>
      <c r="BC4" s="166" t="str">
        <f>IF('Índice - Index'!$D$14="Português","4T22          (reapresentado)","4Q22       (restated)")</f>
        <v>4T22          (reapresentado)</v>
      </c>
      <c r="BD4" s="28" t="str">
        <f>IF('Índice - Index'!$D$14="Português","1T23","1Q23")</f>
        <v>1T23</v>
      </c>
      <c r="BE4" s="28" t="str">
        <f>IF('Índice - Index'!$D$14="Português","2T23","2Q23")</f>
        <v>2T23</v>
      </c>
      <c r="BF4" s="28" t="str">
        <f>IF('Índice - Index'!$D$14="Português","3T23","3Q23")</f>
        <v>3T23</v>
      </c>
      <c r="BG4" s="28" t="str">
        <f>IF('Índice - Index'!$D$14="Português","4T23","4Q23")</f>
        <v>4T23</v>
      </c>
      <c r="BH4" s="28" t="str">
        <f>IF('Índice - Index'!$D$14="Português","1T24","1Q24")</f>
        <v>1T24</v>
      </c>
      <c r="BI4" s="28" t="str">
        <f>IF('Índice - Index'!$D$14="Português","2T24","2Q24")</f>
        <v>2T24</v>
      </c>
      <c r="BJ4" s="28" t="str">
        <f>IF('Índice - Index'!$D$14="Português","3T24","3Q24")</f>
        <v>3T24</v>
      </c>
      <c r="BK4" s="28" t="str">
        <f>IF('Índice - Index'!$D$14="Português","4T24","4Q24")</f>
        <v>4T24</v>
      </c>
      <c r="BL4" s="28" t="str">
        <f>IF('Índice - Index'!$D$14="Português","1T25","1Q25")</f>
        <v>1T25</v>
      </c>
      <c r="BM4" s="28" t="str">
        <f>IF('Índice - Index'!$D$14="Português","2T25","2Q25")</f>
        <v>2T25</v>
      </c>
      <c r="BN4" s="28" t="str">
        <f>IF('Índice - Index'!$D$14="Português","3T25","3Q25")</f>
        <v>3T25</v>
      </c>
      <c r="BO4" s="28" t="s">
        <v>52</v>
      </c>
    </row>
    <row r="5" spans="1:67">
      <c r="B5" s="29"/>
      <c r="C5" s="30"/>
      <c r="D5" s="30"/>
      <c r="E5" s="30"/>
      <c r="F5" s="30"/>
      <c r="G5" s="30"/>
      <c r="H5" s="30"/>
      <c r="I5" s="30"/>
      <c r="J5" s="30"/>
      <c r="K5" s="30"/>
    </row>
    <row r="6" spans="1:67" s="33" customFormat="1">
      <c r="A6" s="25"/>
      <c r="B6" s="26" t="str">
        <f>IF('Índice - Index'!$D$14="Português","ATIVO (R$ milhares)","ASSETS (R$ million)")</f>
        <v>ATIVO (R$ milhares)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</row>
    <row r="7" spans="1:67">
      <c r="B7" s="34"/>
      <c r="C7" s="30"/>
      <c r="D7" s="30"/>
      <c r="E7" s="30"/>
      <c r="F7" s="30"/>
      <c r="G7" s="30"/>
      <c r="H7" s="30"/>
      <c r="I7" s="30"/>
      <c r="J7" s="30"/>
      <c r="K7" s="30"/>
    </row>
    <row r="8" spans="1:67">
      <c r="B8" s="34" t="str">
        <f>IF('Índice - Index'!$D$14="Português","CIRCULANTE","CURRENT ASSETS")</f>
        <v>CIRCULANTE</v>
      </c>
      <c r="C8" s="35"/>
      <c r="D8" s="35"/>
      <c r="E8" s="35"/>
      <c r="F8" s="35"/>
      <c r="G8" s="35"/>
      <c r="H8" s="35"/>
      <c r="I8" s="35"/>
      <c r="J8" s="35"/>
      <c r="K8" s="35"/>
    </row>
    <row r="9" spans="1:67">
      <c r="B9" s="36" t="str">
        <f>IF('Índice - Index'!$D$14="Português","Caixa e equivalentes de caixa","Cash and cash equivalents")</f>
        <v>Caixa e equivalentes de caixa</v>
      </c>
      <c r="C9" s="37">
        <v>333960</v>
      </c>
      <c r="D9" s="37">
        <v>239859</v>
      </c>
      <c r="E9" s="37">
        <v>204425</v>
      </c>
      <c r="F9" s="37">
        <v>287231</v>
      </c>
      <c r="G9" s="37">
        <v>521688</v>
      </c>
      <c r="H9" s="37">
        <v>647474</v>
      </c>
      <c r="I9" s="37">
        <v>806366</v>
      </c>
      <c r="J9" s="37">
        <v>281068</v>
      </c>
      <c r="K9" s="37">
        <v>641294</v>
      </c>
      <c r="L9" s="37">
        <v>309719</v>
      </c>
      <c r="M9" s="37">
        <v>286893</v>
      </c>
      <c r="N9" s="37">
        <v>267709</v>
      </c>
      <c r="O9" s="37">
        <v>285319</v>
      </c>
      <c r="P9" s="37">
        <v>111265</v>
      </c>
      <c r="Q9" s="37">
        <v>147018</v>
      </c>
      <c r="R9" s="37">
        <v>188674</v>
      </c>
      <c r="S9" s="37">
        <v>257883</v>
      </c>
      <c r="T9" s="37">
        <v>156223</v>
      </c>
      <c r="U9" s="37">
        <v>278846</v>
      </c>
      <c r="V9" s="37">
        <v>393525</v>
      </c>
      <c r="W9" s="37">
        <v>510680</v>
      </c>
      <c r="X9" s="37">
        <v>374652</v>
      </c>
      <c r="Y9" s="37">
        <v>495951</v>
      </c>
      <c r="Z9" s="37">
        <v>645328</v>
      </c>
      <c r="AA9" s="37">
        <v>551613</v>
      </c>
      <c r="AB9" s="37">
        <v>431358</v>
      </c>
      <c r="AC9" s="37">
        <v>451815</v>
      </c>
      <c r="AD9" s="37">
        <v>457851</v>
      </c>
      <c r="AE9" s="37">
        <v>419058</v>
      </c>
      <c r="AF9" s="37">
        <v>436643</v>
      </c>
      <c r="AG9" s="37">
        <v>275761</v>
      </c>
      <c r="AH9" s="37">
        <v>391123</v>
      </c>
      <c r="AI9" s="37">
        <v>457534</v>
      </c>
      <c r="AJ9" s="37">
        <v>382270</v>
      </c>
      <c r="AK9" s="37">
        <v>237954</v>
      </c>
      <c r="AL9" s="37">
        <v>281527</v>
      </c>
      <c r="AM9" s="37">
        <v>396735</v>
      </c>
      <c r="AN9" s="37">
        <v>267244</v>
      </c>
      <c r="AO9" s="37">
        <v>210785</v>
      </c>
      <c r="AP9" s="37">
        <v>170072</v>
      </c>
      <c r="AQ9" s="37">
        <v>725498</v>
      </c>
      <c r="AR9" s="37">
        <v>251314</v>
      </c>
      <c r="AS9" s="37">
        <v>308885</v>
      </c>
      <c r="AT9" s="37">
        <v>318767</v>
      </c>
      <c r="AU9" s="37">
        <v>526932</v>
      </c>
      <c r="AV9" s="37">
        <v>274338</v>
      </c>
      <c r="AW9" s="37">
        <v>293345</v>
      </c>
      <c r="AX9" s="37">
        <v>275437</v>
      </c>
      <c r="AY9" s="37">
        <v>261974</v>
      </c>
      <c r="AZ9" s="37">
        <v>121895</v>
      </c>
      <c r="BA9" s="37">
        <v>255968</v>
      </c>
      <c r="BB9" s="37">
        <v>183281</v>
      </c>
      <c r="BC9" s="37">
        <v>241233</v>
      </c>
      <c r="BD9" s="37">
        <v>200464</v>
      </c>
      <c r="BE9" s="37">
        <v>339717</v>
      </c>
      <c r="BF9" s="37">
        <v>210083</v>
      </c>
      <c r="BG9" s="37">
        <v>92327.747560000003</v>
      </c>
      <c r="BH9" s="37">
        <v>96886</v>
      </c>
      <c r="BI9" s="37">
        <v>31812</v>
      </c>
      <c r="BJ9" s="37">
        <v>31384</v>
      </c>
      <c r="BK9" s="216">
        <v>92052</v>
      </c>
      <c r="BL9" s="216">
        <v>9236</v>
      </c>
      <c r="BM9" s="216">
        <v>10248</v>
      </c>
      <c r="BN9" s="216">
        <v>52179</v>
      </c>
      <c r="BO9" s="218">
        <v>47990</v>
      </c>
    </row>
    <row r="10" spans="1:67">
      <c r="B10" s="36" t="str">
        <f>IF('Índice - Index'!$D$14="Português","Títulos e valores mobiliários","Securities")</f>
        <v>Títulos e valores mobiliários</v>
      </c>
      <c r="C10" s="37">
        <v>24808</v>
      </c>
      <c r="D10" s="37">
        <v>22738</v>
      </c>
      <c r="E10" s="37">
        <v>21375</v>
      </c>
      <c r="F10" s="37">
        <v>23080</v>
      </c>
      <c r="G10" s="37">
        <v>18952</v>
      </c>
      <c r="H10" s="37">
        <v>19440</v>
      </c>
      <c r="I10" s="37">
        <v>19184</v>
      </c>
      <c r="J10" s="37">
        <v>476</v>
      </c>
      <c r="K10" s="37">
        <v>360</v>
      </c>
      <c r="L10" s="37">
        <v>373</v>
      </c>
      <c r="M10" s="37">
        <v>1418</v>
      </c>
      <c r="N10" s="37">
        <v>1154</v>
      </c>
      <c r="O10" s="37">
        <v>1198</v>
      </c>
      <c r="P10" s="37">
        <v>9587</v>
      </c>
      <c r="Q10" s="37">
        <v>1182</v>
      </c>
      <c r="R10" s="37">
        <v>217</v>
      </c>
      <c r="S10" s="37">
        <v>217</v>
      </c>
      <c r="T10" s="37">
        <v>218</v>
      </c>
      <c r="U10" s="37">
        <v>218</v>
      </c>
      <c r="V10" s="37">
        <v>205</v>
      </c>
      <c r="W10" s="37">
        <v>205</v>
      </c>
      <c r="X10" s="37">
        <v>219</v>
      </c>
      <c r="Y10" s="37">
        <v>161</v>
      </c>
      <c r="Z10" s="37">
        <v>169</v>
      </c>
      <c r="AA10" s="37">
        <v>328</v>
      </c>
      <c r="AB10" s="37">
        <v>274</v>
      </c>
      <c r="AC10" s="37">
        <v>225</v>
      </c>
      <c r="AD10" s="37">
        <v>343</v>
      </c>
      <c r="AE10" s="37">
        <v>965</v>
      </c>
      <c r="AF10" s="37">
        <v>3010</v>
      </c>
      <c r="AG10" s="37">
        <v>3139</v>
      </c>
      <c r="AH10" s="37">
        <v>3064</v>
      </c>
      <c r="AI10" s="37">
        <v>970</v>
      </c>
      <c r="AJ10" s="37">
        <v>971</v>
      </c>
      <c r="AK10" s="37">
        <v>911</v>
      </c>
      <c r="AL10" s="37">
        <v>1029</v>
      </c>
      <c r="AM10" s="37">
        <v>1029</v>
      </c>
      <c r="AN10" s="37">
        <v>1079</v>
      </c>
      <c r="AO10" s="37">
        <v>1081</v>
      </c>
      <c r="AP10" s="37">
        <v>536</v>
      </c>
      <c r="AQ10" s="37">
        <v>515</v>
      </c>
      <c r="AR10" s="37">
        <v>407</v>
      </c>
      <c r="AS10" s="37">
        <v>407</v>
      </c>
      <c r="AT10" s="37">
        <v>406</v>
      </c>
      <c r="AU10" s="37">
        <v>388</v>
      </c>
      <c r="AV10" s="37">
        <v>63301</v>
      </c>
      <c r="AW10" s="37">
        <v>17888</v>
      </c>
      <c r="AX10" s="37">
        <v>43790</v>
      </c>
      <c r="AY10" s="37">
        <v>31085</v>
      </c>
      <c r="AZ10" s="37">
        <v>34473</v>
      </c>
      <c r="BA10" s="37">
        <v>29187</v>
      </c>
      <c r="BB10" s="37">
        <v>32996</v>
      </c>
      <c r="BC10" s="37">
        <v>62507</v>
      </c>
      <c r="BD10" s="37">
        <v>42287</v>
      </c>
      <c r="BE10" s="37">
        <v>29645</v>
      </c>
      <c r="BF10" s="37">
        <v>8547</v>
      </c>
      <c r="BG10" s="37">
        <v>4657</v>
      </c>
      <c r="BH10" s="37">
        <v>5036</v>
      </c>
      <c r="BI10" s="37">
        <v>0</v>
      </c>
      <c r="BJ10" s="37">
        <v>0</v>
      </c>
      <c r="BK10" s="37">
        <v>0</v>
      </c>
      <c r="BL10" s="37">
        <v>0</v>
      </c>
      <c r="BM10" s="37">
        <v>0</v>
      </c>
      <c r="BN10" s="37">
        <v>0</v>
      </c>
      <c r="BO10" s="220" t="s">
        <v>14</v>
      </c>
    </row>
    <row r="11" spans="1:67">
      <c r="B11" s="36" t="str">
        <f>IF('Índice - Index'!$D$14="Português","Instrumentos financeiros","Financial Intruments")</f>
        <v>Instrumentos financeiros</v>
      </c>
      <c r="C11" s="37">
        <v>0</v>
      </c>
      <c r="D11" s="37">
        <v>0</v>
      </c>
      <c r="E11" s="37">
        <v>0</v>
      </c>
      <c r="F11" s="37">
        <v>0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7">
        <v>0</v>
      </c>
      <c r="M11" s="37">
        <v>0</v>
      </c>
      <c r="N11" s="37">
        <v>0</v>
      </c>
      <c r="O11" s="37">
        <v>0</v>
      </c>
      <c r="P11" s="37">
        <v>0</v>
      </c>
      <c r="Q11" s="37">
        <v>0</v>
      </c>
      <c r="R11" s="37">
        <v>0</v>
      </c>
      <c r="S11" s="37">
        <v>11328</v>
      </c>
      <c r="T11" s="37">
        <v>0</v>
      </c>
      <c r="U11" s="37">
        <v>0</v>
      </c>
      <c r="V11" s="37">
        <v>3614</v>
      </c>
      <c r="W11" s="37">
        <v>22011</v>
      </c>
      <c r="X11" s="37">
        <v>53865</v>
      </c>
      <c r="Y11" s="37">
        <v>37545</v>
      </c>
      <c r="Z11" s="37">
        <v>84071</v>
      </c>
      <c r="AA11" s="37">
        <v>21506</v>
      </c>
      <c r="AB11" s="37">
        <v>0</v>
      </c>
      <c r="AC11" s="37">
        <v>0</v>
      </c>
      <c r="AD11" s="37">
        <v>0</v>
      </c>
      <c r="AE11" s="37">
        <v>0</v>
      </c>
      <c r="AF11" s="37">
        <v>0</v>
      </c>
      <c r="AG11" s="37">
        <v>0</v>
      </c>
      <c r="AH11" s="37">
        <v>0</v>
      </c>
      <c r="AI11" s="37">
        <v>0</v>
      </c>
      <c r="AJ11" s="37">
        <v>910</v>
      </c>
      <c r="AK11" s="37">
        <v>11373</v>
      </c>
      <c r="AL11" s="37">
        <v>3818</v>
      </c>
      <c r="AM11" s="37">
        <v>0</v>
      </c>
      <c r="AN11" s="37">
        <v>1005</v>
      </c>
      <c r="AO11" s="37">
        <v>0</v>
      </c>
      <c r="AP11" s="37">
        <v>640</v>
      </c>
      <c r="AQ11" s="37">
        <v>0</v>
      </c>
      <c r="AR11" s="37">
        <v>20635</v>
      </c>
      <c r="AS11" s="37">
        <v>9344</v>
      </c>
      <c r="AT11" s="37">
        <v>1286</v>
      </c>
      <c r="AU11" s="37">
        <v>0</v>
      </c>
      <c r="AV11" s="37">
        <v>3410</v>
      </c>
      <c r="AW11" s="37">
        <v>0</v>
      </c>
      <c r="AX11" s="37">
        <v>2506</v>
      </c>
      <c r="AY11" s="37">
        <v>3367</v>
      </c>
      <c r="AZ11" s="37">
        <v>0</v>
      </c>
      <c r="BA11" s="37">
        <v>0</v>
      </c>
      <c r="BB11" s="37">
        <v>537</v>
      </c>
      <c r="BC11" s="37">
        <v>0</v>
      </c>
      <c r="BD11" s="37">
        <v>0</v>
      </c>
      <c r="BE11" s="37">
        <v>0</v>
      </c>
      <c r="BF11" s="37">
        <v>260</v>
      </c>
      <c r="BG11" s="37">
        <v>0</v>
      </c>
      <c r="BH11" s="37">
        <v>0</v>
      </c>
      <c r="BI11" s="37">
        <v>0</v>
      </c>
      <c r="BJ11" s="37">
        <v>0</v>
      </c>
      <c r="BK11" s="37">
        <v>0</v>
      </c>
      <c r="BL11" s="37">
        <v>0</v>
      </c>
      <c r="BM11" s="37">
        <v>0</v>
      </c>
      <c r="BN11" s="37">
        <v>0</v>
      </c>
      <c r="BO11" s="220" t="s">
        <v>14</v>
      </c>
    </row>
    <row r="12" spans="1:67">
      <c r="B12" s="36" t="str">
        <f>IF('Índice - Index'!$D$14="Português","Contas a receber de clientes","Accounts receivable")</f>
        <v>Contas a receber de clientes</v>
      </c>
      <c r="C12" s="37">
        <v>556421</v>
      </c>
      <c r="D12" s="37">
        <v>466493</v>
      </c>
      <c r="E12" s="37">
        <v>506202</v>
      </c>
      <c r="F12" s="37">
        <v>460339</v>
      </c>
      <c r="G12" s="37">
        <v>634538</v>
      </c>
      <c r="H12" s="37">
        <v>539383</v>
      </c>
      <c r="I12" s="37">
        <v>603572</v>
      </c>
      <c r="J12" s="37">
        <v>538425</v>
      </c>
      <c r="K12" s="37">
        <v>682365</v>
      </c>
      <c r="L12" s="37">
        <v>568725</v>
      </c>
      <c r="M12" s="37">
        <v>679996</v>
      </c>
      <c r="N12" s="37">
        <v>693409</v>
      </c>
      <c r="O12" s="37">
        <v>878325</v>
      </c>
      <c r="P12" s="37">
        <v>745066</v>
      </c>
      <c r="Q12" s="37">
        <v>795720</v>
      </c>
      <c r="R12" s="37">
        <v>734596</v>
      </c>
      <c r="S12" s="37">
        <v>981626</v>
      </c>
      <c r="T12" s="37">
        <v>840446</v>
      </c>
      <c r="U12" s="37">
        <v>859727</v>
      </c>
      <c r="V12" s="37">
        <v>785239</v>
      </c>
      <c r="W12" s="37">
        <v>980364</v>
      </c>
      <c r="X12" s="37">
        <v>808362</v>
      </c>
      <c r="Y12" s="37">
        <v>790454</v>
      </c>
      <c r="Z12" s="37">
        <v>726780</v>
      </c>
      <c r="AA12" s="37">
        <v>831241</v>
      </c>
      <c r="AB12" s="37">
        <v>657412</v>
      </c>
      <c r="AC12" s="37">
        <v>749888</v>
      </c>
      <c r="AD12" s="37">
        <v>663722</v>
      </c>
      <c r="AE12" s="37">
        <v>675857</v>
      </c>
      <c r="AF12" s="37">
        <v>619711</v>
      </c>
      <c r="AG12" s="37">
        <v>646359</v>
      </c>
      <c r="AH12" s="37">
        <v>697286</v>
      </c>
      <c r="AI12" s="37">
        <v>800797</v>
      </c>
      <c r="AJ12" s="37">
        <v>595124</v>
      </c>
      <c r="AK12" s="37">
        <v>670070</v>
      </c>
      <c r="AL12" s="37">
        <v>652980</v>
      </c>
      <c r="AM12" s="37">
        <v>750897</v>
      </c>
      <c r="AN12" s="37">
        <v>681219.63910000003</v>
      </c>
      <c r="AO12" s="37">
        <v>749111</v>
      </c>
      <c r="AP12" s="37">
        <v>761372</v>
      </c>
      <c r="AQ12" s="37">
        <v>872491</v>
      </c>
      <c r="AR12" s="37">
        <v>683270</v>
      </c>
      <c r="AS12" s="37">
        <v>465573</v>
      </c>
      <c r="AT12" s="37">
        <v>538372</v>
      </c>
      <c r="AU12" s="37">
        <v>705175</v>
      </c>
      <c r="AV12" s="37">
        <v>562297</v>
      </c>
      <c r="AW12" s="37">
        <v>691093</v>
      </c>
      <c r="AX12" s="37">
        <v>714952</v>
      </c>
      <c r="AY12" s="37">
        <v>810374</v>
      </c>
      <c r="AZ12" s="37">
        <v>807963</v>
      </c>
      <c r="BA12" s="37">
        <v>816692</v>
      </c>
      <c r="BB12" s="37">
        <v>732572</v>
      </c>
      <c r="BC12" s="170">
        <v>617050</v>
      </c>
      <c r="BD12" s="170">
        <v>493306</v>
      </c>
      <c r="BE12" s="170">
        <v>404217</v>
      </c>
      <c r="BF12" s="170">
        <v>247641</v>
      </c>
      <c r="BG12" s="170">
        <v>67518.915549999991</v>
      </c>
      <c r="BH12" s="170">
        <v>57671</v>
      </c>
      <c r="BI12" s="170">
        <v>83233</v>
      </c>
      <c r="BJ12" s="170">
        <v>22551</v>
      </c>
      <c r="BK12" s="170">
        <v>29793</v>
      </c>
      <c r="BL12" s="170">
        <v>25910</v>
      </c>
      <c r="BM12" s="170">
        <v>39299</v>
      </c>
      <c r="BN12" s="170">
        <v>23368</v>
      </c>
      <c r="BO12" s="216">
        <v>58595</v>
      </c>
    </row>
    <row r="13" spans="1:67">
      <c r="B13" s="36" t="str">
        <f>IF('Índice - Index'!$D$14="Português","Estoques","Inventories")</f>
        <v>Estoques</v>
      </c>
      <c r="C13" s="37">
        <v>147449</v>
      </c>
      <c r="D13" s="37">
        <v>219582</v>
      </c>
      <c r="E13" s="37">
        <v>190792</v>
      </c>
      <c r="F13" s="37">
        <v>235073</v>
      </c>
      <c r="G13" s="37">
        <v>232016</v>
      </c>
      <c r="H13" s="37">
        <v>316514</v>
      </c>
      <c r="I13" s="37">
        <v>317069</v>
      </c>
      <c r="J13" s="37">
        <v>351125</v>
      </c>
      <c r="K13" s="37">
        <v>281391</v>
      </c>
      <c r="L13" s="37">
        <v>386472</v>
      </c>
      <c r="M13" s="37">
        <v>364797</v>
      </c>
      <c r="N13" s="37">
        <v>431536</v>
      </c>
      <c r="O13" s="37">
        <v>367580</v>
      </c>
      <c r="P13" s="37">
        <v>506867</v>
      </c>
      <c r="Q13" s="37">
        <v>418485</v>
      </c>
      <c r="R13" s="37">
        <v>422059</v>
      </c>
      <c r="S13" s="37">
        <v>342277</v>
      </c>
      <c r="T13" s="37">
        <v>596254</v>
      </c>
      <c r="U13" s="37">
        <v>507736</v>
      </c>
      <c r="V13" s="37">
        <v>484004</v>
      </c>
      <c r="W13" s="37">
        <v>372590</v>
      </c>
      <c r="X13" s="37">
        <v>570475.12979000004</v>
      </c>
      <c r="Y13" s="37">
        <v>480968</v>
      </c>
      <c r="Z13" s="37">
        <v>459497</v>
      </c>
      <c r="AA13" s="37">
        <v>329607</v>
      </c>
      <c r="AB13" s="37">
        <v>429638</v>
      </c>
      <c r="AC13" s="37">
        <v>333381</v>
      </c>
      <c r="AD13" s="37">
        <v>387015</v>
      </c>
      <c r="AE13" s="37">
        <v>338238</v>
      </c>
      <c r="AF13" s="37">
        <v>412556</v>
      </c>
      <c r="AG13" s="37">
        <v>437564</v>
      </c>
      <c r="AH13" s="37">
        <v>449820</v>
      </c>
      <c r="AI13" s="37">
        <v>418384</v>
      </c>
      <c r="AJ13" s="37">
        <v>482165</v>
      </c>
      <c r="AK13" s="37">
        <v>428768</v>
      </c>
      <c r="AL13" s="37">
        <v>375518</v>
      </c>
      <c r="AM13" s="37">
        <v>361299</v>
      </c>
      <c r="AN13" s="37">
        <v>457325.74356999999</v>
      </c>
      <c r="AO13" s="37">
        <v>437492</v>
      </c>
      <c r="AP13" s="37">
        <v>448973</v>
      </c>
      <c r="AQ13" s="37">
        <v>441670</v>
      </c>
      <c r="AR13" s="37">
        <v>537071</v>
      </c>
      <c r="AS13" s="37">
        <v>482815</v>
      </c>
      <c r="AT13" s="37">
        <v>352818</v>
      </c>
      <c r="AU13" s="37">
        <v>274877</v>
      </c>
      <c r="AV13" s="37">
        <v>463687</v>
      </c>
      <c r="AW13" s="37">
        <v>406714</v>
      </c>
      <c r="AX13" s="37">
        <v>431371</v>
      </c>
      <c r="AY13" s="37">
        <v>369329</v>
      </c>
      <c r="AZ13" s="37">
        <v>441333</v>
      </c>
      <c r="BA13" s="37">
        <v>373708</v>
      </c>
      <c r="BB13" s="37">
        <v>420376</v>
      </c>
      <c r="BC13" s="37">
        <v>384560</v>
      </c>
      <c r="BD13" s="37">
        <v>392572</v>
      </c>
      <c r="BE13" s="37">
        <v>190222</v>
      </c>
      <c r="BF13" s="37">
        <v>158820</v>
      </c>
      <c r="BG13" s="37">
        <v>145599.96808999998</v>
      </c>
      <c r="BH13" s="37">
        <v>198782</v>
      </c>
      <c r="BI13" s="37">
        <v>213418</v>
      </c>
      <c r="BJ13" s="37">
        <v>288384</v>
      </c>
      <c r="BK13" s="37">
        <v>260101</v>
      </c>
      <c r="BL13" s="37">
        <v>373248</v>
      </c>
      <c r="BM13" s="37">
        <v>303050</v>
      </c>
      <c r="BN13" s="37">
        <v>324336</v>
      </c>
      <c r="BO13" s="216">
        <v>259732</v>
      </c>
    </row>
    <row r="14" spans="1:67">
      <c r="B14" s="36" t="str">
        <f>IF('Índice - Index'!$D$14="Português","Partes relacionadas","Related Parties")</f>
        <v>Partes relacionadas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0</v>
      </c>
      <c r="N14" s="37">
        <v>0</v>
      </c>
      <c r="O14" s="37">
        <v>0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7">
        <v>0</v>
      </c>
      <c r="V14" s="37">
        <v>0</v>
      </c>
      <c r="W14" s="37">
        <v>0</v>
      </c>
      <c r="X14" s="37">
        <v>0</v>
      </c>
      <c r="Y14" s="37">
        <v>0</v>
      </c>
      <c r="Z14" s="37">
        <v>0</v>
      </c>
      <c r="AA14" s="37">
        <v>7255</v>
      </c>
      <c r="AB14" s="37">
        <v>0</v>
      </c>
      <c r="AC14" s="37">
        <v>0</v>
      </c>
      <c r="AD14" s="37">
        <v>0</v>
      </c>
      <c r="AE14" s="37">
        <v>0</v>
      </c>
      <c r="AF14" s="37">
        <v>0</v>
      </c>
      <c r="AG14" s="37">
        <v>0</v>
      </c>
      <c r="AH14" s="37">
        <v>0</v>
      </c>
      <c r="AI14" s="37">
        <v>504</v>
      </c>
      <c r="AJ14" s="37">
        <v>194</v>
      </c>
      <c r="AK14" s="37">
        <v>0</v>
      </c>
      <c r="AL14" s="37">
        <v>0</v>
      </c>
      <c r="AM14" s="37">
        <v>0</v>
      </c>
      <c r="AN14" s="37" t="s">
        <v>14</v>
      </c>
      <c r="AO14" s="37">
        <v>0</v>
      </c>
      <c r="AP14" s="37">
        <v>0</v>
      </c>
      <c r="AQ14" s="37">
        <v>0</v>
      </c>
      <c r="AR14" s="37">
        <v>0</v>
      </c>
      <c r="AS14" s="37">
        <v>0</v>
      </c>
      <c r="AT14" s="37">
        <v>0</v>
      </c>
      <c r="AU14" s="37">
        <v>0</v>
      </c>
      <c r="AV14" s="37">
        <v>0</v>
      </c>
      <c r="AW14" s="37">
        <v>0</v>
      </c>
      <c r="AX14" s="37">
        <v>0</v>
      </c>
      <c r="AY14" s="37">
        <v>0</v>
      </c>
      <c r="AZ14" s="37">
        <v>0</v>
      </c>
      <c r="BA14" s="37">
        <v>0</v>
      </c>
      <c r="BB14" s="37">
        <v>0</v>
      </c>
      <c r="BC14" s="37">
        <v>0</v>
      </c>
      <c r="BD14" s="37">
        <v>0</v>
      </c>
      <c r="BE14" s="37">
        <v>0</v>
      </c>
      <c r="BF14" s="37">
        <v>0</v>
      </c>
      <c r="BG14" s="37">
        <v>4798.5358400000005</v>
      </c>
      <c r="BH14" s="37">
        <v>2364</v>
      </c>
      <c r="BI14" s="37">
        <v>0</v>
      </c>
      <c r="BJ14" s="37">
        <v>0</v>
      </c>
      <c r="BK14" s="37">
        <v>0</v>
      </c>
      <c r="BL14" s="37">
        <v>71</v>
      </c>
      <c r="BM14" s="37" t="s">
        <v>14</v>
      </c>
      <c r="BN14" s="37">
        <v>0</v>
      </c>
      <c r="BO14" s="215" t="s">
        <v>14</v>
      </c>
    </row>
    <row r="15" spans="1:67">
      <c r="B15" s="36" t="str">
        <f>IF('Índice - Index'!$D$14="Português","Impostos a recuperar","Recoverable Taxes")</f>
        <v>Impostos a recuperar</v>
      </c>
      <c r="C15" s="37">
        <v>30815</v>
      </c>
      <c r="D15" s="37">
        <v>36669</v>
      </c>
      <c r="E15" s="37">
        <v>43794</v>
      </c>
      <c r="F15" s="37">
        <v>50803</v>
      </c>
      <c r="G15" s="37">
        <v>44343</v>
      </c>
      <c r="H15" s="37">
        <v>36995</v>
      </c>
      <c r="I15" s="37">
        <v>64721</v>
      </c>
      <c r="J15" s="37">
        <v>74504</v>
      </c>
      <c r="K15" s="37">
        <v>80891</v>
      </c>
      <c r="L15" s="37">
        <v>95243</v>
      </c>
      <c r="M15" s="37">
        <v>81626</v>
      </c>
      <c r="N15" s="37">
        <v>105882</v>
      </c>
      <c r="O15" s="37">
        <v>61398</v>
      </c>
      <c r="P15" s="37">
        <v>74199</v>
      </c>
      <c r="Q15" s="37">
        <v>73219</v>
      </c>
      <c r="R15" s="37">
        <v>65826</v>
      </c>
      <c r="S15" s="37">
        <v>52699</v>
      </c>
      <c r="T15" s="37">
        <v>65111</v>
      </c>
      <c r="U15" s="37">
        <v>59293</v>
      </c>
      <c r="V15" s="37">
        <v>53715</v>
      </c>
      <c r="W15" s="37">
        <v>51091</v>
      </c>
      <c r="X15" s="37">
        <v>60811</v>
      </c>
      <c r="Y15" s="37">
        <v>64597</v>
      </c>
      <c r="Z15" s="37">
        <v>23929</v>
      </c>
      <c r="AA15" s="37">
        <v>81815</v>
      </c>
      <c r="AB15" s="37">
        <v>105252</v>
      </c>
      <c r="AC15" s="37">
        <v>102472</v>
      </c>
      <c r="AD15" s="37">
        <v>73158</v>
      </c>
      <c r="AE15" s="37">
        <v>53082</v>
      </c>
      <c r="AF15" s="37">
        <v>50666</v>
      </c>
      <c r="AG15" s="37">
        <v>44362</v>
      </c>
      <c r="AH15" s="37">
        <v>51801</v>
      </c>
      <c r="AI15" s="37">
        <v>28788</v>
      </c>
      <c r="AJ15" s="37">
        <v>64340</v>
      </c>
      <c r="AK15" s="37">
        <v>88312</v>
      </c>
      <c r="AL15" s="37">
        <v>153431</v>
      </c>
      <c r="AM15" s="37">
        <v>348143</v>
      </c>
      <c r="AN15" s="37">
        <v>216298.57962999999</v>
      </c>
      <c r="AO15" s="37">
        <v>218485</v>
      </c>
      <c r="AP15" s="37">
        <v>364127</v>
      </c>
      <c r="AQ15" s="37">
        <v>276692</v>
      </c>
      <c r="AR15" s="37">
        <v>287569</v>
      </c>
      <c r="AS15" s="37">
        <v>164948</v>
      </c>
      <c r="AT15" s="37">
        <v>226225</v>
      </c>
      <c r="AU15" s="37">
        <v>180988</v>
      </c>
      <c r="AV15" s="37">
        <v>211392</v>
      </c>
      <c r="AW15" s="37">
        <v>172104</v>
      </c>
      <c r="AX15" s="37">
        <v>174875</v>
      </c>
      <c r="AY15" s="37">
        <v>187258</v>
      </c>
      <c r="AZ15" s="37">
        <v>194263</v>
      </c>
      <c r="BA15" s="37">
        <v>197757</v>
      </c>
      <c r="BB15" s="37">
        <v>218199</v>
      </c>
      <c r="BC15" s="37">
        <v>223866</v>
      </c>
      <c r="BD15" s="37">
        <v>207844</v>
      </c>
      <c r="BE15" s="37">
        <v>191776</v>
      </c>
      <c r="BF15" s="37">
        <v>209713</v>
      </c>
      <c r="BG15" s="37">
        <v>114844.84987999999</v>
      </c>
      <c r="BH15" s="37">
        <v>104140</v>
      </c>
      <c r="BI15" s="37">
        <v>106800</v>
      </c>
      <c r="BJ15" s="37">
        <v>126371</v>
      </c>
      <c r="BK15" s="37">
        <v>95445</v>
      </c>
      <c r="BL15" s="37">
        <v>121426</v>
      </c>
      <c r="BM15" s="37">
        <v>140728</v>
      </c>
      <c r="BN15" s="37">
        <v>193475</v>
      </c>
      <c r="BO15" s="216">
        <v>157240</v>
      </c>
    </row>
    <row r="16" spans="1:67">
      <c r="B16" s="36" t="str">
        <f>IF('Índice - Index'!$D$14="Português","Imposto de Renda e Contribuição Social","Income Tax &amp; Social Contribution")</f>
        <v>Imposto de Renda e Contribuição Social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7">
        <v>0</v>
      </c>
      <c r="M16" s="37">
        <v>0</v>
      </c>
      <c r="N16" s="37">
        <v>0</v>
      </c>
      <c r="O16" s="37">
        <v>0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7">
        <v>0</v>
      </c>
      <c r="V16" s="37">
        <v>0</v>
      </c>
      <c r="W16" s="37">
        <v>0</v>
      </c>
      <c r="X16" s="37">
        <v>0</v>
      </c>
      <c r="Y16" s="37">
        <v>0</v>
      </c>
      <c r="Z16" s="37">
        <v>47020</v>
      </c>
      <c r="AA16" s="37">
        <v>0</v>
      </c>
      <c r="AB16" s="37">
        <v>0</v>
      </c>
      <c r="AC16" s="37">
        <v>0</v>
      </c>
      <c r="AD16" s="37">
        <v>39839</v>
      </c>
      <c r="AE16" s="37">
        <v>40302</v>
      </c>
      <c r="AF16" s="37">
        <v>54593</v>
      </c>
      <c r="AG16" s="37">
        <v>66555</v>
      </c>
      <c r="AH16" s="37">
        <v>71295</v>
      </c>
      <c r="AI16" s="37">
        <v>69477</v>
      </c>
      <c r="AJ16" s="37">
        <v>48635</v>
      </c>
      <c r="AK16" s="37">
        <v>52760</v>
      </c>
      <c r="AL16" s="37">
        <v>61019</v>
      </c>
      <c r="AM16" s="37">
        <v>71115</v>
      </c>
      <c r="AN16" s="37">
        <v>88752.613440000001</v>
      </c>
      <c r="AO16" s="37">
        <v>72675</v>
      </c>
      <c r="AP16" s="37">
        <v>111745</v>
      </c>
      <c r="AQ16" s="37">
        <v>0</v>
      </c>
      <c r="AR16" s="37">
        <v>0</v>
      </c>
      <c r="AS16" s="37">
        <v>0</v>
      </c>
      <c r="AT16" s="37">
        <v>0</v>
      </c>
      <c r="AU16" s="37">
        <v>0</v>
      </c>
      <c r="AV16" s="37">
        <v>0</v>
      </c>
      <c r="AW16" s="37">
        <v>0</v>
      </c>
      <c r="AX16" s="37">
        <v>0</v>
      </c>
      <c r="AY16" s="37">
        <v>0</v>
      </c>
      <c r="AZ16" s="37">
        <v>0</v>
      </c>
      <c r="BA16" s="37">
        <v>0</v>
      </c>
      <c r="BB16" s="37">
        <v>0</v>
      </c>
      <c r="BC16" s="37">
        <v>0</v>
      </c>
      <c r="BD16" s="37">
        <v>0</v>
      </c>
      <c r="BE16" s="37">
        <v>0</v>
      </c>
      <c r="BF16" s="37">
        <v>0</v>
      </c>
      <c r="BG16" s="37">
        <v>0</v>
      </c>
      <c r="BH16" s="37">
        <v>0</v>
      </c>
      <c r="BI16" s="37">
        <v>0</v>
      </c>
      <c r="BJ16" s="37">
        <v>0</v>
      </c>
      <c r="BK16" s="37">
        <v>0</v>
      </c>
      <c r="BL16" s="37">
        <v>0</v>
      </c>
      <c r="BM16" s="37" t="s">
        <v>14</v>
      </c>
      <c r="BN16" s="37">
        <v>0</v>
      </c>
      <c r="BO16" s="215" t="s">
        <v>14</v>
      </c>
    </row>
    <row r="17" spans="2:67">
      <c r="B17" s="36" t="str">
        <f>IF('Índice - Index'!$D$14="Português","Outros créditos","Other Credits")</f>
        <v>Outros créditos</v>
      </c>
      <c r="C17" s="37">
        <v>15497</v>
      </c>
      <c r="D17" s="37">
        <v>20458</v>
      </c>
      <c r="E17" s="37">
        <v>26806</v>
      </c>
      <c r="F17" s="37">
        <v>29301</v>
      </c>
      <c r="G17" s="37">
        <v>16133</v>
      </c>
      <c r="H17" s="37">
        <v>29440</v>
      </c>
      <c r="I17" s="37">
        <v>29236</v>
      </c>
      <c r="J17" s="37">
        <v>30986</v>
      </c>
      <c r="K17" s="37">
        <v>21166</v>
      </c>
      <c r="L17" s="37">
        <v>37136</v>
      </c>
      <c r="M17" s="37">
        <v>38646</v>
      </c>
      <c r="N17" s="37">
        <v>60085</v>
      </c>
      <c r="O17" s="37">
        <v>85903</v>
      </c>
      <c r="P17" s="37">
        <v>94356</v>
      </c>
      <c r="Q17" s="37">
        <v>89272</v>
      </c>
      <c r="R17" s="37">
        <v>81752</v>
      </c>
      <c r="S17" s="37">
        <v>47965</v>
      </c>
      <c r="T17" s="37">
        <v>71669</v>
      </c>
      <c r="U17" s="37">
        <v>80245</v>
      </c>
      <c r="V17" s="37">
        <v>84194</v>
      </c>
      <c r="W17" s="37">
        <v>49928</v>
      </c>
      <c r="X17" s="37">
        <v>67305</v>
      </c>
      <c r="Y17" s="37">
        <v>65980</v>
      </c>
      <c r="Z17" s="37">
        <v>70044</v>
      </c>
      <c r="AA17" s="37">
        <v>39439</v>
      </c>
      <c r="AB17" s="37">
        <v>72658</v>
      </c>
      <c r="AC17" s="37">
        <v>94576</v>
      </c>
      <c r="AD17" s="37">
        <v>73071</v>
      </c>
      <c r="AE17" s="37">
        <v>63031</v>
      </c>
      <c r="AF17" s="37">
        <v>119216</v>
      </c>
      <c r="AG17" s="37">
        <v>85890</v>
      </c>
      <c r="AH17" s="37">
        <v>74048</v>
      </c>
      <c r="AI17" s="37">
        <v>70858</v>
      </c>
      <c r="AJ17" s="37">
        <v>106411</v>
      </c>
      <c r="AK17" s="37">
        <v>102081</v>
      </c>
      <c r="AL17" s="37">
        <v>88524</v>
      </c>
      <c r="AM17" s="37">
        <v>52810</v>
      </c>
      <c r="AN17" s="37">
        <v>66368</v>
      </c>
      <c r="AO17" s="37">
        <v>68817</v>
      </c>
      <c r="AP17" s="37">
        <v>71559.171040000001</v>
      </c>
      <c r="AQ17" s="37">
        <v>58687</v>
      </c>
      <c r="AR17" s="37">
        <v>73522</v>
      </c>
      <c r="AS17" s="37">
        <v>60264</v>
      </c>
      <c r="AT17" s="37">
        <v>54784</v>
      </c>
      <c r="AU17" s="37">
        <v>98915</v>
      </c>
      <c r="AV17" s="37">
        <v>75818</v>
      </c>
      <c r="AW17" s="37">
        <v>75959</v>
      </c>
      <c r="AX17" s="37">
        <v>76519</v>
      </c>
      <c r="AY17" s="37">
        <v>63540</v>
      </c>
      <c r="AZ17" s="37">
        <v>75401</v>
      </c>
      <c r="BA17" s="37">
        <v>65602</v>
      </c>
      <c r="BB17" s="37">
        <v>55555</v>
      </c>
      <c r="BC17" s="37">
        <v>42844</v>
      </c>
      <c r="BD17" s="37">
        <v>66758</v>
      </c>
      <c r="BE17" s="37">
        <v>52194</v>
      </c>
      <c r="BF17" s="37">
        <v>143886</v>
      </c>
      <c r="BG17" s="37">
        <v>31140.045920000008</v>
      </c>
      <c r="BH17" s="37">
        <v>46839</v>
      </c>
      <c r="BI17" s="37">
        <v>41312</v>
      </c>
      <c r="BJ17" s="37">
        <v>32466</v>
      </c>
      <c r="BK17" s="37">
        <v>24631</v>
      </c>
      <c r="BL17" s="37">
        <v>40673</v>
      </c>
      <c r="BM17" s="37">
        <v>33672</v>
      </c>
      <c r="BN17" s="37">
        <v>36905</v>
      </c>
      <c r="BO17" s="216">
        <v>41616</v>
      </c>
    </row>
    <row r="18" spans="2:67">
      <c r="B18" s="36" t="str">
        <f>IF('Índice - Index'!$D$14="Português","Ativos de Operações Descontinuadas","Assets from Discontinued Operations")</f>
        <v>Ativos de Operações Descontinuadas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>
        <v>0</v>
      </c>
      <c r="BD18" s="37"/>
      <c r="BE18" s="37"/>
      <c r="BF18" s="37"/>
      <c r="BG18" s="37">
        <v>500845</v>
      </c>
      <c r="BH18" s="37">
        <v>422435</v>
      </c>
      <c r="BI18" s="37">
        <v>146542</v>
      </c>
      <c r="BJ18" s="37">
        <v>68260</v>
      </c>
      <c r="BK18" s="37">
        <v>74480</v>
      </c>
      <c r="BL18" s="37">
        <v>0</v>
      </c>
      <c r="BM18" s="37">
        <v>0</v>
      </c>
      <c r="BN18" s="37">
        <v>0</v>
      </c>
      <c r="BO18" s="215" t="s">
        <v>14</v>
      </c>
    </row>
    <row r="19" spans="2:67">
      <c r="B19" s="34" t="str">
        <f>IF('Índice - Index'!$D$14="Português","Total do ativo circulante","Total Current Assets")</f>
        <v>Total do ativo circulante</v>
      </c>
      <c r="C19" s="39">
        <f t="shared" ref="C19:AT19" si="0">SUM(C9:C17)</f>
        <v>1108950</v>
      </c>
      <c r="D19" s="39">
        <f t="shared" si="0"/>
        <v>1005799</v>
      </c>
      <c r="E19" s="39">
        <f t="shared" si="0"/>
        <v>993394</v>
      </c>
      <c r="F19" s="39">
        <f t="shared" si="0"/>
        <v>1085827</v>
      </c>
      <c r="G19" s="39">
        <f t="shared" si="0"/>
        <v>1467670</v>
      </c>
      <c r="H19" s="39">
        <f t="shared" si="0"/>
        <v>1589246</v>
      </c>
      <c r="I19" s="39">
        <f t="shared" si="0"/>
        <v>1840148</v>
      </c>
      <c r="J19" s="39">
        <f t="shared" si="0"/>
        <v>1276584</v>
      </c>
      <c r="K19" s="39">
        <f t="shared" si="0"/>
        <v>1707467</v>
      </c>
      <c r="L19" s="39">
        <f t="shared" si="0"/>
        <v>1397668</v>
      </c>
      <c r="M19" s="39">
        <f t="shared" si="0"/>
        <v>1453376</v>
      </c>
      <c r="N19" s="39">
        <f t="shared" si="0"/>
        <v>1559775</v>
      </c>
      <c r="O19" s="39">
        <f t="shared" si="0"/>
        <v>1679723</v>
      </c>
      <c r="P19" s="39">
        <f t="shared" si="0"/>
        <v>1541340</v>
      </c>
      <c r="Q19" s="39">
        <f t="shared" si="0"/>
        <v>1524896</v>
      </c>
      <c r="R19" s="39">
        <f t="shared" si="0"/>
        <v>1493124</v>
      </c>
      <c r="S19" s="39">
        <f t="shared" si="0"/>
        <v>1693995</v>
      </c>
      <c r="T19" s="39">
        <f t="shared" si="0"/>
        <v>1729921</v>
      </c>
      <c r="U19" s="39">
        <f t="shared" si="0"/>
        <v>1786065</v>
      </c>
      <c r="V19" s="39">
        <f t="shared" si="0"/>
        <v>1804496</v>
      </c>
      <c r="W19" s="39">
        <f t="shared" si="0"/>
        <v>1986869</v>
      </c>
      <c r="X19" s="39">
        <f t="shared" si="0"/>
        <v>1935689.1297900002</v>
      </c>
      <c r="Y19" s="39">
        <f t="shared" si="0"/>
        <v>1935656</v>
      </c>
      <c r="Z19" s="39">
        <f t="shared" si="0"/>
        <v>2056838</v>
      </c>
      <c r="AA19" s="39">
        <f t="shared" si="0"/>
        <v>1862804</v>
      </c>
      <c r="AB19" s="39">
        <f t="shared" si="0"/>
        <v>1696592</v>
      </c>
      <c r="AC19" s="39">
        <f t="shared" si="0"/>
        <v>1732357</v>
      </c>
      <c r="AD19" s="39">
        <f t="shared" si="0"/>
        <v>1694999</v>
      </c>
      <c r="AE19" s="39">
        <f t="shared" si="0"/>
        <v>1590533</v>
      </c>
      <c r="AF19" s="39">
        <f t="shared" si="0"/>
        <v>1696395</v>
      </c>
      <c r="AG19" s="39">
        <f t="shared" si="0"/>
        <v>1559630</v>
      </c>
      <c r="AH19" s="39">
        <f t="shared" si="0"/>
        <v>1738437</v>
      </c>
      <c r="AI19" s="39">
        <f t="shared" si="0"/>
        <v>1847312</v>
      </c>
      <c r="AJ19" s="39">
        <f t="shared" si="0"/>
        <v>1681020</v>
      </c>
      <c r="AK19" s="39">
        <f t="shared" si="0"/>
        <v>1592229</v>
      </c>
      <c r="AL19" s="39">
        <f t="shared" si="0"/>
        <v>1617846</v>
      </c>
      <c r="AM19" s="39">
        <f t="shared" si="0"/>
        <v>1982028</v>
      </c>
      <c r="AN19" s="39">
        <f t="shared" si="0"/>
        <v>1779292.57574</v>
      </c>
      <c r="AO19" s="39">
        <f t="shared" si="0"/>
        <v>1758446</v>
      </c>
      <c r="AP19" s="39">
        <f t="shared" si="0"/>
        <v>1929024.1710399999</v>
      </c>
      <c r="AQ19" s="39">
        <f t="shared" si="0"/>
        <v>2375553</v>
      </c>
      <c r="AR19" s="39">
        <f t="shared" si="0"/>
        <v>1853788</v>
      </c>
      <c r="AS19" s="39">
        <f t="shared" si="0"/>
        <v>1492236</v>
      </c>
      <c r="AT19" s="39">
        <f t="shared" si="0"/>
        <v>1492658</v>
      </c>
      <c r="AU19" s="39">
        <v>1787275</v>
      </c>
      <c r="AV19" s="39">
        <v>1654243</v>
      </c>
      <c r="AW19" s="39">
        <f>SUM(AW9:AW17)</f>
        <v>1657103</v>
      </c>
      <c r="AX19" s="39">
        <f>SUM(AX9:AX17)</f>
        <v>1719450</v>
      </c>
      <c r="AY19" s="39">
        <f>SUM(AY9:AY17)</f>
        <v>1726927</v>
      </c>
      <c r="AZ19" s="39">
        <v>1675328</v>
      </c>
      <c r="BA19" s="39">
        <f t="shared" ref="BA19:BF19" si="1">SUM(BA9:BA17)</f>
        <v>1738914</v>
      </c>
      <c r="BB19" s="39">
        <f t="shared" si="1"/>
        <v>1643516</v>
      </c>
      <c r="BC19" s="39">
        <f>SUM(BC9:BC18)</f>
        <v>1572060</v>
      </c>
      <c r="BD19" s="39">
        <f t="shared" si="1"/>
        <v>1403231</v>
      </c>
      <c r="BE19" s="39">
        <f t="shared" si="1"/>
        <v>1207771</v>
      </c>
      <c r="BF19" s="39">
        <f t="shared" si="1"/>
        <v>978950</v>
      </c>
      <c r="BG19" s="39">
        <f t="shared" ref="BG19:BN19" si="2">SUM(BG9:BG18)</f>
        <v>961732.06284000003</v>
      </c>
      <c r="BH19" s="39">
        <f t="shared" si="2"/>
        <v>934153</v>
      </c>
      <c r="BI19" s="39">
        <f t="shared" si="2"/>
        <v>623117</v>
      </c>
      <c r="BJ19" s="192">
        <f t="shared" si="2"/>
        <v>569416</v>
      </c>
      <c r="BK19" s="192">
        <f t="shared" si="2"/>
        <v>576502</v>
      </c>
      <c r="BL19" s="192">
        <f t="shared" si="2"/>
        <v>570564</v>
      </c>
      <c r="BM19" s="192">
        <f t="shared" si="2"/>
        <v>526997</v>
      </c>
      <c r="BN19" s="192">
        <f t="shared" si="2"/>
        <v>630263</v>
      </c>
      <c r="BO19" s="219">
        <v>565173</v>
      </c>
    </row>
    <row r="20" spans="2:67" ht="14.4">
      <c r="B20" s="40"/>
      <c r="C20" s="41"/>
      <c r="D20" s="41"/>
      <c r="E20" s="41"/>
      <c r="F20" s="41"/>
      <c r="G20" s="41"/>
      <c r="H20"/>
      <c r="I20" s="41"/>
      <c r="J20" s="41"/>
      <c r="K20" s="41"/>
      <c r="AE20" s="53"/>
      <c r="AF20" s="53"/>
      <c r="AG20" s="53"/>
      <c r="AH20" s="53"/>
      <c r="AI20" s="53"/>
      <c r="AJ20" s="27"/>
      <c r="AK20" s="27"/>
      <c r="AL20" s="27"/>
      <c r="AM20" s="27"/>
      <c r="AN20" s="53"/>
      <c r="AO20" s="53"/>
      <c r="AP20" s="53"/>
      <c r="AQ20" s="53"/>
      <c r="AR20" s="53"/>
      <c r="AS20" s="53"/>
      <c r="AT20" s="53"/>
      <c r="AU20" s="53"/>
      <c r="AV20" s="53"/>
      <c r="AY20" s="53"/>
      <c r="BO20" s="217"/>
    </row>
    <row r="21" spans="2:67">
      <c r="B21" s="34" t="str">
        <f>IF('Índice - Index'!$D$14="Português","NÃO CIRCULANTE","NONCURRENT ASSETS")</f>
        <v>NÃO CIRCULANTE</v>
      </c>
      <c r="C21" s="41"/>
      <c r="D21" s="41"/>
      <c r="E21" s="41"/>
      <c r="F21" s="41"/>
      <c r="G21" s="41"/>
      <c r="H21" s="41"/>
      <c r="I21" s="41"/>
      <c r="J21" s="41"/>
      <c r="K21" s="41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Y21" s="27"/>
      <c r="BO21" s="217"/>
    </row>
    <row r="22" spans="2:67">
      <c r="B22" s="36" t="str">
        <f>IF('Índice - Index'!$D$14="Português","Contas a receber de clientes","Accounts receivable clients")</f>
        <v>Contas a receber de clientes</v>
      </c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>
        <v>0</v>
      </c>
      <c r="AZ22" s="37"/>
      <c r="BA22" s="37"/>
      <c r="BB22" s="37">
        <v>19953</v>
      </c>
      <c r="BC22" s="37">
        <v>13594</v>
      </c>
      <c r="BD22" s="37">
        <v>4328</v>
      </c>
      <c r="BE22" s="37">
        <v>3347</v>
      </c>
      <c r="BF22" s="37">
        <v>2441</v>
      </c>
      <c r="BG22" s="37">
        <v>0</v>
      </c>
      <c r="BH22" s="37">
        <v>0</v>
      </c>
      <c r="BI22" s="37">
        <v>0</v>
      </c>
      <c r="BJ22" s="37">
        <v>0</v>
      </c>
      <c r="BK22" s="37">
        <v>0</v>
      </c>
      <c r="BL22" s="37">
        <v>0</v>
      </c>
      <c r="BM22" s="37" t="s">
        <v>14</v>
      </c>
      <c r="BN22" s="37">
        <v>0</v>
      </c>
      <c r="BO22" s="215" t="s">
        <v>14</v>
      </c>
    </row>
    <row r="23" spans="2:67">
      <c r="B23" s="36" t="str">
        <f>IF('Índice - Index'!$D$14="Português","IR e CSLL diferidos","Def. Income and social c. taxes")</f>
        <v>IR e CSLL diferidos</v>
      </c>
      <c r="C23" s="37">
        <v>77093</v>
      </c>
      <c r="D23" s="37">
        <v>79459</v>
      </c>
      <c r="E23" s="37">
        <v>76894</v>
      </c>
      <c r="F23" s="37">
        <v>67586</v>
      </c>
      <c r="G23" s="37">
        <v>72977</v>
      </c>
      <c r="H23" s="37">
        <v>79784</v>
      </c>
      <c r="I23" s="37">
        <v>95446</v>
      </c>
      <c r="J23" s="37">
        <v>85073</v>
      </c>
      <c r="K23" s="37">
        <v>83328</v>
      </c>
      <c r="L23" s="37">
        <v>96437</v>
      </c>
      <c r="M23" s="37">
        <v>89252</v>
      </c>
      <c r="N23" s="37">
        <v>89146</v>
      </c>
      <c r="O23" s="37">
        <v>80594</v>
      </c>
      <c r="P23" s="37">
        <v>97679</v>
      </c>
      <c r="Q23" s="37">
        <v>104063</v>
      </c>
      <c r="R23" s="37">
        <v>115161</v>
      </c>
      <c r="S23" s="37">
        <v>112987</v>
      </c>
      <c r="T23" s="37">
        <v>141533</v>
      </c>
      <c r="U23" s="37">
        <v>167348</v>
      </c>
      <c r="V23" s="37">
        <v>193985</v>
      </c>
      <c r="W23" s="37">
        <v>184566</v>
      </c>
      <c r="X23" s="37">
        <v>195078.792254</v>
      </c>
      <c r="Y23" s="37">
        <v>232092.96971820001</v>
      </c>
      <c r="Z23" s="37">
        <v>248472.95230020001</v>
      </c>
      <c r="AA23" s="37">
        <v>270792.07420910447</v>
      </c>
      <c r="AB23" s="37">
        <v>301840.05844980001</v>
      </c>
      <c r="AC23" s="37">
        <v>318865.08342659997</v>
      </c>
      <c r="AD23" s="37">
        <v>352121</v>
      </c>
      <c r="AE23" s="37">
        <v>371852</v>
      </c>
      <c r="AF23" s="37">
        <v>380761</v>
      </c>
      <c r="AG23" s="37">
        <v>416713</v>
      </c>
      <c r="AH23" s="37">
        <v>410184</v>
      </c>
      <c r="AI23" s="37">
        <v>407407</v>
      </c>
      <c r="AJ23" s="37">
        <v>398911</v>
      </c>
      <c r="AK23" s="37">
        <v>385166</v>
      </c>
      <c r="AL23" s="37">
        <v>364577</v>
      </c>
      <c r="AM23" s="37">
        <v>70344</v>
      </c>
      <c r="AN23" s="37">
        <v>65021.298259999996</v>
      </c>
      <c r="AO23" s="37">
        <v>70600</v>
      </c>
      <c r="AP23" s="37">
        <v>68265</v>
      </c>
      <c r="AQ23" s="37">
        <v>69525</v>
      </c>
      <c r="AR23" s="37">
        <v>66997</v>
      </c>
      <c r="AS23" s="37">
        <v>80791</v>
      </c>
      <c r="AT23" s="37">
        <v>80978</v>
      </c>
      <c r="AU23" s="37">
        <v>74817</v>
      </c>
      <c r="AV23" s="37">
        <v>61563</v>
      </c>
      <c r="AW23" s="37">
        <v>75573</v>
      </c>
      <c r="AX23" s="37">
        <v>67165</v>
      </c>
      <c r="AY23" s="37">
        <v>69482</v>
      </c>
      <c r="AZ23" s="37">
        <v>80161</v>
      </c>
      <c r="BA23" s="37">
        <v>102288</v>
      </c>
      <c r="BB23" s="37">
        <v>122682</v>
      </c>
      <c r="BC23" s="37">
        <v>70778</v>
      </c>
      <c r="BD23" s="37">
        <v>79496</v>
      </c>
      <c r="BE23" s="37">
        <v>96671</v>
      </c>
      <c r="BF23" s="37">
        <v>96670</v>
      </c>
      <c r="BG23" s="37">
        <v>75233.298490000016</v>
      </c>
      <c r="BH23" s="37">
        <v>73702</v>
      </c>
      <c r="BI23" s="37">
        <v>60813</v>
      </c>
      <c r="BJ23" s="37">
        <v>60289</v>
      </c>
      <c r="BK23" s="37">
        <v>60765</v>
      </c>
      <c r="BL23" s="37">
        <v>60726</v>
      </c>
      <c r="BM23" s="37">
        <v>61931</v>
      </c>
      <c r="BN23" s="37">
        <v>55274</v>
      </c>
      <c r="BO23" s="216">
        <v>55802</v>
      </c>
    </row>
    <row r="24" spans="2:67">
      <c r="B24" s="36" t="str">
        <f>IF('Índice - Index'!$D$14="Português","Impostos a recuperar","Recoverable Taxes")</f>
        <v>Impostos a recuperar</v>
      </c>
      <c r="C24" s="37">
        <v>26220</v>
      </c>
      <c r="D24" s="37">
        <v>31181</v>
      </c>
      <c r="E24" s="37">
        <v>33985</v>
      </c>
      <c r="F24" s="37">
        <v>35972</v>
      </c>
      <c r="G24" s="37">
        <v>42005</v>
      </c>
      <c r="H24" s="37">
        <v>46329</v>
      </c>
      <c r="I24" s="37">
        <v>41587</v>
      </c>
      <c r="J24" s="37">
        <v>69149</v>
      </c>
      <c r="K24" s="37">
        <v>34642</v>
      </c>
      <c r="L24" s="37">
        <v>35498</v>
      </c>
      <c r="M24" s="37">
        <v>32309</v>
      </c>
      <c r="N24" s="37">
        <v>22929</v>
      </c>
      <c r="O24" s="37">
        <v>21874</v>
      </c>
      <c r="P24" s="37">
        <v>13207</v>
      </c>
      <c r="Q24" s="37">
        <v>13398</v>
      </c>
      <c r="R24" s="37">
        <v>13816</v>
      </c>
      <c r="S24" s="37">
        <v>14195</v>
      </c>
      <c r="T24" s="37">
        <v>14582</v>
      </c>
      <c r="U24" s="37">
        <v>15095</v>
      </c>
      <c r="V24" s="37">
        <v>15838</v>
      </c>
      <c r="W24" s="37">
        <v>16271</v>
      </c>
      <c r="X24" s="37">
        <v>16318</v>
      </c>
      <c r="Y24" s="37">
        <v>11906</v>
      </c>
      <c r="Z24" s="37">
        <v>7060</v>
      </c>
      <c r="AA24" s="37">
        <v>272</v>
      </c>
      <c r="AB24" s="37">
        <v>575</v>
      </c>
      <c r="AC24" s="37">
        <v>1812</v>
      </c>
      <c r="AD24" s="37">
        <v>3091</v>
      </c>
      <c r="AE24" s="37">
        <v>10242</v>
      </c>
      <c r="AF24" s="37">
        <v>2742</v>
      </c>
      <c r="AG24" s="37">
        <v>2741</v>
      </c>
      <c r="AH24" s="37">
        <v>3016</v>
      </c>
      <c r="AI24" s="37">
        <v>2199</v>
      </c>
      <c r="AJ24" s="37">
        <v>3901</v>
      </c>
      <c r="AK24" s="37">
        <v>3662</v>
      </c>
      <c r="AL24" s="37">
        <v>3807</v>
      </c>
      <c r="AM24" s="37">
        <v>548129</v>
      </c>
      <c r="AN24" s="37">
        <v>547888.63239000004</v>
      </c>
      <c r="AO24" s="37">
        <v>547701</v>
      </c>
      <c r="AP24" s="37">
        <v>381149</v>
      </c>
      <c r="AQ24" s="37">
        <v>550052</v>
      </c>
      <c r="AR24" s="37">
        <v>547207</v>
      </c>
      <c r="AS24" s="37">
        <v>630609</v>
      </c>
      <c r="AT24" s="37">
        <v>534402</v>
      </c>
      <c r="AU24" s="37">
        <v>560554</v>
      </c>
      <c r="AV24" s="37">
        <v>581667</v>
      </c>
      <c r="AW24" s="37">
        <v>580119</v>
      </c>
      <c r="AX24" s="37">
        <v>663564</v>
      </c>
      <c r="AY24" s="37">
        <v>638297</v>
      </c>
      <c r="AZ24" s="37">
        <v>638073</v>
      </c>
      <c r="BA24" s="37">
        <v>616462</v>
      </c>
      <c r="BB24" s="37">
        <v>601520</v>
      </c>
      <c r="BC24" s="37">
        <v>536407</v>
      </c>
      <c r="BD24" s="37">
        <v>538900</v>
      </c>
      <c r="BE24" s="37">
        <v>573973</v>
      </c>
      <c r="BF24" s="37">
        <v>553235</v>
      </c>
      <c r="BG24" s="37">
        <v>634145.46139000007</v>
      </c>
      <c r="BH24" s="37">
        <v>620289</v>
      </c>
      <c r="BI24" s="37">
        <v>626310</v>
      </c>
      <c r="BJ24" s="37">
        <v>634098</v>
      </c>
      <c r="BK24" s="37">
        <v>675941</v>
      </c>
      <c r="BL24" s="37">
        <v>822197</v>
      </c>
      <c r="BM24" s="37">
        <v>846008</v>
      </c>
      <c r="BN24" s="37">
        <v>862737</v>
      </c>
      <c r="BO24" s="216">
        <v>887255</v>
      </c>
    </row>
    <row r="25" spans="2:67">
      <c r="B25" s="36" t="s">
        <v>26</v>
      </c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>
        <v>3464</v>
      </c>
      <c r="AW25" s="37">
        <v>3888</v>
      </c>
      <c r="AX25" s="37">
        <v>3764</v>
      </c>
      <c r="AY25" s="37">
        <v>3496</v>
      </c>
      <c r="AZ25" s="37">
        <v>3008</v>
      </c>
      <c r="BA25" s="37">
        <v>2699</v>
      </c>
      <c r="BB25" s="37">
        <v>2578</v>
      </c>
      <c r="BC25" s="37">
        <v>2307</v>
      </c>
      <c r="BD25" s="37">
        <v>2020</v>
      </c>
      <c r="BE25" s="37">
        <v>9323</v>
      </c>
      <c r="BF25" s="37">
        <v>11722</v>
      </c>
      <c r="BG25" s="37">
        <v>10842.40166</v>
      </c>
      <c r="BH25" s="37">
        <v>13011</v>
      </c>
      <c r="BI25" s="37">
        <v>12098</v>
      </c>
      <c r="BJ25" s="37">
        <v>10671</v>
      </c>
      <c r="BK25" s="37">
        <v>10133</v>
      </c>
      <c r="BL25" s="37">
        <v>9684</v>
      </c>
      <c r="BM25" s="37">
        <v>7537</v>
      </c>
      <c r="BN25" s="37">
        <v>9630</v>
      </c>
      <c r="BO25" s="216">
        <v>10036</v>
      </c>
    </row>
    <row r="26" spans="2:67">
      <c r="B26" s="36" t="str">
        <f>IF('Índice - Index'!$D$14="Português","Depósitos Judiciais","Judicial Deposits")</f>
        <v>Depósitos Judiciais</v>
      </c>
      <c r="C26" s="37">
        <v>31100</v>
      </c>
      <c r="D26" s="37">
        <v>35556</v>
      </c>
      <c r="E26" s="37">
        <v>36176</v>
      </c>
      <c r="F26" s="37">
        <v>38685</v>
      </c>
      <c r="G26" s="37">
        <v>39817</v>
      </c>
      <c r="H26" s="37">
        <v>41606</v>
      </c>
      <c r="I26" s="37">
        <v>37773</v>
      </c>
      <c r="J26" s="37">
        <v>40782</v>
      </c>
      <c r="K26" s="37">
        <v>36669</v>
      </c>
      <c r="L26" s="37">
        <v>44851</v>
      </c>
      <c r="M26" s="37">
        <v>46531</v>
      </c>
      <c r="N26" s="37">
        <v>48549</v>
      </c>
      <c r="O26" s="37">
        <v>50055</v>
      </c>
      <c r="P26" s="37">
        <v>49742</v>
      </c>
      <c r="Q26" s="37">
        <v>51532</v>
      </c>
      <c r="R26" s="37">
        <v>44091</v>
      </c>
      <c r="S26" s="37">
        <v>44846</v>
      </c>
      <c r="T26" s="37">
        <v>52376</v>
      </c>
      <c r="U26" s="37">
        <v>54081</v>
      </c>
      <c r="V26" s="37">
        <v>54398</v>
      </c>
      <c r="W26" s="37">
        <v>55299</v>
      </c>
      <c r="X26" s="37">
        <v>56612</v>
      </c>
      <c r="Y26" s="37">
        <v>57001</v>
      </c>
      <c r="Z26" s="37">
        <v>56454</v>
      </c>
      <c r="AA26" s="37">
        <v>56491</v>
      </c>
      <c r="AB26" s="37">
        <v>59864</v>
      </c>
      <c r="AC26" s="37">
        <v>74910</v>
      </c>
      <c r="AD26" s="37">
        <v>75242</v>
      </c>
      <c r="AE26" s="37">
        <v>79391</v>
      </c>
      <c r="AF26" s="37">
        <v>74174</v>
      </c>
      <c r="AG26" s="37">
        <v>102915</v>
      </c>
      <c r="AH26" s="37">
        <v>104974</v>
      </c>
      <c r="AI26" s="37">
        <v>106480</v>
      </c>
      <c r="AJ26" s="37">
        <v>124265</v>
      </c>
      <c r="AK26" s="37">
        <v>125834</v>
      </c>
      <c r="AL26" s="37">
        <v>126560</v>
      </c>
      <c r="AM26" s="37">
        <v>123790</v>
      </c>
      <c r="AN26" s="37">
        <v>124143.36929999999</v>
      </c>
      <c r="AO26" s="37">
        <v>127434</v>
      </c>
      <c r="AP26" s="37">
        <v>129404</v>
      </c>
      <c r="AQ26" s="37">
        <v>133404</v>
      </c>
      <c r="AR26" s="37">
        <v>135031</v>
      </c>
      <c r="AS26" s="37">
        <v>141432</v>
      </c>
      <c r="AT26" s="37">
        <v>143693</v>
      </c>
      <c r="AU26" s="37">
        <v>142035</v>
      </c>
      <c r="AV26" s="37">
        <v>137634</v>
      </c>
      <c r="AW26" s="37">
        <v>135388</v>
      </c>
      <c r="AX26" s="37">
        <v>133506</v>
      </c>
      <c r="AY26" s="37">
        <v>134024</v>
      </c>
      <c r="AZ26" s="37">
        <v>135178</v>
      </c>
      <c r="BA26" s="37">
        <v>137987</v>
      </c>
      <c r="BB26" s="37">
        <v>141877</v>
      </c>
      <c r="BC26" s="37">
        <v>145151</v>
      </c>
      <c r="BD26" s="37">
        <v>144899</v>
      </c>
      <c r="BE26" s="37">
        <v>143642</v>
      </c>
      <c r="BF26" s="37">
        <v>147510</v>
      </c>
      <c r="BG26" s="37">
        <v>148171.84446000002</v>
      </c>
      <c r="BH26" s="37">
        <v>152453</v>
      </c>
      <c r="BI26" s="37">
        <v>160356</v>
      </c>
      <c r="BJ26" s="37">
        <v>166696</v>
      </c>
      <c r="BK26" s="37">
        <v>39467</v>
      </c>
      <c r="BL26" s="37">
        <v>41114</v>
      </c>
      <c r="BM26" s="37">
        <v>39909</v>
      </c>
      <c r="BN26" s="37">
        <v>51537</v>
      </c>
      <c r="BO26" s="216">
        <v>48353</v>
      </c>
    </row>
    <row r="27" spans="2:67">
      <c r="B27" s="36" t="str">
        <f>IF('Índice - Index'!$D$14="Português","Títulos e valores mobiliários","Securities")</f>
        <v>Títulos e valores mobiliários</v>
      </c>
      <c r="C27" s="37">
        <v>0</v>
      </c>
      <c r="D27" s="37">
        <v>0</v>
      </c>
      <c r="E27" s="37">
        <v>0</v>
      </c>
      <c r="F27" s="37">
        <v>0</v>
      </c>
      <c r="G27" s="37">
        <v>5069</v>
      </c>
      <c r="H27" s="37">
        <v>5121</v>
      </c>
      <c r="I27" s="37">
        <v>5236</v>
      </c>
      <c r="J27" s="37">
        <v>5525</v>
      </c>
      <c r="K27" s="37">
        <v>5690</v>
      </c>
      <c r="L27" s="37">
        <v>6052</v>
      </c>
      <c r="M27" s="37">
        <v>5923</v>
      </c>
      <c r="N27" s="37">
        <v>5860</v>
      </c>
      <c r="O27" s="37">
        <v>6879</v>
      </c>
      <c r="P27" s="37">
        <v>7322</v>
      </c>
      <c r="Q27" s="37">
        <v>7419</v>
      </c>
      <c r="R27" s="37">
        <v>7431</v>
      </c>
      <c r="S27" s="37">
        <v>7874</v>
      </c>
      <c r="T27" s="37">
        <v>6663</v>
      </c>
      <c r="U27" s="37">
        <v>17000</v>
      </c>
      <c r="V27" s="37">
        <v>14118</v>
      </c>
      <c r="W27" s="37">
        <v>14010</v>
      </c>
      <c r="X27" s="37">
        <v>4436</v>
      </c>
      <c r="Y27" s="37">
        <v>4619</v>
      </c>
      <c r="Z27" s="37">
        <v>2530</v>
      </c>
      <c r="AA27" s="37">
        <v>12796</v>
      </c>
      <c r="AB27" s="37">
        <v>18515</v>
      </c>
      <c r="AC27" s="37">
        <v>15931</v>
      </c>
      <c r="AD27" s="37">
        <v>13132</v>
      </c>
      <c r="AE27" s="37">
        <v>29656</v>
      </c>
      <c r="AF27" s="37">
        <v>26487</v>
      </c>
      <c r="AG27" s="37">
        <v>27710</v>
      </c>
      <c r="AH27" s="37">
        <v>22557</v>
      </c>
      <c r="AI27" s="37">
        <v>22312</v>
      </c>
      <c r="AJ27" s="37">
        <v>24837</v>
      </c>
      <c r="AK27" s="37">
        <v>62178</v>
      </c>
      <c r="AL27" s="37">
        <v>99993</v>
      </c>
      <c r="AM27" s="37">
        <v>96703</v>
      </c>
      <c r="AN27" s="37">
        <v>86206.28933</v>
      </c>
      <c r="AO27" s="37">
        <v>90875</v>
      </c>
      <c r="AP27" s="37">
        <v>70137</v>
      </c>
      <c r="AQ27" s="37">
        <v>57011</v>
      </c>
      <c r="AR27" s="37">
        <v>0</v>
      </c>
      <c r="AS27" s="37">
        <v>23748</v>
      </c>
      <c r="AT27" s="37">
        <v>32434</v>
      </c>
      <c r="AU27" s="37">
        <v>34271</v>
      </c>
      <c r="AV27" s="37">
        <v>95524</v>
      </c>
      <c r="AW27" s="37">
        <v>55037</v>
      </c>
      <c r="AX27" s="37">
        <v>34152</v>
      </c>
      <c r="AY27" s="37">
        <v>45693</v>
      </c>
      <c r="AZ27" s="37">
        <v>77281</v>
      </c>
      <c r="BA27" s="37">
        <v>41649</v>
      </c>
      <c r="BB27" s="37">
        <v>39082</v>
      </c>
      <c r="BC27" s="37">
        <v>64628</v>
      </c>
      <c r="BD27" s="37">
        <v>1848</v>
      </c>
      <c r="BE27" s="37">
        <v>1174</v>
      </c>
      <c r="BF27" s="37">
        <v>3540</v>
      </c>
      <c r="BG27" s="37">
        <v>2590.8423899999998</v>
      </c>
      <c r="BH27" s="37">
        <v>1396</v>
      </c>
      <c r="BI27" s="37">
        <v>5785</v>
      </c>
      <c r="BJ27" s="37">
        <v>2102</v>
      </c>
      <c r="BK27" s="37">
        <v>1452</v>
      </c>
      <c r="BL27" s="37">
        <v>1020</v>
      </c>
      <c r="BM27" s="37">
        <v>587</v>
      </c>
      <c r="BN27" s="37">
        <v>8345</v>
      </c>
      <c r="BO27" s="216">
        <v>11867</v>
      </c>
    </row>
    <row r="28" spans="2:67">
      <c r="B28" s="36" t="str">
        <f>IF('Índice - Index'!$D$14="Português","Partes relacionadas","Related parties")</f>
        <v>Partes relacionadas</v>
      </c>
      <c r="C28" s="37">
        <v>1932</v>
      </c>
      <c r="D28" s="37">
        <v>1932</v>
      </c>
      <c r="E28" s="37">
        <v>1932</v>
      </c>
      <c r="F28" s="37">
        <v>1930</v>
      </c>
      <c r="G28" s="37">
        <v>1280</v>
      </c>
      <c r="H28" s="37">
        <v>1280</v>
      </c>
      <c r="I28" s="37">
        <v>1283</v>
      </c>
      <c r="J28" s="37">
        <v>1379</v>
      </c>
      <c r="K28" s="37">
        <v>1280</v>
      </c>
      <c r="L28" s="37">
        <v>1280</v>
      </c>
      <c r="M28" s="37">
        <v>1280</v>
      </c>
      <c r="N28" s="37">
        <v>1280</v>
      </c>
      <c r="O28" s="37">
        <v>1174</v>
      </c>
      <c r="P28" s="37">
        <v>1171</v>
      </c>
      <c r="Q28" s="37">
        <v>1174</v>
      </c>
      <c r="R28" s="37">
        <v>1174</v>
      </c>
      <c r="S28" s="37">
        <v>1174</v>
      </c>
      <c r="T28" s="37">
        <v>1174</v>
      </c>
      <c r="U28" s="37">
        <v>1174</v>
      </c>
      <c r="V28" s="37">
        <v>1174</v>
      </c>
      <c r="W28" s="37">
        <v>1174</v>
      </c>
      <c r="X28" s="37">
        <v>1174</v>
      </c>
      <c r="Y28" s="37">
        <v>0</v>
      </c>
      <c r="Z28" s="37">
        <v>0</v>
      </c>
      <c r="AA28" s="37">
        <v>0</v>
      </c>
      <c r="AB28" s="37">
        <v>0</v>
      </c>
      <c r="AC28" s="37">
        <v>0</v>
      </c>
      <c r="AD28" s="37">
        <v>0</v>
      </c>
      <c r="AE28" s="37">
        <v>1529</v>
      </c>
      <c r="AF28" s="37">
        <v>1548</v>
      </c>
      <c r="AG28" s="37">
        <v>1502</v>
      </c>
      <c r="AH28" s="37">
        <v>1466</v>
      </c>
      <c r="AI28" s="37">
        <v>0</v>
      </c>
      <c r="AJ28" s="37">
        <v>0</v>
      </c>
      <c r="AK28" s="37">
        <v>0</v>
      </c>
      <c r="AL28" s="37">
        <v>0</v>
      </c>
      <c r="AM28" s="37">
        <v>0</v>
      </c>
      <c r="AN28" s="37">
        <v>0</v>
      </c>
      <c r="AO28" s="37">
        <v>0</v>
      </c>
      <c r="AP28" s="37">
        <v>0</v>
      </c>
      <c r="AQ28" s="37">
        <v>0</v>
      </c>
      <c r="AR28" s="37">
        <v>0</v>
      </c>
      <c r="AS28" s="37">
        <v>0</v>
      </c>
      <c r="AT28" s="37">
        <v>0</v>
      </c>
      <c r="AU28" s="37">
        <v>0</v>
      </c>
      <c r="AV28" s="37">
        <v>0</v>
      </c>
      <c r="AW28" s="37">
        <v>0</v>
      </c>
      <c r="AX28" s="37">
        <v>0</v>
      </c>
      <c r="AY28" s="37">
        <v>0</v>
      </c>
      <c r="AZ28" s="37">
        <v>0</v>
      </c>
      <c r="BA28" s="37">
        <v>0</v>
      </c>
      <c r="BB28" s="37">
        <v>0</v>
      </c>
      <c r="BC28" s="37">
        <v>0</v>
      </c>
      <c r="BD28" s="37">
        <v>0</v>
      </c>
      <c r="BE28" s="37">
        <v>0</v>
      </c>
      <c r="BF28" s="37">
        <v>0</v>
      </c>
      <c r="BG28" s="37">
        <v>0</v>
      </c>
      <c r="BH28" s="37">
        <v>0</v>
      </c>
      <c r="BI28" s="37">
        <v>0</v>
      </c>
      <c r="BJ28" s="37">
        <v>0</v>
      </c>
      <c r="BK28" s="37">
        <v>0</v>
      </c>
      <c r="BL28" s="37">
        <v>0</v>
      </c>
      <c r="BM28" s="37">
        <v>0</v>
      </c>
      <c r="BN28" s="37">
        <v>0</v>
      </c>
      <c r="BO28" s="215" t="s">
        <v>14</v>
      </c>
    </row>
    <row r="29" spans="2:67">
      <c r="B29" s="36" t="str">
        <f>IF('Índice - Index'!$D$14="Português","Investimentos","Investments")</f>
        <v>Investimentos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v>0</v>
      </c>
      <c r="I29" s="37">
        <v>0</v>
      </c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7">
        <v>2237</v>
      </c>
      <c r="V29" s="37">
        <v>7326</v>
      </c>
      <c r="W29" s="37">
        <v>24111</v>
      </c>
      <c r="X29" s="37">
        <v>4612</v>
      </c>
      <c r="Y29" s="37">
        <v>2795</v>
      </c>
      <c r="Z29" s="37">
        <v>2087</v>
      </c>
      <c r="AA29" s="37">
        <v>17858</v>
      </c>
      <c r="AB29" s="37">
        <v>17549</v>
      </c>
      <c r="AC29" s="37">
        <v>17549</v>
      </c>
      <c r="AD29" s="37">
        <v>17549</v>
      </c>
      <c r="AE29" s="37">
        <v>17547</v>
      </c>
      <c r="AF29" s="37">
        <v>17549</v>
      </c>
      <c r="AG29" s="37">
        <v>17549</v>
      </c>
      <c r="AH29" s="37">
        <v>17549</v>
      </c>
      <c r="AI29" s="37">
        <v>12173</v>
      </c>
      <c r="AJ29" s="37">
        <v>12173</v>
      </c>
      <c r="AK29" s="37">
        <v>12173</v>
      </c>
      <c r="AL29" s="37">
        <v>0</v>
      </c>
      <c r="AM29" s="37">
        <v>0</v>
      </c>
      <c r="AN29" s="37">
        <v>0</v>
      </c>
      <c r="AO29" s="37">
        <v>0</v>
      </c>
      <c r="AP29" s="37">
        <v>0</v>
      </c>
      <c r="AQ29" s="37">
        <v>0</v>
      </c>
      <c r="AR29" s="37">
        <v>0</v>
      </c>
      <c r="AS29" s="37">
        <v>0</v>
      </c>
      <c r="AT29" s="37">
        <v>0</v>
      </c>
      <c r="AU29" s="37">
        <v>0</v>
      </c>
      <c r="AV29" s="37">
        <v>0</v>
      </c>
      <c r="AW29" s="37">
        <v>0</v>
      </c>
      <c r="AX29" s="37">
        <v>0</v>
      </c>
      <c r="AY29" s="37">
        <v>0</v>
      </c>
      <c r="AZ29" s="37">
        <v>0</v>
      </c>
      <c r="BA29" s="37">
        <v>0</v>
      </c>
      <c r="BB29" s="37">
        <v>0</v>
      </c>
      <c r="BC29" s="37">
        <v>0</v>
      </c>
      <c r="BD29" s="37">
        <v>0</v>
      </c>
      <c r="BE29" s="37">
        <v>0</v>
      </c>
      <c r="BF29" s="37">
        <v>0</v>
      </c>
      <c r="BG29" s="37">
        <v>0</v>
      </c>
      <c r="BH29" s="37">
        <v>0</v>
      </c>
      <c r="BI29" s="37">
        <v>0</v>
      </c>
      <c r="BJ29" s="37">
        <v>0</v>
      </c>
      <c r="BK29" s="37">
        <v>0</v>
      </c>
      <c r="BL29" s="37">
        <v>0</v>
      </c>
      <c r="BM29" s="37">
        <v>0</v>
      </c>
      <c r="BN29" s="37">
        <v>0</v>
      </c>
      <c r="BO29" s="215" t="s">
        <v>14</v>
      </c>
    </row>
    <row r="30" spans="2:67">
      <c r="B30" s="36" t="str">
        <f>IF('Índice - Index'!$D$14="Português","Outros investimentos","Other Investments")</f>
        <v>Outros investimentos</v>
      </c>
      <c r="C30" s="37">
        <v>2</v>
      </c>
      <c r="D30" s="37">
        <v>2</v>
      </c>
      <c r="E30" s="37">
        <v>2</v>
      </c>
      <c r="F30" s="37">
        <v>2</v>
      </c>
      <c r="G30" s="37">
        <v>2</v>
      </c>
      <c r="H30" s="37">
        <v>2</v>
      </c>
      <c r="I30" s="37">
        <v>2</v>
      </c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  <c r="V30" s="37">
        <v>0</v>
      </c>
      <c r="W30" s="37">
        <v>0</v>
      </c>
      <c r="X30" s="37">
        <v>0</v>
      </c>
      <c r="Y30" s="37">
        <v>0</v>
      </c>
      <c r="Z30" s="37">
        <v>0</v>
      </c>
      <c r="AA30" s="37">
        <v>0</v>
      </c>
      <c r="AB30" s="37">
        <v>0</v>
      </c>
      <c r="AC30" s="37">
        <v>0</v>
      </c>
      <c r="AD30" s="37">
        <v>0</v>
      </c>
      <c r="AE30" s="37">
        <v>0</v>
      </c>
      <c r="AF30" s="37">
        <v>0</v>
      </c>
      <c r="AG30" s="37">
        <v>0</v>
      </c>
      <c r="AH30" s="37">
        <v>0</v>
      </c>
      <c r="AI30" s="37">
        <v>0</v>
      </c>
      <c r="AJ30" s="37">
        <v>0</v>
      </c>
      <c r="AK30" s="37">
        <v>0</v>
      </c>
      <c r="AL30" s="37">
        <v>0</v>
      </c>
      <c r="AM30" s="37">
        <v>0</v>
      </c>
      <c r="AN30" s="37">
        <v>0</v>
      </c>
      <c r="AO30" s="37">
        <v>0</v>
      </c>
      <c r="AP30" s="37">
        <v>0</v>
      </c>
      <c r="AQ30" s="37">
        <v>0</v>
      </c>
      <c r="AR30" s="37">
        <v>0</v>
      </c>
      <c r="AS30" s="37">
        <v>0</v>
      </c>
      <c r="AT30" s="37">
        <v>0</v>
      </c>
      <c r="AU30" s="37">
        <v>0</v>
      </c>
      <c r="AV30" s="37">
        <v>0</v>
      </c>
      <c r="AW30" s="37">
        <v>0</v>
      </c>
      <c r="AX30" s="37">
        <v>0</v>
      </c>
      <c r="AY30" s="37">
        <v>0</v>
      </c>
      <c r="AZ30" s="37">
        <v>0</v>
      </c>
      <c r="BA30" s="37">
        <v>0</v>
      </c>
      <c r="BB30" s="37">
        <v>0</v>
      </c>
      <c r="BC30" s="37">
        <v>0</v>
      </c>
      <c r="BD30" s="37">
        <v>0</v>
      </c>
      <c r="BE30" s="37">
        <v>0</v>
      </c>
      <c r="BF30" s="37">
        <v>0</v>
      </c>
      <c r="BG30" s="37">
        <v>0</v>
      </c>
      <c r="BH30" s="37">
        <v>0</v>
      </c>
      <c r="BI30" s="37">
        <v>0</v>
      </c>
      <c r="BJ30" s="37">
        <v>0</v>
      </c>
      <c r="BK30" s="37">
        <v>0</v>
      </c>
      <c r="BL30" s="37">
        <v>0</v>
      </c>
      <c r="BM30" s="37">
        <v>0</v>
      </c>
      <c r="BN30" s="37">
        <v>0</v>
      </c>
      <c r="BO30" s="215" t="s">
        <v>14</v>
      </c>
    </row>
    <row r="31" spans="2:67">
      <c r="B31" s="36" t="str">
        <f>IF('Índice - Index'!$D$14="Português","Imobilizado","PP&amp;E")</f>
        <v>Imobilizado</v>
      </c>
      <c r="C31" s="37">
        <v>240424</v>
      </c>
      <c r="D31" s="37">
        <v>236196</v>
      </c>
      <c r="E31" s="37">
        <v>250561</v>
      </c>
      <c r="F31" s="37">
        <v>280894</v>
      </c>
      <c r="G31" s="37">
        <v>347448</v>
      </c>
      <c r="H31" s="37">
        <v>358032</v>
      </c>
      <c r="I31" s="37">
        <v>375984</v>
      </c>
      <c r="J31" s="37">
        <v>417923</v>
      </c>
      <c r="K31" s="37">
        <v>465311</v>
      </c>
      <c r="L31" s="37">
        <v>462168</v>
      </c>
      <c r="M31" s="37">
        <v>447995</v>
      </c>
      <c r="N31" s="37">
        <v>456690</v>
      </c>
      <c r="O31" s="37">
        <v>494092</v>
      </c>
      <c r="P31" s="37">
        <v>505631</v>
      </c>
      <c r="Q31" s="37">
        <v>509808</v>
      </c>
      <c r="R31" s="37">
        <v>553753</v>
      </c>
      <c r="S31" s="37">
        <v>577326</v>
      </c>
      <c r="T31" s="37">
        <v>582651</v>
      </c>
      <c r="U31" s="37">
        <v>572788</v>
      </c>
      <c r="V31" s="37">
        <v>569932</v>
      </c>
      <c r="W31" s="37">
        <v>552110</v>
      </c>
      <c r="X31" s="37">
        <v>528452</v>
      </c>
      <c r="Y31" s="37">
        <v>504259</v>
      </c>
      <c r="Z31" s="37">
        <v>485332</v>
      </c>
      <c r="AA31" s="37">
        <v>457817</v>
      </c>
      <c r="AB31" s="37">
        <v>444305</v>
      </c>
      <c r="AC31" s="37">
        <v>434669</v>
      </c>
      <c r="AD31" s="37">
        <v>424170</v>
      </c>
      <c r="AE31" s="37">
        <v>405007</v>
      </c>
      <c r="AF31" s="37">
        <v>372116</v>
      </c>
      <c r="AG31" s="37">
        <v>347959</v>
      </c>
      <c r="AH31" s="37">
        <v>325738</v>
      </c>
      <c r="AI31" s="37">
        <v>311696</v>
      </c>
      <c r="AJ31" s="37">
        <v>289131</v>
      </c>
      <c r="AK31" s="37">
        <v>271813</v>
      </c>
      <c r="AL31" s="37">
        <v>254042</v>
      </c>
      <c r="AM31" s="37">
        <v>223640</v>
      </c>
      <c r="AN31" s="37">
        <v>206772.74296</v>
      </c>
      <c r="AO31" s="37">
        <v>199247</v>
      </c>
      <c r="AP31" s="37">
        <v>185787</v>
      </c>
      <c r="AQ31" s="37">
        <v>176488</v>
      </c>
      <c r="AR31" s="37">
        <v>163920</v>
      </c>
      <c r="AS31" s="37">
        <v>152225</v>
      </c>
      <c r="AT31" s="37">
        <v>144935</v>
      </c>
      <c r="AU31" s="37">
        <v>133326</v>
      </c>
      <c r="AV31" s="37">
        <v>118880</v>
      </c>
      <c r="AW31" s="37">
        <v>112039</v>
      </c>
      <c r="AX31" s="37">
        <v>105078</v>
      </c>
      <c r="AY31" s="37">
        <v>113188</v>
      </c>
      <c r="AZ31" s="37">
        <v>108982</v>
      </c>
      <c r="BA31" s="37">
        <v>103635</v>
      </c>
      <c r="BB31" s="37">
        <v>96934</v>
      </c>
      <c r="BC31" s="37">
        <v>86041</v>
      </c>
      <c r="BD31" s="37">
        <v>81005</v>
      </c>
      <c r="BE31" s="37">
        <v>79748</v>
      </c>
      <c r="BF31" s="37">
        <v>74436</v>
      </c>
      <c r="BG31" s="37">
        <v>68540.248000000051</v>
      </c>
      <c r="BH31" s="37">
        <v>66273</v>
      </c>
      <c r="BI31" s="37">
        <v>62108</v>
      </c>
      <c r="BJ31" s="37">
        <v>58778</v>
      </c>
      <c r="BK31" s="37">
        <v>56770</v>
      </c>
      <c r="BL31" s="37">
        <v>54818</v>
      </c>
      <c r="BM31" s="37">
        <v>53326</v>
      </c>
      <c r="BN31" s="37">
        <v>50906</v>
      </c>
      <c r="BO31" s="216">
        <v>43671</v>
      </c>
    </row>
    <row r="32" spans="2:67">
      <c r="B32" s="36" t="str">
        <f>IF('Índice - Index'!$D$14="Português","Intangível","Intangible assets")</f>
        <v>Intangível</v>
      </c>
      <c r="C32" s="37">
        <v>52557</v>
      </c>
      <c r="D32" s="37">
        <v>53211</v>
      </c>
      <c r="E32" s="37">
        <v>57440</v>
      </c>
      <c r="F32" s="37">
        <v>79556</v>
      </c>
      <c r="G32" s="37">
        <v>85024</v>
      </c>
      <c r="H32" s="37">
        <v>86931</v>
      </c>
      <c r="I32" s="37">
        <v>91325</v>
      </c>
      <c r="J32" s="37">
        <v>96294</v>
      </c>
      <c r="K32" s="37">
        <v>98212</v>
      </c>
      <c r="L32" s="37">
        <v>100749</v>
      </c>
      <c r="M32" s="37">
        <v>101641</v>
      </c>
      <c r="N32" s="37">
        <v>102328</v>
      </c>
      <c r="O32" s="37">
        <v>106300</v>
      </c>
      <c r="P32" s="37">
        <v>109959</v>
      </c>
      <c r="Q32" s="37">
        <v>112849</v>
      </c>
      <c r="R32" s="37">
        <v>115832</v>
      </c>
      <c r="S32" s="37">
        <v>123926</v>
      </c>
      <c r="T32" s="37">
        <v>122055</v>
      </c>
      <c r="U32" s="37">
        <v>151340</v>
      </c>
      <c r="V32" s="37">
        <v>153818</v>
      </c>
      <c r="W32" s="37">
        <v>141580</v>
      </c>
      <c r="X32" s="37">
        <v>166495</v>
      </c>
      <c r="Y32" s="37">
        <v>172964</v>
      </c>
      <c r="Z32" s="37">
        <v>175519</v>
      </c>
      <c r="AA32" s="37">
        <v>153305</v>
      </c>
      <c r="AB32" s="37">
        <v>150822</v>
      </c>
      <c r="AC32" s="37">
        <v>148145</v>
      </c>
      <c r="AD32" s="37">
        <v>142996</v>
      </c>
      <c r="AE32" s="37">
        <v>138292</v>
      </c>
      <c r="AF32" s="37">
        <v>135052</v>
      </c>
      <c r="AG32" s="37">
        <v>131173</v>
      </c>
      <c r="AH32" s="37">
        <v>126804</v>
      </c>
      <c r="AI32" s="37">
        <v>123153</v>
      </c>
      <c r="AJ32" s="37">
        <v>119085</v>
      </c>
      <c r="AK32" s="37">
        <v>116770</v>
      </c>
      <c r="AL32" s="37">
        <v>119238</v>
      </c>
      <c r="AM32" s="37">
        <v>117468</v>
      </c>
      <c r="AN32" s="37">
        <v>121765</v>
      </c>
      <c r="AO32" s="37">
        <v>118043</v>
      </c>
      <c r="AP32" s="37">
        <v>114070</v>
      </c>
      <c r="AQ32" s="37">
        <v>109919</v>
      </c>
      <c r="AR32" s="37">
        <v>103961</v>
      </c>
      <c r="AS32" s="37">
        <v>99488</v>
      </c>
      <c r="AT32" s="37">
        <v>91589</v>
      </c>
      <c r="AU32" s="37">
        <v>97234</v>
      </c>
      <c r="AV32" s="37">
        <v>101134</v>
      </c>
      <c r="AW32" s="37">
        <v>106569</v>
      </c>
      <c r="AX32" s="37">
        <v>111806</v>
      </c>
      <c r="AY32" s="37">
        <v>95725</v>
      </c>
      <c r="AZ32" s="37">
        <v>120303</v>
      </c>
      <c r="BA32" s="37">
        <v>123668</v>
      </c>
      <c r="BB32" s="37">
        <v>127785</v>
      </c>
      <c r="BC32" s="37">
        <v>77854</v>
      </c>
      <c r="BD32" s="37">
        <v>71553</v>
      </c>
      <c r="BE32" s="37">
        <v>65178</v>
      </c>
      <c r="BF32" s="37">
        <v>65158</v>
      </c>
      <c r="BG32" s="37">
        <v>55902.266089999997</v>
      </c>
      <c r="BH32" s="37">
        <v>50335</v>
      </c>
      <c r="BI32" s="37">
        <v>46091</v>
      </c>
      <c r="BJ32" s="37">
        <v>41825</v>
      </c>
      <c r="BK32" s="37">
        <v>37435</v>
      </c>
      <c r="BL32" s="37">
        <v>35533</v>
      </c>
      <c r="BM32" s="37">
        <v>33606</v>
      </c>
      <c r="BN32" s="37">
        <v>33911</v>
      </c>
      <c r="BO32" s="216">
        <v>33556</v>
      </c>
    </row>
    <row r="33" spans="2:67">
      <c r="B33" s="36" t="str">
        <f>IF('Índice - Index'!$D$14="Português","Ativo de Direito de Uso","Right of Use")</f>
        <v>Ativo de Direito de Uso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>
        <v>656319</v>
      </c>
      <c r="AO33" s="37">
        <v>645022</v>
      </c>
      <c r="AP33" s="37">
        <v>611333</v>
      </c>
      <c r="AQ33" s="37">
        <v>548116</v>
      </c>
      <c r="AR33" s="37">
        <v>547216</v>
      </c>
      <c r="AS33" s="37">
        <v>524925</v>
      </c>
      <c r="AT33" s="37">
        <v>487840</v>
      </c>
      <c r="AU33" s="37">
        <v>538142</v>
      </c>
      <c r="AV33" s="37">
        <v>524620</v>
      </c>
      <c r="AW33" s="37">
        <v>530649</v>
      </c>
      <c r="AX33" s="37">
        <v>532438</v>
      </c>
      <c r="AY33" s="37">
        <v>525616</v>
      </c>
      <c r="AZ33" s="37">
        <v>500138</v>
      </c>
      <c r="BA33" s="37">
        <v>749785</v>
      </c>
      <c r="BB33" s="37">
        <v>787061</v>
      </c>
      <c r="BC33" s="37">
        <v>536132</v>
      </c>
      <c r="BD33" s="37">
        <v>583961</v>
      </c>
      <c r="BE33" s="37">
        <v>486077</v>
      </c>
      <c r="BF33" s="37">
        <v>546026</v>
      </c>
      <c r="BG33" s="37">
        <v>496734.74715999997</v>
      </c>
      <c r="BH33" s="37">
        <v>464642</v>
      </c>
      <c r="BI33" s="37">
        <v>466716</v>
      </c>
      <c r="BJ33" s="37">
        <v>466131</v>
      </c>
      <c r="BK33" s="37">
        <v>445793</v>
      </c>
      <c r="BL33" s="37">
        <v>448382</v>
      </c>
      <c r="BM33" s="37">
        <v>448270</v>
      </c>
      <c r="BN33" s="37">
        <v>427934</v>
      </c>
      <c r="BO33" s="216">
        <v>401100</v>
      </c>
    </row>
    <row r="34" spans="2:67">
      <c r="B34" s="42" t="str">
        <f>IF('Índice - Index'!$D$14="Português","Total do ativo não circulante","Total Noncurrent Assets")</f>
        <v>Total do ativo não circulante</v>
      </c>
      <c r="C34" s="39">
        <f t="shared" ref="C34:AM34" si="3">SUM(C23:C32)</f>
        <v>429328</v>
      </c>
      <c r="D34" s="39">
        <f t="shared" si="3"/>
        <v>437537</v>
      </c>
      <c r="E34" s="39">
        <f t="shared" si="3"/>
        <v>456990</v>
      </c>
      <c r="F34" s="39">
        <f t="shared" si="3"/>
        <v>504625</v>
      </c>
      <c r="G34" s="39">
        <f t="shared" si="3"/>
        <v>593622</v>
      </c>
      <c r="H34" s="39">
        <f t="shared" si="3"/>
        <v>619085</v>
      </c>
      <c r="I34" s="39">
        <f t="shared" si="3"/>
        <v>648636</v>
      </c>
      <c r="J34" s="39">
        <f t="shared" si="3"/>
        <v>716125</v>
      </c>
      <c r="K34" s="39">
        <f t="shared" si="3"/>
        <v>725132</v>
      </c>
      <c r="L34" s="39">
        <f t="shared" si="3"/>
        <v>747035</v>
      </c>
      <c r="M34" s="39">
        <f t="shared" si="3"/>
        <v>724931</v>
      </c>
      <c r="N34" s="39">
        <f t="shared" si="3"/>
        <v>726782</v>
      </c>
      <c r="O34" s="39">
        <f t="shared" si="3"/>
        <v>760968</v>
      </c>
      <c r="P34" s="39">
        <f t="shared" si="3"/>
        <v>784711</v>
      </c>
      <c r="Q34" s="39">
        <f t="shared" si="3"/>
        <v>800243</v>
      </c>
      <c r="R34" s="39">
        <f t="shared" si="3"/>
        <v>851258</v>
      </c>
      <c r="S34" s="39">
        <f t="shared" si="3"/>
        <v>882328</v>
      </c>
      <c r="T34" s="39">
        <f t="shared" si="3"/>
        <v>921034</v>
      </c>
      <c r="U34" s="39">
        <f t="shared" si="3"/>
        <v>981063</v>
      </c>
      <c r="V34" s="39">
        <f t="shared" si="3"/>
        <v>1010589</v>
      </c>
      <c r="W34" s="39">
        <f t="shared" si="3"/>
        <v>989121</v>
      </c>
      <c r="X34" s="39">
        <f t="shared" si="3"/>
        <v>973177.79225399997</v>
      </c>
      <c r="Y34" s="39">
        <f t="shared" si="3"/>
        <v>985636.96971820004</v>
      </c>
      <c r="Z34" s="39">
        <f t="shared" si="3"/>
        <v>977454.95230020001</v>
      </c>
      <c r="AA34" s="39">
        <f t="shared" si="3"/>
        <v>969331.07420910452</v>
      </c>
      <c r="AB34" s="39">
        <f t="shared" si="3"/>
        <v>993470.05844980001</v>
      </c>
      <c r="AC34" s="39">
        <f t="shared" si="3"/>
        <v>1011881.0834266</v>
      </c>
      <c r="AD34" s="39">
        <f t="shared" si="3"/>
        <v>1028301</v>
      </c>
      <c r="AE34" s="39">
        <f t="shared" si="3"/>
        <v>1053516</v>
      </c>
      <c r="AF34" s="39">
        <f t="shared" si="3"/>
        <v>1010429</v>
      </c>
      <c r="AG34" s="39">
        <f t="shared" si="3"/>
        <v>1048262</v>
      </c>
      <c r="AH34" s="39">
        <f t="shared" si="3"/>
        <v>1012288</v>
      </c>
      <c r="AI34" s="39">
        <f t="shared" si="3"/>
        <v>985420</v>
      </c>
      <c r="AJ34" s="39">
        <f t="shared" si="3"/>
        <v>972303</v>
      </c>
      <c r="AK34" s="39">
        <f t="shared" si="3"/>
        <v>977596</v>
      </c>
      <c r="AL34" s="39">
        <f t="shared" si="3"/>
        <v>968217</v>
      </c>
      <c r="AM34" s="39">
        <f t="shared" si="3"/>
        <v>1180074</v>
      </c>
      <c r="AN34" s="39">
        <f t="shared" ref="AN34:AT34" si="4">SUM(AN23:AN33)</f>
        <v>1808116.3322399999</v>
      </c>
      <c r="AO34" s="39">
        <f t="shared" si="4"/>
        <v>1798922</v>
      </c>
      <c r="AP34" s="39">
        <f t="shared" si="4"/>
        <v>1560145</v>
      </c>
      <c r="AQ34" s="39">
        <f t="shared" si="4"/>
        <v>1644515</v>
      </c>
      <c r="AR34" s="39">
        <f t="shared" si="4"/>
        <v>1564332</v>
      </c>
      <c r="AS34" s="39">
        <f t="shared" si="4"/>
        <v>1653218</v>
      </c>
      <c r="AT34" s="39">
        <f t="shared" si="4"/>
        <v>1515871</v>
      </c>
      <c r="AU34" s="39">
        <v>1580379</v>
      </c>
      <c r="AV34" s="39">
        <v>1624486</v>
      </c>
      <c r="AW34" s="39">
        <f>SUM(AW23:AW33)</f>
        <v>1599262</v>
      </c>
      <c r="AX34" s="39">
        <f>SUM(AX23:AX33)</f>
        <v>1651473</v>
      </c>
      <c r="AY34" s="39">
        <f>SUM(AY23:AY33)</f>
        <v>1625521</v>
      </c>
      <c r="AZ34" s="39">
        <v>1663124</v>
      </c>
      <c r="BA34" s="39">
        <f>SUM(BA23:BA33)</f>
        <v>1878173</v>
      </c>
      <c r="BB34" s="39">
        <f t="shared" ref="BB34:BG34" si="5">SUM(BB22:BB33)</f>
        <v>1939472</v>
      </c>
      <c r="BC34" s="39">
        <f t="shared" ref="BC34" si="6">SUM(BC22:BC33)</f>
        <v>1532892</v>
      </c>
      <c r="BD34" s="39">
        <f t="shared" si="5"/>
        <v>1508010</v>
      </c>
      <c r="BE34" s="39">
        <f t="shared" si="5"/>
        <v>1459133</v>
      </c>
      <c r="BF34" s="39">
        <f t="shared" si="5"/>
        <v>1500738</v>
      </c>
      <c r="BG34" s="39">
        <f t="shared" si="5"/>
        <v>1492161.1096400002</v>
      </c>
      <c r="BH34" s="39">
        <f t="shared" ref="BH34:BI34" si="7">SUM(BH22:BH33)</f>
        <v>1442101</v>
      </c>
      <c r="BI34" s="39">
        <f t="shared" si="7"/>
        <v>1440277</v>
      </c>
      <c r="BJ34" s="192">
        <f t="shared" ref="BJ34" si="8">SUM(BJ22:BJ33)</f>
        <v>1440590</v>
      </c>
      <c r="BK34" s="192">
        <f t="shared" ref="BK34:BL34" si="9">SUM(BK22:BK33)</f>
        <v>1327756</v>
      </c>
      <c r="BL34" s="192">
        <f t="shared" si="9"/>
        <v>1473474</v>
      </c>
      <c r="BM34" s="192">
        <f t="shared" ref="BM34:BN34" si="10">SUM(BM22:BM33)</f>
        <v>1491174</v>
      </c>
      <c r="BN34" s="192">
        <f t="shared" si="10"/>
        <v>1500274</v>
      </c>
      <c r="BO34" s="219">
        <v>1491640</v>
      </c>
    </row>
    <row r="35" spans="2:67">
      <c r="B35" s="40"/>
      <c r="C35" s="41"/>
      <c r="D35" s="41"/>
      <c r="E35" s="41"/>
      <c r="F35" s="41"/>
      <c r="G35" s="41" t="s">
        <v>4</v>
      </c>
      <c r="H35" s="41"/>
      <c r="I35" s="41"/>
      <c r="J35" s="41"/>
      <c r="K35" s="41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Y35" s="27"/>
      <c r="BO35" s="216"/>
    </row>
    <row r="36" spans="2:67">
      <c r="B36" s="43" t="str">
        <f>IF('Índice - Index'!$D$14="Português","TOTAL DO ATIVO","TOTAL ASSETS")</f>
        <v>TOTAL DO ATIVO</v>
      </c>
      <c r="C36" s="44">
        <f t="shared" ref="C36:AT36" si="11">C34+C19</f>
        <v>1538278</v>
      </c>
      <c r="D36" s="44">
        <f t="shared" si="11"/>
        <v>1443336</v>
      </c>
      <c r="E36" s="44">
        <f t="shared" si="11"/>
        <v>1450384</v>
      </c>
      <c r="F36" s="44">
        <f t="shared" si="11"/>
        <v>1590452</v>
      </c>
      <c r="G36" s="44">
        <f t="shared" si="11"/>
        <v>2061292</v>
      </c>
      <c r="H36" s="44">
        <f t="shared" si="11"/>
        <v>2208331</v>
      </c>
      <c r="I36" s="44">
        <f t="shared" si="11"/>
        <v>2488784</v>
      </c>
      <c r="J36" s="44">
        <f t="shared" si="11"/>
        <v>1992709</v>
      </c>
      <c r="K36" s="44">
        <f t="shared" si="11"/>
        <v>2432599</v>
      </c>
      <c r="L36" s="44">
        <f t="shared" si="11"/>
        <v>2144703</v>
      </c>
      <c r="M36" s="44">
        <f t="shared" si="11"/>
        <v>2178307</v>
      </c>
      <c r="N36" s="44">
        <f t="shared" si="11"/>
        <v>2286557</v>
      </c>
      <c r="O36" s="44">
        <f t="shared" si="11"/>
        <v>2440691</v>
      </c>
      <c r="P36" s="44">
        <f t="shared" si="11"/>
        <v>2326051</v>
      </c>
      <c r="Q36" s="44">
        <f t="shared" si="11"/>
        <v>2325139</v>
      </c>
      <c r="R36" s="44">
        <f t="shared" si="11"/>
        <v>2344382</v>
      </c>
      <c r="S36" s="44">
        <f t="shared" si="11"/>
        <v>2576323</v>
      </c>
      <c r="T36" s="44">
        <f t="shared" si="11"/>
        <v>2650955</v>
      </c>
      <c r="U36" s="44">
        <f t="shared" si="11"/>
        <v>2767128</v>
      </c>
      <c r="V36" s="44">
        <f t="shared" si="11"/>
        <v>2815085</v>
      </c>
      <c r="W36" s="44">
        <f t="shared" si="11"/>
        <v>2975990</v>
      </c>
      <c r="X36" s="44">
        <f t="shared" si="11"/>
        <v>2908866.9220440001</v>
      </c>
      <c r="Y36" s="44">
        <f t="shared" si="11"/>
        <v>2921292.9697182002</v>
      </c>
      <c r="Z36" s="44">
        <f t="shared" si="11"/>
        <v>3034292.9523002002</v>
      </c>
      <c r="AA36" s="44">
        <f t="shared" si="11"/>
        <v>2832135.0742091043</v>
      </c>
      <c r="AB36" s="44">
        <f t="shared" si="11"/>
        <v>2690062.0584498001</v>
      </c>
      <c r="AC36" s="44">
        <f t="shared" si="11"/>
        <v>2744238.0834265999</v>
      </c>
      <c r="AD36" s="44">
        <f t="shared" si="11"/>
        <v>2723300</v>
      </c>
      <c r="AE36" s="44">
        <f t="shared" si="11"/>
        <v>2644049</v>
      </c>
      <c r="AF36" s="44">
        <f t="shared" si="11"/>
        <v>2706824</v>
      </c>
      <c r="AG36" s="44">
        <f t="shared" si="11"/>
        <v>2607892</v>
      </c>
      <c r="AH36" s="44">
        <f t="shared" si="11"/>
        <v>2750725</v>
      </c>
      <c r="AI36" s="44">
        <f t="shared" si="11"/>
        <v>2832732</v>
      </c>
      <c r="AJ36" s="44">
        <f t="shared" si="11"/>
        <v>2653323</v>
      </c>
      <c r="AK36" s="44">
        <f t="shared" si="11"/>
        <v>2569825</v>
      </c>
      <c r="AL36" s="44">
        <f t="shared" si="11"/>
        <v>2586063</v>
      </c>
      <c r="AM36" s="44">
        <f t="shared" si="11"/>
        <v>3162102</v>
      </c>
      <c r="AN36" s="44">
        <f t="shared" si="11"/>
        <v>3587408.9079799997</v>
      </c>
      <c r="AO36" s="44">
        <f t="shared" si="11"/>
        <v>3557368</v>
      </c>
      <c r="AP36" s="44">
        <f t="shared" si="11"/>
        <v>3489169.1710399999</v>
      </c>
      <c r="AQ36" s="44">
        <f t="shared" si="11"/>
        <v>4020068</v>
      </c>
      <c r="AR36" s="44">
        <f t="shared" si="11"/>
        <v>3418120</v>
      </c>
      <c r="AS36" s="44">
        <f t="shared" si="11"/>
        <v>3145454</v>
      </c>
      <c r="AT36" s="44">
        <f t="shared" si="11"/>
        <v>3008529</v>
      </c>
      <c r="AU36" s="44">
        <v>3367654</v>
      </c>
      <c r="AV36" s="44">
        <v>3278729</v>
      </c>
      <c r="AW36" s="44">
        <f>AW19+AW34</f>
        <v>3256365</v>
      </c>
      <c r="AX36" s="44">
        <f>AX19+AX34</f>
        <v>3370923</v>
      </c>
      <c r="AY36" s="44">
        <f>AY19+AY34</f>
        <v>3352448</v>
      </c>
      <c r="AZ36" s="44">
        <v>3338452</v>
      </c>
      <c r="BA36" s="44">
        <f t="shared" ref="BA36:BF36" si="12">SUM(BA34,BA19)</f>
        <v>3617087</v>
      </c>
      <c r="BB36" s="44">
        <f t="shared" si="12"/>
        <v>3582988</v>
      </c>
      <c r="BC36" s="44">
        <f t="shared" si="12"/>
        <v>3104952</v>
      </c>
      <c r="BD36" s="44">
        <f t="shared" si="12"/>
        <v>2911241</v>
      </c>
      <c r="BE36" s="44">
        <f t="shared" si="12"/>
        <v>2666904</v>
      </c>
      <c r="BF36" s="44">
        <f t="shared" si="12"/>
        <v>2479688</v>
      </c>
      <c r="BG36" s="44">
        <f t="shared" ref="BG36:BH36" si="13">SUM(BG34,BG19)</f>
        <v>2453893.1724800002</v>
      </c>
      <c r="BH36" s="44">
        <f t="shared" si="13"/>
        <v>2376254</v>
      </c>
      <c r="BI36" s="44">
        <f t="shared" ref="BI36:BJ36" si="14">SUM(BI34,BI19)</f>
        <v>2063394</v>
      </c>
      <c r="BJ36" s="191">
        <f t="shared" si="14"/>
        <v>2010006</v>
      </c>
      <c r="BK36" s="191">
        <f t="shared" ref="BK36:BL36" si="15">SUM(BK34,BK19)</f>
        <v>1904258</v>
      </c>
      <c r="BL36" s="191">
        <f t="shared" si="15"/>
        <v>2044038</v>
      </c>
      <c r="BM36" s="191">
        <f t="shared" ref="BM36:BN36" si="16">SUM(BM34,BM19)</f>
        <v>2018171</v>
      </c>
      <c r="BN36" s="191">
        <f t="shared" si="16"/>
        <v>2130537</v>
      </c>
      <c r="BO36" s="221">
        <v>2056813</v>
      </c>
    </row>
    <row r="37" spans="2:67">
      <c r="B37" s="36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Y37" s="45"/>
      <c r="BO37" s="217"/>
    </row>
    <row r="38" spans="2:67">
      <c r="B38" s="26" t="str">
        <f>IF('Índice - Index'!$D$14="Português","PASSIVO (R$ milhares)","LIABILITIES (R$ million)")</f>
        <v>PASSIVO (R$ milhares)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217"/>
    </row>
    <row r="39" spans="2:67">
      <c r="B39" s="46"/>
      <c r="C39" s="47"/>
      <c r="D39" s="47"/>
      <c r="E39" s="47"/>
      <c r="F39" s="47"/>
      <c r="G39" s="47"/>
      <c r="H39" s="47"/>
      <c r="I39" s="47"/>
      <c r="J39" s="47"/>
      <c r="K39" s="4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Y39" s="27"/>
      <c r="BO39" s="223"/>
    </row>
    <row r="40" spans="2:67">
      <c r="B40" s="34" t="str">
        <f>IF('Índice - Index'!$D$14="Português","CIRCULANTE","CURRENT ASSETS")</f>
        <v>CIRCULANTE</v>
      </c>
      <c r="C40" s="48"/>
      <c r="D40" s="48"/>
      <c r="E40" s="48"/>
      <c r="F40" s="48"/>
      <c r="G40" s="48"/>
      <c r="H40" s="48"/>
      <c r="I40" s="48"/>
      <c r="J40" s="48"/>
      <c r="K40" s="48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134"/>
      <c r="AV40" s="27"/>
      <c r="AW40" s="27"/>
      <c r="AY40" s="134"/>
      <c r="AZ40" s="134"/>
      <c r="BA40" s="134"/>
      <c r="BB40" s="134"/>
      <c r="BC40" s="134"/>
      <c r="BD40" s="134"/>
      <c r="BE40" s="134"/>
      <c r="BF40" s="134"/>
      <c r="BG40" s="134"/>
      <c r="BH40" s="134"/>
      <c r="BI40" s="134"/>
      <c r="BJ40" s="134"/>
      <c r="BK40" s="134"/>
      <c r="BL40" s="134"/>
      <c r="BM40" s="134"/>
      <c r="BN40" s="134"/>
      <c r="BO40" s="217"/>
    </row>
    <row r="41" spans="2:67">
      <c r="B41" s="36" t="str">
        <f>IF('Índice - Index'!$D$14="Português","Fornecedores","Accounts payable")</f>
        <v>Fornecedores</v>
      </c>
      <c r="C41" s="49">
        <v>161894</v>
      </c>
      <c r="D41" s="49">
        <v>152673</v>
      </c>
      <c r="E41" s="49">
        <v>136311</v>
      </c>
      <c r="F41" s="49">
        <v>184802</v>
      </c>
      <c r="G41" s="49">
        <v>207868</v>
      </c>
      <c r="H41" s="49">
        <v>196579</v>
      </c>
      <c r="I41" s="49">
        <v>168670</v>
      </c>
      <c r="J41" s="49">
        <v>170968</v>
      </c>
      <c r="K41" s="49">
        <v>178443</v>
      </c>
      <c r="L41" s="49">
        <v>197036</v>
      </c>
      <c r="M41" s="49">
        <v>205566</v>
      </c>
      <c r="N41" s="49">
        <v>242165</v>
      </c>
      <c r="O41" s="49">
        <v>247759</v>
      </c>
      <c r="P41" s="49">
        <v>194866</v>
      </c>
      <c r="Q41" s="49">
        <v>159184</v>
      </c>
      <c r="R41" s="49">
        <v>194309</v>
      </c>
      <c r="S41" s="49">
        <v>254977</v>
      </c>
      <c r="T41" s="49">
        <v>281759</v>
      </c>
      <c r="U41" s="49">
        <v>174678</v>
      </c>
      <c r="V41" s="49">
        <v>200593</v>
      </c>
      <c r="W41" s="49">
        <v>245248</v>
      </c>
      <c r="X41" s="49">
        <v>242555.12979000001</v>
      </c>
      <c r="Y41" s="49">
        <v>199515</v>
      </c>
      <c r="Z41" s="49">
        <v>209034</v>
      </c>
      <c r="AA41" s="49">
        <v>205439</v>
      </c>
      <c r="AB41" s="49">
        <v>188490</v>
      </c>
      <c r="AC41" s="49">
        <v>240643</v>
      </c>
      <c r="AD41" s="49">
        <v>285820</v>
      </c>
      <c r="AE41" s="49">
        <v>309504</v>
      </c>
      <c r="AF41" s="49">
        <v>425668</v>
      </c>
      <c r="AG41" s="49">
        <v>334578</v>
      </c>
      <c r="AH41" s="49">
        <v>420118</v>
      </c>
      <c r="AI41" s="49">
        <v>353590</v>
      </c>
      <c r="AJ41" s="49">
        <v>413302</v>
      </c>
      <c r="AK41" s="49">
        <v>388187</v>
      </c>
      <c r="AL41" s="49">
        <v>395102</v>
      </c>
      <c r="AM41" s="49">
        <v>490223</v>
      </c>
      <c r="AN41" s="49">
        <v>479691.54604000004</v>
      </c>
      <c r="AO41" s="49">
        <v>474643</v>
      </c>
      <c r="AP41" s="49">
        <v>493457</v>
      </c>
      <c r="AQ41" s="49">
        <v>535298</v>
      </c>
      <c r="AR41" s="49">
        <v>379620</v>
      </c>
      <c r="AS41" s="49">
        <v>175124</v>
      </c>
      <c r="AT41" s="49">
        <v>244778</v>
      </c>
      <c r="AU41" s="49">
        <v>473930</v>
      </c>
      <c r="AV41" s="49">
        <v>467966</v>
      </c>
      <c r="AW41" s="49">
        <v>426124</v>
      </c>
      <c r="AX41" s="49">
        <v>519256</v>
      </c>
      <c r="AY41" s="49">
        <v>481151</v>
      </c>
      <c r="AZ41" s="49">
        <v>406109</v>
      </c>
      <c r="BA41" s="49">
        <v>400518</v>
      </c>
      <c r="BB41" s="49">
        <v>487255</v>
      </c>
      <c r="BC41" s="49">
        <v>546364</v>
      </c>
      <c r="BD41" s="49">
        <v>581977</v>
      </c>
      <c r="BE41" s="49">
        <v>456724</v>
      </c>
      <c r="BF41" s="49">
        <v>473659</v>
      </c>
      <c r="BG41" s="49">
        <v>507556</v>
      </c>
      <c r="BH41" s="49">
        <v>519504</v>
      </c>
      <c r="BI41" s="49">
        <v>275973</v>
      </c>
      <c r="BJ41" s="49">
        <v>389851</v>
      </c>
      <c r="BK41" s="49">
        <v>311298</v>
      </c>
      <c r="BL41" s="49">
        <v>414763</v>
      </c>
      <c r="BM41" s="49">
        <v>258894</v>
      </c>
      <c r="BN41" s="49">
        <v>333184</v>
      </c>
      <c r="BO41" s="216">
        <v>268589</v>
      </c>
    </row>
    <row r="42" spans="2:67">
      <c r="B42" s="36" t="s">
        <v>45</v>
      </c>
      <c r="C42" s="49" t="s">
        <v>14</v>
      </c>
      <c r="D42" s="49" t="s">
        <v>14</v>
      </c>
      <c r="E42" s="49" t="s">
        <v>14</v>
      </c>
      <c r="F42" s="49" t="s">
        <v>14</v>
      </c>
      <c r="G42" s="49" t="s">
        <v>14</v>
      </c>
      <c r="H42" s="49" t="s">
        <v>14</v>
      </c>
      <c r="I42" s="49" t="s">
        <v>14</v>
      </c>
      <c r="J42" s="49" t="s">
        <v>14</v>
      </c>
      <c r="K42" s="49" t="s">
        <v>14</v>
      </c>
      <c r="L42" s="49" t="s">
        <v>14</v>
      </c>
      <c r="M42" s="49" t="s">
        <v>14</v>
      </c>
      <c r="N42" s="49" t="s">
        <v>14</v>
      </c>
      <c r="O42" s="49" t="s">
        <v>14</v>
      </c>
      <c r="P42" s="49" t="s">
        <v>14</v>
      </c>
      <c r="Q42" s="49" t="s">
        <v>14</v>
      </c>
      <c r="R42" s="49" t="s">
        <v>14</v>
      </c>
      <c r="S42" s="49" t="s">
        <v>14</v>
      </c>
      <c r="T42" s="49" t="s">
        <v>14</v>
      </c>
      <c r="U42" s="49" t="s">
        <v>14</v>
      </c>
      <c r="V42" s="49" t="s">
        <v>14</v>
      </c>
      <c r="W42" s="49" t="s">
        <v>14</v>
      </c>
      <c r="X42" s="49" t="s">
        <v>14</v>
      </c>
      <c r="Y42" s="49" t="s">
        <v>14</v>
      </c>
      <c r="Z42" s="49" t="s">
        <v>14</v>
      </c>
      <c r="AA42" s="49" t="s">
        <v>14</v>
      </c>
      <c r="AB42" s="49" t="s">
        <v>14</v>
      </c>
      <c r="AC42" s="49" t="s">
        <v>14</v>
      </c>
      <c r="AD42" s="49" t="s">
        <v>14</v>
      </c>
      <c r="AE42" s="49" t="s">
        <v>14</v>
      </c>
      <c r="AF42" s="49" t="s">
        <v>14</v>
      </c>
      <c r="AG42" s="49" t="s">
        <v>14</v>
      </c>
      <c r="AH42" s="49" t="s">
        <v>14</v>
      </c>
      <c r="AI42" s="49" t="s">
        <v>14</v>
      </c>
      <c r="AJ42" s="49" t="s">
        <v>14</v>
      </c>
      <c r="AK42" s="49" t="s">
        <v>14</v>
      </c>
      <c r="AL42" s="49" t="s">
        <v>14</v>
      </c>
      <c r="AM42" s="49" t="s">
        <v>14</v>
      </c>
      <c r="AN42" s="49" t="s">
        <v>14</v>
      </c>
      <c r="AO42" s="49" t="s">
        <v>14</v>
      </c>
      <c r="AP42" s="49" t="s">
        <v>14</v>
      </c>
      <c r="AQ42" s="49" t="s">
        <v>14</v>
      </c>
      <c r="AR42" s="49" t="s">
        <v>14</v>
      </c>
      <c r="AS42" s="49" t="s">
        <v>14</v>
      </c>
      <c r="AT42" s="49" t="s">
        <v>14</v>
      </c>
      <c r="AU42" s="49" t="s">
        <v>14</v>
      </c>
      <c r="AV42" s="49" t="s">
        <v>14</v>
      </c>
      <c r="AW42" s="49" t="s">
        <v>14</v>
      </c>
      <c r="AX42" s="49" t="s">
        <v>14</v>
      </c>
      <c r="AY42" s="49" t="s">
        <v>14</v>
      </c>
      <c r="AZ42" s="49" t="s">
        <v>14</v>
      </c>
      <c r="BA42" s="49" t="s">
        <v>14</v>
      </c>
      <c r="BB42" s="49" t="s">
        <v>14</v>
      </c>
      <c r="BC42" s="49" t="s">
        <v>14</v>
      </c>
      <c r="BD42" s="49" t="s">
        <v>14</v>
      </c>
      <c r="BE42" s="49" t="s">
        <v>14</v>
      </c>
      <c r="BF42" s="49" t="s">
        <v>14</v>
      </c>
      <c r="BG42" s="49" t="s">
        <v>14</v>
      </c>
      <c r="BH42" s="49" t="s">
        <v>14</v>
      </c>
      <c r="BI42" s="49" t="s">
        <v>14</v>
      </c>
      <c r="BJ42" s="49" t="s">
        <v>14</v>
      </c>
      <c r="BK42" s="49" t="s">
        <v>14</v>
      </c>
      <c r="BL42" s="49" t="s">
        <v>14</v>
      </c>
      <c r="BM42" s="49">
        <v>76889</v>
      </c>
      <c r="BN42" s="49">
        <v>0</v>
      </c>
      <c r="BO42" s="216">
        <v>52961</v>
      </c>
    </row>
    <row r="43" spans="2:67">
      <c r="B43" s="36" t="str">
        <f>IF('Índice - Index'!$D$14="Português","Empréstimos e financiamentos","Loans and Financing")</f>
        <v>Empréstimos e financiamentos</v>
      </c>
      <c r="C43" s="49">
        <v>154166</v>
      </c>
      <c r="D43" s="49">
        <v>151050</v>
      </c>
      <c r="E43" s="49">
        <v>146116</v>
      </c>
      <c r="F43" s="49">
        <v>252424</v>
      </c>
      <c r="G43" s="49">
        <v>509802</v>
      </c>
      <c r="H43" s="49">
        <v>780032</v>
      </c>
      <c r="I43" s="49">
        <v>690481</v>
      </c>
      <c r="J43" s="49">
        <v>306850</v>
      </c>
      <c r="K43" s="49">
        <v>297455</v>
      </c>
      <c r="L43" s="49">
        <v>129368</v>
      </c>
      <c r="M43" s="49">
        <v>106720</v>
      </c>
      <c r="N43" s="49">
        <v>114216</v>
      </c>
      <c r="O43" s="49">
        <v>89671</v>
      </c>
      <c r="P43" s="49">
        <v>114439</v>
      </c>
      <c r="Q43" s="49">
        <v>99366</v>
      </c>
      <c r="R43" s="49">
        <v>101085</v>
      </c>
      <c r="S43" s="49">
        <v>106697</v>
      </c>
      <c r="T43" s="49">
        <v>193263</v>
      </c>
      <c r="U43" s="49">
        <v>181500</v>
      </c>
      <c r="V43" s="49">
        <v>226600</v>
      </c>
      <c r="W43" s="49">
        <v>369759</v>
      </c>
      <c r="X43" s="49">
        <v>410432</v>
      </c>
      <c r="Y43" s="49">
        <v>430233</v>
      </c>
      <c r="Z43" s="49">
        <v>410312</v>
      </c>
      <c r="AA43" s="49">
        <v>364017</v>
      </c>
      <c r="AB43" s="49">
        <v>323211</v>
      </c>
      <c r="AC43" s="49">
        <v>280614</v>
      </c>
      <c r="AD43" s="49">
        <v>285320</v>
      </c>
      <c r="AE43" s="49">
        <v>110247</v>
      </c>
      <c r="AF43" s="49">
        <v>207169</v>
      </c>
      <c r="AG43" s="49">
        <v>505802</v>
      </c>
      <c r="AH43" s="49">
        <v>580675</v>
      </c>
      <c r="AI43" s="49">
        <v>581751</v>
      </c>
      <c r="AJ43" s="49">
        <v>532939</v>
      </c>
      <c r="AK43" s="49">
        <v>366172</v>
      </c>
      <c r="AL43" s="49">
        <v>377371</v>
      </c>
      <c r="AM43" s="49">
        <v>371389</v>
      </c>
      <c r="AN43" s="49">
        <v>429658</v>
      </c>
      <c r="AO43" s="49">
        <v>466271</v>
      </c>
      <c r="AP43" s="49">
        <v>380948</v>
      </c>
      <c r="AQ43" s="49">
        <v>418123</v>
      </c>
      <c r="AR43" s="49">
        <v>271082</v>
      </c>
      <c r="AS43" s="49">
        <v>402300</v>
      </c>
      <c r="AT43" s="49">
        <v>502845</v>
      </c>
      <c r="AU43" s="49">
        <v>541497</v>
      </c>
      <c r="AV43" s="49">
        <v>529604</v>
      </c>
      <c r="AW43" s="49">
        <v>515791</v>
      </c>
      <c r="AX43" s="49">
        <v>510075</v>
      </c>
      <c r="AY43" s="49">
        <v>480253</v>
      </c>
      <c r="AZ43" s="49">
        <v>457477</v>
      </c>
      <c r="BA43" s="49">
        <v>376403</v>
      </c>
      <c r="BB43" s="49">
        <v>347210</v>
      </c>
      <c r="BC43" s="49">
        <v>470824</v>
      </c>
      <c r="BD43" s="49">
        <v>395577</v>
      </c>
      <c r="BE43" s="49">
        <v>409686</v>
      </c>
      <c r="BF43" s="49">
        <v>411745</v>
      </c>
      <c r="BG43" s="49">
        <v>116804.20423000002</v>
      </c>
      <c r="BH43" s="49">
        <v>346937</v>
      </c>
      <c r="BI43" s="49">
        <v>674779</v>
      </c>
      <c r="BJ43" s="49">
        <v>135147</v>
      </c>
      <c r="BK43" s="49">
        <v>118826</v>
      </c>
      <c r="BL43" s="49">
        <v>120615</v>
      </c>
      <c r="BM43" s="49">
        <v>143324</v>
      </c>
      <c r="BN43" s="49">
        <v>191498</v>
      </c>
      <c r="BO43" s="216">
        <v>198773</v>
      </c>
    </row>
    <row r="44" spans="2:67">
      <c r="B44" s="36" t="str">
        <f>IF('Índice - Index'!$D$14="Português","Financiamento por Arrendamento","Finance Lease")</f>
        <v>Financiamento por Arrendamento</v>
      </c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>
        <v>212526</v>
      </c>
      <c r="AO44" s="49">
        <v>219086</v>
      </c>
      <c r="AP44" s="49">
        <v>269916.50908999995</v>
      </c>
      <c r="AQ44" s="49">
        <v>302487</v>
      </c>
      <c r="AR44" s="49">
        <v>152696</v>
      </c>
      <c r="AS44" s="49">
        <v>154463</v>
      </c>
      <c r="AT44" s="49">
        <v>145332</v>
      </c>
      <c r="AU44" s="49">
        <v>164908</v>
      </c>
      <c r="AV44" s="49">
        <v>184246</v>
      </c>
      <c r="AW44" s="49">
        <v>188166</v>
      </c>
      <c r="AX44" s="49">
        <v>179383</v>
      </c>
      <c r="AY44" s="49">
        <v>171119</v>
      </c>
      <c r="AZ44" s="49">
        <v>162731</v>
      </c>
      <c r="BA44" s="49">
        <v>157924</v>
      </c>
      <c r="BB44" s="49">
        <v>154553</v>
      </c>
      <c r="BC44" s="49">
        <v>113351</v>
      </c>
      <c r="BD44" s="49">
        <v>153207</v>
      </c>
      <c r="BE44" s="49">
        <v>95376</v>
      </c>
      <c r="BF44" s="49">
        <v>121485</v>
      </c>
      <c r="BG44" s="49">
        <v>183180.87226</v>
      </c>
      <c r="BH44" s="49">
        <v>185277</v>
      </c>
      <c r="BI44" s="49">
        <v>137534</v>
      </c>
      <c r="BJ44" s="49">
        <v>111505</v>
      </c>
      <c r="BK44" s="49">
        <v>107506</v>
      </c>
      <c r="BL44" s="49">
        <v>106703</v>
      </c>
      <c r="BM44" s="49">
        <v>103131</v>
      </c>
      <c r="BN44" s="49">
        <v>98767</v>
      </c>
      <c r="BO44" s="216">
        <v>98755</v>
      </c>
    </row>
    <row r="45" spans="2:67">
      <c r="B45" s="36" t="str">
        <f>IF('Índice - Index'!$D$14="Português","Salários, provisões e contribuições sociais","Accrued payroll and related changes")</f>
        <v>Salários, provisões e contribuições sociais</v>
      </c>
      <c r="C45" s="49">
        <v>31795</v>
      </c>
      <c r="D45" s="49">
        <v>28619</v>
      </c>
      <c r="E45" s="49">
        <v>32809</v>
      </c>
      <c r="F45" s="49">
        <v>36529</v>
      </c>
      <c r="G45" s="49">
        <v>43784</v>
      </c>
      <c r="H45" s="49">
        <v>34274</v>
      </c>
      <c r="I45" s="49">
        <v>42094</v>
      </c>
      <c r="J45" s="49">
        <v>47852</v>
      </c>
      <c r="K45" s="49">
        <v>40982</v>
      </c>
      <c r="L45" s="49">
        <v>39780</v>
      </c>
      <c r="M45" s="49">
        <v>45544</v>
      </c>
      <c r="N45" s="49">
        <v>50434</v>
      </c>
      <c r="O45" s="49">
        <v>57803</v>
      </c>
      <c r="P45" s="49">
        <v>50971</v>
      </c>
      <c r="Q45" s="49">
        <v>55663</v>
      </c>
      <c r="R45" s="49">
        <v>51695</v>
      </c>
      <c r="S45" s="49">
        <v>55929</v>
      </c>
      <c r="T45" s="49">
        <v>47011</v>
      </c>
      <c r="U45" s="49">
        <v>56468</v>
      </c>
      <c r="V45" s="49">
        <v>65771</v>
      </c>
      <c r="W45" s="49">
        <v>59543</v>
      </c>
      <c r="X45" s="49">
        <v>58903</v>
      </c>
      <c r="Y45" s="49">
        <v>66065</v>
      </c>
      <c r="Z45" s="49">
        <v>75536</v>
      </c>
      <c r="AA45" s="49">
        <v>67860</v>
      </c>
      <c r="AB45" s="49">
        <v>66539</v>
      </c>
      <c r="AC45" s="49">
        <v>74124</v>
      </c>
      <c r="AD45" s="49">
        <v>84979</v>
      </c>
      <c r="AE45" s="49">
        <v>75641</v>
      </c>
      <c r="AF45" s="49">
        <v>70009</v>
      </c>
      <c r="AG45" s="49">
        <v>79935</v>
      </c>
      <c r="AH45" s="49">
        <v>93598</v>
      </c>
      <c r="AI45" s="49">
        <v>82428</v>
      </c>
      <c r="AJ45" s="49">
        <v>86078</v>
      </c>
      <c r="AK45" s="49">
        <v>80010</v>
      </c>
      <c r="AL45" s="49">
        <v>86095</v>
      </c>
      <c r="AM45" s="49">
        <v>78925</v>
      </c>
      <c r="AN45" s="49">
        <v>75260.146250000005</v>
      </c>
      <c r="AO45" s="49">
        <v>87844</v>
      </c>
      <c r="AP45" s="49">
        <v>106835.96991</v>
      </c>
      <c r="AQ45" s="49">
        <v>105875</v>
      </c>
      <c r="AR45" s="49">
        <v>93758</v>
      </c>
      <c r="AS45" s="49">
        <v>83599</v>
      </c>
      <c r="AT45" s="49">
        <v>96340</v>
      </c>
      <c r="AU45" s="49">
        <v>69165</v>
      </c>
      <c r="AV45" s="49">
        <v>69740</v>
      </c>
      <c r="AW45" s="49">
        <v>86441</v>
      </c>
      <c r="AX45" s="49">
        <v>95633</v>
      </c>
      <c r="AY45" s="49">
        <v>77512</v>
      </c>
      <c r="AZ45" s="49">
        <v>77088</v>
      </c>
      <c r="BA45" s="49">
        <v>84598</v>
      </c>
      <c r="BB45" s="49">
        <v>97532</v>
      </c>
      <c r="BC45" s="49">
        <v>71826</v>
      </c>
      <c r="BD45" s="49">
        <v>71774</v>
      </c>
      <c r="BE45" s="49">
        <v>67289</v>
      </c>
      <c r="BF45" s="49">
        <v>68292</v>
      </c>
      <c r="BG45" s="49">
        <v>49277.871039999998</v>
      </c>
      <c r="BH45" s="49">
        <v>43242</v>
      </c>
      <c r="BI45" s="49">
        <v>41450</v>
      </c>
      <c r="BJ45" s="49">
        <v>45238</v>
      </c>
      <c r="BK45" s="49">
        <v>46353</v>
      </c>
      <c r="BL45" s="49">
        <v>47931</v>
      </c>
      <c r="BM45" s="49">
        <v>52046</v>
      </c>
      <c r="BN45" s="49">
        <v>56227</v>
      </c>
      <c r="BO45" s="216">
        <v>62988</v>
      </c>
    </row>
    <row r="46" spans="2:67">
      <c r="B46" s="36" t="str">
        <f>IF('Índice - Index'!$D$14="Português","Impostos a recolher","Taxes payables")</f>
        <v>Impostos a recolher</v>
      </c>
      <c r="C46" s="49">
        <v>86549</v>
      </c>
      <c r="D46" s="49">
        <v>36866</v>
      </c>
      <c r="E46" s="49">
        <v>71482</v>
      </c>
      <c r="F46" s="49">
        <v>52388</v>
      </c>
      <c r="G46" s="49">
        <v>141803</v>
      </c>
      <c r="H46" s="49">
        <v>33275</v>
      </c>
      <c r="I46" s="49">
        <v>90776</v>
      </c>
      <c r="J46" s="49">
        <v>51441</v>
      </c>
      <c r="K46" s="49">
        <v>105630</v>
      </c>
      <c r="L46" s="49">
        <v>21904</v>
      </c>
      <c r="M46" s="49">
        <v>46266</v>
      </c>
      <c r="N46" s="49">
        <v>28687</v>
      </c>
      <c r="O46" s="49">
        <v>105650</v>
      </c>
      <c r="P46" s="49">
        <v>38499</v>
      </c>
      <c r="Q46" s="49">
        <v>62178</v>
      </c>
      <c r="R46" s="49">
        <v>45597</v>
      </c>
      <c r="S46" s="49">
        <v>146887</v>
      </c>
      <c r="T46" s="49">
        <v>49215</v>
      </c>
      <c r="U46" s="49">
        <v>71344</v>
      </c>
      <c r="V46" s="49">
        <v>56797</v>
      </c>
      <c r="W46" s="49">
        <v>147329</v>
      </c>
      <c r="X46" s="49">
        <v>41606</v>
      </c>
      <c r="Y46" s="49">
        <v>54865</v>
      </c>
      <c r="Z46" s="49">
        <v>50548</v>
      </c>
      <c r="AA46" s="49">
        <v>112338</v>
      </c>
      <c r="AB46" s="49">
        <v>37197</v>
      </c>
      <c r="AC46" s="49">
        <v>56223</v>
      </c>
      <c r="AD46" s="49">
        <v>21694</v>
      </c>
      <c r="AE46" s="49">
        <v>88437</v>
      </c>
      <c r="AF46" s="49">
        <v>29524</v>
      </c>
      <c r="AG46" s="49">
        <v>36295</v>
      </c>
      <c r="AH46" s="49">
        <v>31455</v>
      </c>
      <c r="AI46" s="49">
        <v>90595</v>
      </c>
      <c r="AJ46" s="49">
        <v>13920</v>
      </c>
      <c r="AK46" s="49">
        <v>48214</v>
      </c>
      <c r="AL46" s="49">
        <v>38241</v>
      </c>
      <c r="AM46" s="49">
        <v>64489</v>
      </c>
      <c r="AN46" s="49">
        <v>25878.084210000001</v>
      </c>
      <c r="AO46" s="49">
        <v>53261</v>
      </c>
      <c r="AP46" s="49">
        <v>20173</v>
      </c>
      <c r="AQ46" s="49">
        <v>57715</v>
      </c>
      <c r="AR46" s="49">
        <v>19388</v>
      </c>
      <c r="AS46" s="49">
        <v>37026</v>
      </c>
      <c r="AT46" s="49">
        <v>32861</v>
      </c>
      <c r="AU46" s="49">
        <v>63214</v>
      </c>
      <c r="AV46" s="49">
        <v>23356</v>
      </c>
      <c r="AW46" s="49">
        <v>47614</v>
      </c>
      <c r="AX46" s="49">
        <v>28715</v>
      </c>
      <c r="AY46" s="49">
        <v>76157</v>
      </c>
      <c r="AZ46" s="49">
        <v>37929</v>
      </c>
      <c r="BA46" s="49">
        <v>47088</v>
      </c>
      <c r="BB46" s="49">
        <v>34164</v>
      </c>
      <c r="BC46" s="49">
        <v>89768</v>
      </c>
      <c r="BD46" s="49">
        <v>78967</v>
      </c>
      <c r="BE46" s="49">
        <v>73864</v>
      </c>
      <c r="BF46" s="49">
        <v>40385</v>
      </c>
      <c r="BG46" s="49">
        <v>80773.174100000004</v>
      </c>
      <c r="BH46" s="49">
        <v>63779</v>
      </c>
      <c r="BI46" s="49">
        <v>52430</v>
      </c>
      <c r="BJ46" s="49">
        <v>94253</v>
      </c>
      <c r="BK46" s="49">
        <v>165979</v>
      </c>
      <c r="BL46" s="49">
        <v>187576</v>
      </c>
      <c r="BM46" s="49">
        <v>247084</v>
      </c>
      <c r="BN46" s="49">
        <v>147723</v>
      </c>
      <c r="BO46" s="216">
        <v>161209</v>
      </c>
    </row>
    <row r="47" spans="2:67">
      <c r="B47" s="36" t="str">
        <f>IF('Índice - Index'!$D$14="Português","Partes relacionadas","Intercompany payables")</f>
        <v>Partes relacionadas</v>
      </c>
      <c r="C47" s="49">
        <v>4600</v>
      </c>
      <c r="D47" s="49">
        <v>2034</v>
      </c>
      <c r="E47" s="49">
        <v>2285</v>
      </c>
      <c r="F47" s="49">
        <v>2164</v>
      </c>
      <c r="G47" s="49">
        <v>4731</v>
      </c>
      <c r="H47" s="49">
        <v>2146</v>
      </c>
      <c r="I47" s="49">
        <v>1774</v>
      </c>
      <c r="J47" s="49">
        <v>2263</v>
      </c>
      <c r="K47" s="49">
        <v>4770</v>
      </c>
      <c r="L47" s="49">
        <v>2281</v>
      </c>
      <c r="M47" s="49">
        <v>2300</v>
      </c>
      <c r="N47" s="49">
        <v>3110</v>
      </c>
      <c r="O47" s="49">
        <v>6381</v>
      </c>
      <c r="P47" s="49">
        <v>3240</v>
      </c>
      <c r="Q47" s="49">
        <v>3244</v>
      </c>
      <c r="R47" s="49">
        <v>2909</v>
      </c>
      <c r="S47" s="49">
        <v>5915</v>
      </c>
      <c r="T47" s="49">
        <v>3015</v>
      </c>
      <c r="U47" s="49">
        <v>3035</v>
      </c>
      <c r="V47" s="49">
        <v>3013</v>
      </c>
      <c r="W47" s="49">
        <v>6047</v>
      </c>
      <c r="X47" s="49">
        <v>3159</v>
      </c>
      <c r="Y47" s="49">
        <v>2964</v>
      </c>
      <c r="Z47" s="49">
        <v>2862</v>
      </c>
      <c r="AA47" s="49">
        <v>6026</v>
      </c>
      <c r="AB47" s="49">
        <v>3363</v>
      </c>
      <c r="AC47" s="49">
        <v>3725</v>
      </c>
      <c r="AD47" s="49">
        <v>3215</v>
      </c>
      <c r="AE47" s="49">
        <v>6673</v>
      </c>
      <c r="AF47" s="49">
        <v>0</v>
      </c>
      <c r="AG47" s="49">
        <v>0</v>
      </c>
      <c r="AH47" s="49">
        <v>2931</v>
      </c>
      <c r="AI47" s="49">
        <v>0</v>
      </c>
      <c r="AJ47" s="49">
        <v>0</v>
      </c>
      <c r="AK47" s="49">
        <v>10</v>
      </c>
      <c r="AL47" s="49">
        <v>0</v>
      </c>
      <c r="AM47" s="49">
        <v>667</v>
      </c>
      <c r="AN47" s="49">
        <v>1401</v>
      </c>
      <c r="AO47" s="49">
        <v>0</v>
      </c>
      <c r="AP47" s="49">
        <v>0</v>
      </c>
      <c r="AQ47" s="49">
        <v>0</v>
      </c>
      <c r="AR47" s="49">
        <v>0</v>
      </c>
      <c r="AS47" s="49">
        <v>0</v>
      </c>
      <c r="AT47" s="49">
        <v>0</v>
      </c>
      <c r="AU47" s="49">
        <v>0</v>
      </c>
      <c r="AV47" s="49">
        <v>0</v>
      </c>
      <c r="AW47" s="49">
        <v>0</v>
      </c>
      <c r="AX47" s="49">
        <v>0</v>
      </c>
      <c r="AY47" s="49">
        <v>0</v>
      </c>
      <c r="AZ47" s="49">
        <v>0</v>
      </c>
      <c r="BA47" s="49">
        <v>0</v>
      </c>
      <c r="BB47" s="49">
        <v>0</v>
      </c>
      <c r="BC47" s="49">
        <v>0</v>
      </c>
      <c r="BD47" s="49">
        <v>0</v>
      </c>
      <c r="BE47" s="49">
        <v>0</v>
      </c>
      <c r="BF47" s="49">
        <v>0</v>
      </c>
      <c r="BG47" s="49">
        <v>25492</v>
      </c>
      <c r="BH47" s="49">
        <v>0</v>
      </c>
      <c r="BI47" s="49">
        <v>11462</v>
      </c>
      <c r="BJ47" s="49">
        <v>0</v>
      </c>
      <c r="BK47" s="49">
        <v>490</v>
      </c>
      <c r="BL47" s="49">
        <v>40</v>
      </c>
      <c r="BM47" s="49">
        <v>42</v>
      </c>
      <c r="BN47" s="49">
        <v>0</v>
      </c>
      <c r="BO47" s="215" t="s">
        <v>14</v>
      </c>
    </row>
    <row r="48" spans="2:67">
      <c r="B48" s="50" t="str">
        <f>IF('Índice - Index'!$D$14="Português","Parcelamento de tributos","Taxes in installments")</f>
        <v>Parcelamento de tributos</v>
      </c>
      <c r="C48" s="49">
        <v>0</v>
      </c>
      <c r="D48" s="49">
        <v>0</v>
      </c>
      <c r="E48" s="49">
        <v>0</v>
      </c>
      <c r="F48" s="49">
        <v>0</v>
      </c>
      <c r="G48" s="49">
        <v>8552</v>
      </c>
      <c r="H48" s="49">
        <v>8397</v>
      </c>
      <c r="I48" s="49">
        <v>15403</v>
      </c>
      <c r="J48" s="49">
        <v>14123</v>
      </c>
      <c r="K48" s="49">
        <v>13723</v>
      </c>
      <c r="L48" s="49">
        <v>705</v>
      </c>
      <c r="M48" s="49">
        <v>780</v>
      </c>
      <c r="N48" s="49">
        <v>638</v>
      </c>
      <c r="O48" s="49">
        <v>489</v>
      </c>
      <c r="P48" s="49">
        <v>344</v>
      </c>
      <c r="Q48" s="49">
        <v>194</v>
      </c>
      <c r="R48" s="49">
        <v>0</v>
      </c>
      <c r="S48" s="49">
        <v>0</v>
      </c>
      <c r="T48" s="49">
        <v>0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49">
        <v>0</v>
      </c>
      <c r="AA48" s="49">
        <v>0</v>
      </c>
      <c r="AB48" s="49">
        <v>0</v>
      </c>
      <c r="AC48" s="49">
        <v>0</v>
      </c>
      <c r="AD48" s="49">
        <v>0</v>
      </c>
      <c r="AE48" s="49">
        <v>0</v>
      </c>
      <c r="AF48" s="49">
        <v>0</v>
      </c>
      <c r="AG48" s="49">
        <v>0</v>
      </c>
      <c r="AH48" s="49">
        <v>0</v>
      </c>
      <c r="AI48" s="49">
        <v>0</v>
      </c>
      <c r="AJ48" s="49">
        <v>0</v>
      </c>
      <c r="AK48" s="49">
        <v>0</v>
      </c>
      <c r="AL48" s="49">
        <v>0</v>
      </c>
      <c r="AM48" s="49">
        <v>0</v>
      </c>
      <c r="AN48" s="49">
        <v>0</v>
      </c>
      <c r="AO48" s="49">
        <v>0</v>
      </c>
      <c r="AP48" s="49">
        <v>0</v>
      </c>
      <c r="AQ48" s="49">
        <v>0</v>
      </c>
      <c r="AR48" s="49">
        <v>0</v>
      </c>
      <c r="AS48" s="49">
        <v>0</v>
      </c>
      <c r="AT48" s="49">
        <v>0</v>
      </c>
      <c r="AU48" s="49">
        <v>0</v>
      </c>
      <c r="AV48" s="49">
        <v>0</v>
      </c>
      <c r="AW48" s="49">
        <v>0</v>
      </c>
      <c r="AX48" s="49">
        <v>0</v>
      </c>
      <c r="AY48" s="49">
        <v>0</v>
      </c>
      <c r="AZ48" s="49">
        <v>0</v>
      </c>
      <c r="BA48" s="49">
        <v>0</v>
      </c>
      <c r="BB48" s="49">
        <v>0</v>
      </c>
      <c r="BC48" s="49">
        <v>0</v>
      </c>
      <c r="BD48" s="49">
        <v>0</v>
      </c>
      <c r="BE48" s="49">
        <v>0</v>
      </c>
      <c r="BF48" s="49">
        <v>0</v>
      </c>
      <c r="BG48" s="49">
        <v>0</v>
      </c>
      <c r="BH48" s="49">
        <v>0</v>
      </c>
      <c r="BI48" s="49">
        <v>0</v>
      </c>
      <c r="BJ48" s="49">
        <v>0</v>
      </c>
      <c r="BK48" s="49">
        <v>0</v>
      </c>
      <c r="BL48" s="49">
        <v>0</v>
      </c>
      <c r="BM48" s="49" t="s">
        <v>14</v>
      </c>
      <c r="BN48" s="49"/>
      <c r="BO48" s="215" t="s">
        <v>14</v>
      </c>
    </row>
    <row r="49" spans="2:67">
      <c r="B49" s="50" t="str">
        <f>IF('Índice - Index'!$D$14="Português","Instrumentos financeiros","Financial Instruments")</f>
        <v>Instrumentos financeiros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9">
        <v>0</v>
      </c>
      <c r="T49" s="49">
        <v>6758</v>
      </c>
      <c r="U49" s="49">
        <v>11907</v>
      </c>
      <c r="V49" s="49">
        <v>638</v>
      </c>
      <c r="W49" s="49">
        <v>0</v>
      </c>
      <c r="X49" s="49">
        <v>0</v>
      </c>
      <c r="Y49" s="49">
        <v>0</v>
      </c>
      <c r="Z49" s="49">
        <v>0</v>
      </c>
      <c r="AA49" s="49">
        <v>0</v>
      </c>
      <c r="AB49" s="49">
        <v>24537</v>
      </c>
      <c r="AC49" s="49">
        <v>64034</v>
      </c>
      <c r="AD49" s="49">
        <v>48927</v>
      </c>
      <c r="AE49" s="49">
        <v>31582</v>
      </c>
      <c r="AF49" s="49">
        <v>40153</v>
      </c>
      <c r="AG49" s="49">
        <v>30913</v>
      </c>
      <c r="AH49" s="49">
        <v>39930</v>
      </c>
      <c r="AI49" s="49">
        <v>31495</v>
      </c>
      <c r="AJ49" s="49">
        <v>13093</v>
      </c>
      <c r="AK49" s="49">
        <v>3754</v>
      </c>
      <c r="AL49" s="49">
        <v>0</v>
      </c>
      <c r="AM49" s="49">
        <v>1723</v>
      </c>
      <c r="AN49" s="49">
        <v>0</v>
      </c>
      <c r="AO49" s="49">
        <v>627</v>
      </c>
      <c r="AP49" s="49">
        <v>0</v>
      </c>
      <c r="AQ49" s="49">
        <v>1081</v>
      </c>
      <c r="AR49" s="49">
        <v>0</v>
      </c>
      <c r="AS49" s="49">
        <v>0</v>
      </c>
      <c r="AT49" s="49">
        <v>0</v>
      </c>
      <c r="AU49" s="49">
        <v>6913</v>
      </c>
      <c r="AV49" s="49">
        <v>0</v>
      </c>
      <c r="AW49" s="49">
        <v>8516</v>
      </c>
      <c r="AX49" s="49">
        <v>15</v>
      </c>
      <c r="AY49" s="49">
        <v>29</v>
      </c>
      <c r="AZ49" s="49">
        <v>10643</v>
      </c>
      <c r="BA49" s="49">
        <v>3685</v>
      </c>
      <c r="BB49" s="49">
        <v>1904</v>
      </c>
      <c r="BC49" s="49">
        <v>1128</v>
      </c>
      <c r="BD49" s="49">
        <v>741</v>
      </c>
      <c r="BE49" s="49">
        <v>1137</v>
      </c>
      <c r="BF49" s="49">
        <v>0</v>
      </c>
      <c r="BG49" s="49">
        <v>0</v>
      </c>
      <c r="BH49" s="49">
        <v>0</v>
      </c>
      <c r="BI49" s="49">
        <v>0</v>
      </c>
      <c r="BJ49" s="49">
        <v>0</v>
      </c>
      <c r="BK49" s="49">
        <v>0</v>
      </c>
      <c r="BL49" s="49">
        <v>0</v>
      </c>
      <c r="BM49" s="49" t="s">
        <v>14</v>
      </c>
      <c r="BN49" s="49"/>
      <c r="BO49" s="215" t="s">
        <v>14</v>
      </c>
    </row>
    <row r="50" spans="2:67">
      <c r="B50" s="36" t="str">
        <f>IF('Índice - Index'!$D$14="Português","Aluguéis a pagar","Rentals payable")</f>
        <v>Aluguéis a pagar</v>
      </c>
      <c r="C50" s="49">
        <v>0</v>
      </c>
      <c r="D50" s="49">
        <v>0</v>
      </c>
      <c r="E50" s="49">
        <v>0</v>
      </c>
      <c r="F50" s="49">
        <v>0</v>
      </c>
      <c r="G50" s="49">
        <v>11162</v>
      </c>
      <c r="H50" s="49">
        <v>0</v>
      </c>
      <c r="I50" s="49">
        <v>10182</v>
      </c>
      <c r="J50" s="49">
        <v>8612</v>
      </c>
      <c r="K50" s="49">
        <v>13130</v>
      </c>
      <c r="L50" s="49">
        <v>10503</v>
      </c>
      <c r="M50" s="49">
        <v>12174</v>
      </c>
      <c r="N50" s="49">
        <v>11587</v>
      </c>
      <c r="O50" s="49">
        <v>16231</v>
      </c>
      <c r="P50" s="49">
        <v>13144</v>
      </c>
      <c r="Q50" s="49">
        <v>15359</v>
      </c>
      <c r="R50" s="49">
        <v>14439</v>
      </c>
      <c r="S50" s="49">
        <v>20299</v>
      </c>
      <c r="T50" s="49">
        <v>17573</v>
      </c>
      <c r="U50" s="49">
        <v>18381</v>
      </c>
      <c r="V50" s="49">
        <v>18559</v>
      </c>
      <c r="W50" s="49">
        <v>22899</v>
      </c>
      <c r="X50" s="49">
        <v>18074</v>
      </c>
      <c r="Y50" s="49">
        <v>20713</v>
      </c>
      <c r="Z50" s="49">
        <v>20229</v>
      </c>
      <c r="AA50" s="49">
        <v>22529</v>
      </c>
      <c r="AB50" s="49">
        <v>17849</v>
      </c>
      <c r="AC50" s="49">
        <v>17606</v>
      </c>
      <c r="AD50" s="49">
        <v>18202</v>
      </c>
      <c r="AE50" s="49">
        <v>23608</v>
      </c>
      <c r="AF50" s="49">
        <v>24631</v>
      </c>
      <c r="AG50" s="49">
        <v>22200</v>
      </c>
      <c r="AH50" s="49">
        <v>16622</v>
      </c>
      <c r="AI50" s="49">
        <v>27800</v>
      </c>
      <c r="AJ50" s="49">
        <v>20954</v>
      </c>
      <c r="AK50" s="49">
        <v>21650</v>
      </c>
      <c r="AL50" s="49">
        <v>22958</v>
      </c>
      <c r="AM50" s="49">
        <v>31564</v>
      </c>
      <c r="AN50" s="49">
        <v>19513.936429999998</v>
      </c>
      <c r="AO50" s="49">
        <v>17790</v>
      </c>
      <c r="AP50" s="49">
        <v>18345</v>
      </c>
      <c r="AQ50" s="49">
        <v>23421</v>
      </c>
      <c r="AR50" s="49">
        <v>5050</v>
      </c>
      <c r="AS50" s="49">
        <v>5773</v>
      </c>
      <c r="AT50" s="49">
        <v>5657</v>
      </c>
      <c r="AU50" s="49">
        <v>18358</v>
      </c>
      <c r="AV50" s="49">
        <v>5115</v>
      </c>
      <c r="AW50" s="49">
        <v>18191</v>
      </c>
      <c r="AX50" s="49">
        <v>19529</v>
      </c>
      <c r="AY50" s="49">
        <v>25946</v>
      </c>
      <c r="AZ50" s="49">
        <v>20844</v>
      </c>
      <c r="BA50" s="49">
        <v>21148</v>
      </c>
      <c r="BB50" s="49">
        <v>22432</v>
      </c>
      <c r="BC50" s="49">
        <v>31137</v>
      </c>
      <c r="BD50" s="49">
        <v>27418</v>
      </c>
      <c r="BE50" s="49">
        <v>19753</v>
      </c>
      <c r="BF50" s="49">
        <v>15850</v>
      </c>
      <c r="BG50" s="49">
        <v>23623.547740000002</v>
      </c>
      <c r="BH50" s="49">
        <v>10274</v>
      </c>
      <c r="BI50" s="49">
        <v>13823</v>
      </c>
      <c r="BJ50" s="49">
        <v>12707</v>
      </c>
      <c r="BK50" s="49">
        <v>19732</v>
      </c>
      <c r="BL50" s="49">
        <v>15570</v>
      </c>
      <c r="BM50" s="49">
        <v>16466</v>
      </c>
      <c r="BN50" s="49">
        <v>15916</v>
      </c>
      <c r="BO50" s="216">
        <v>19293</v>
      </c>
    </row>
    <row r="51" spans="2:67">
      <c r="B51" s="36" t="str">
        <f>IF('Índice - Index'!$D$14="Português","Dividendos e juros sobre o capital próprio a pagar","Dividends payable")</f>
        <v>Dividendos e juros sobre o capital próprio a pagar</v>
      </c>
      <c r="C51" s="49">
        <v>17911</v>
      </c>
      <c r="D51" s="49">
        <v>27791</v>
      </c>
      <c r="E51" s="49">
        <v>588</v>
      </c>
      <c r="F51" s="49">
        <v>588</v>
      </c>
      <c r="G51" s="49">
        <v>13623</v>
      </c>
      <c r="H51" s="49">
        <v>13034</v>
      </c>
      <c r="I51" s="49">
        <v>0</v>
      </c>
      <c r="J51" s="49">
        <v>0</v>
      </c>
      <c r="K51" s="49">
        <v>31576</v>
      </c>
      <c r="L51" s="49">
        <v>31576</v>
      </c>
      <c r="M51" s="49">
        <v>0</v>
      </c>
      <c r="N51" s="49">
        <v>0</v>
      </c>
      <c r="O51" s="49">
        <v>21435</v>
      </c>
      <c r="P51" s="49">
        <v>21435</v>
      </c>
      <c r="Q51" s="49">
        <v>0</v>
      </c>
      <c r="R51" s="49">
        <v>0</v>
      </c>
      <c r="S51" s="49">
        <v>20306</v>
      </c>
      <c r="T51" s="49">
        <v>20306</v>
      </c>
      <c r="U51" s="49">
        <v>0</v>
      </c>
      <c r="V51" s="49">
        <v>0</v>
      </c>
      <c r="W51" s="49">
        <v>12132</v>
      </c>
      <c r="X51" s="49">
        <v>12132</v>
      </c>
      <c r="Y51" s="49">
        <v>0</v>
      </c>
      <c r="Z51" s="49">
        <v>0</v>
      </c>
      <c r="AA51" s="49">
        <v>0</v>
      </c>
      <c r="AB51" s="49">
        <v>0</v>
      </c>
      <c r="AC51" s="49">
        <v>0</v>
      </c>
      <c r="AD51" s="49">
        <v>0</v>
      </c>
      <c r="AE51" s="49">
        <v>0</v>
      </c>
      <c r="AF51" s="49">
        <v>0</v>
      </c>
      <c r="AG51" s="49">
        <v>0</v>
      </c>
      <c r="AH51" s="49">
        <v>0</v>
      </c>
      <c r="AI51" s="49">
        <v>0</v>
      </c>
      <c r="AJ51" s="49">
        <v>0</v>
      </c>
      <c r="AK51" s="49">
        <v>0</v>
      </c>
      <c r="AL51" s="49">
        <v>0</v>
      </c>
      <c r="AM51" s="49">
        <v>6736</v>
      </c>
      <c r="AN51" s="49">
        <v>6736</v>
      </c>
      <c r="AO51" s="49">
        <v>6736</v>
      </c>
      <c r="AP51" s="49">
        <v>0</v>
      </c>
      <c r="AQ51" s="49">
        <v>0</v>
      </c>
      <c r="AR51" s="49">
        <v>0</v>
      </c>
      <c r="AS51" s="49">
        <v>0</v>
      </c>
      <c r="AT51" s="49">
        <v>0</v>
      </c>
      <c r="AU51" s="49">
        <v>0</v>
      </c>
      <c r="AV51" s="49">
        <v>0</v>
      </c>
      <c r="AW51" s="49">
        <v>0</v>
      </c>
      <c r="AX51" s="49">
        <v>0</v>
      </c>
      <c r="AY51" s="49">
        <v>0</v>
      </c>
      <c r="AZ51" s="49">
        <v>0</v>
      </c>
      <c r="BA51" s="49">
        <v>0</v>
      </c>
      <c r="BB51" s="49">
        <v>0</v>
      </c>
      <c r="BC51" s="49">
        <v>0</v>
      </c>
      <c r="BD51" s="49">
        <v>0</v>
      </c>
      <c r="BE51" s="49">
        <v>0</v>
      </c>
      <c r="BF51" s="49">
        <v>0</v>
      </c>
      <c r="BG51" s="49">
        <v>0</v>
      </c>
      <c r="BH51" s="49">
        <v>0</v>
      </c>
      <c r="BI51" s="49">
        <v>0</v>
      </c>
      <c r="BJ51" s="49">
        <v>0</v>
      </c>
      <c r="BK51" s="49" t="s">
        <v>27</v>
      </c>
      <c r="BL51" s="49" t="s">
        <v>27</v>
      </c>
      <c r="BM51" s="49"/>
      <c r="BN51" s="49"/>
      <c r="BO51" s="215" t="s">
        <v>14</v>
      </c>
    </row>
    <row r="52" spans="2:67">
      <c r="B52" s="36" t="str">
        <f>IF('Índice - Index'!$D$14="Português","Imposto de Renda e Contribuição Social","Income tax &amp; Social Contribution")</f>
        <v>Imposto de Renda e Contribuição Social</v>
      </c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>
        <v>10204</v>
      </c>
      <c r="Z52" s="49">
        <v>10796</v>
      </c>
      <c r="AA52" s="49"/>
      <c r="AB52" s="49"/>
      <c r="AC52" s="49">
        <v>9261</v>
      </c>
      <c r="AD52" s="49">
        <v>15501</v>
      </c>
      <c r="AE52" s="49">
        <v>3406</v>
      </c>
      <c r="AF52" s="49">
        <v>8955</v>
      </c>
      <c r="AG52" s="49">
        <v>19136</v>
      </c>
      <c r="AH52" s="49">
        <v>27515</v>
      </c>
      <c r="AI52" s="49">
        <v>20939</v>
      </c>
      <c r="AJ52" s="49">
        <v>25040</v>
      </c>
      <c r="AK52" s="49">
        <v>0</v>
      </c>
      <c r="AL52" s="49">
        <v>0</v>
      </c>
      <c r="AM52" s="49">
        <v>152362</v>
      </c>
      <c r="AN52" s="49">
        <v>23961.937010000001</v>
      </c>
      <c r="AO52" s="49">
        <v>2985</v>
      </c>
      <c r="AP52" s="49">
        <v>35267</v>
      </c>
      <c r="AQ52" s="49">
        <v>9203</v>
      </c>
      <c r="AR52" s="49">
        <v>17841</v>
      </c>
      <c r="AS52" s="49">
        <v>17864</v>
      </c>
      <c r="AT52" s="49">
        <v>110</v>
      </c>
      <c r="AU52" s="49">
        <v>297</v>
      </c>
      <c r="AV52" s="49">
        <v>25855</v>
      </c>
      <c r="AW52" s="49">
        <v>7514</v>
      </c>
      <c r="AX52" s="49">
        <v>7576</v>
      </c>
      <c r="AY52" s="49">
        <v>5402</v>
      </c>
      <c r="AZ52" s="49">
        <v>3832</v>
      </c>
      <c r="BA52" s="49">
        <v>154</v>
      </c>
      <c r="BB52" s="49">
        <v>120</v>
      </c>
      <c r="BC52" s="49">
        <v>4449</v>
      </c>
      <c r="BD52" s="49">
        <v>4416</v>
      </c>
      <c r="BE52" s="49">
        <v>4272</v>
      </c>
      <c r="BF52" s="49">
        <v>4282</v>
      </c>
      <c r="BG52" s="49">
        <v>4565.1227799999997</v>
      </c>
      <c r="BH52" s="49">
        <v>4569</v>
      </c>
      <c r="BI52" s="49">
        <v>4568</v>
      </c>
      <c r="BJ52" s="49">
        <v>4587</v>
      </c>
      <c r="BK52" s="49">
        <v>14</v>
      </c>
      <c r="BL52" s="49">
        <v>27</v>
      </c>
      <c r="BM52" s="49">
        <v>33</v>
      </c>
      <c r="BN52" s="49">
        <v>36</v>
      </c>
      <c r="BO52" s="216">
        <v>44</v>
      </c>
    </row>
    <row r="53" spans="2:67">
      <c r="B53" s="36" t="str">
        <f>IF('Índice - Index'!$D$14="Português","Receita diferida","Deferred revenues")</f>
        <v>Receita diferida</v>
      </c>
      <c r="C53" s="49">
        <v>12000</v>
      </c>
      <c r="D53" s="49">
        <v>12000</v>
      </c>
      <c r="E53" s="49">
        <v>12000</v>
      </c>
      <c r="F53" s="49">
        <v>12000</v>
      </c>
      <c r="G53" s="49">
        <v>12000</v>
      </c>
      <c r="H53" s="49">
        <v>12128</v>
      </c>
      <c r="I53" s="49">
        <v>12483</v>
      </c>
      <c r="J53" s="49">
        <v>12000</v>
      </c>
      <c r="K53" s="49">
        <v>12000</v>
      </c>
      <c r="L53" s="49">
        <v>12000</v>
      </c>
      <c r="M53" s="49">
        <v>12000</v>
      </c>
      <c r="N53" s="49">
        <v>12000</v>
      </c>
      <c r="O53" s="49">
        <v>12000</v>
      </c>
      <c r="P53" s="49">
        <v>12000</v>
      </c>
      <c r="Q53" s="49">
        <v>12000</v>
      </c>
      <c r="R53" s="49">
        <v>12000</v>
      </c>
      <c r="S53" s="49">
        <v>12000</v>
      </c>
      <c r="T53" s="49">
        <v>12000</v>
      </c>
      <c r="U53" s="49">
        <v>12000</v>
      </c>
      <c r="V53" s="49">
        <v>13000</v>
      </c>
      <c r="W53" s="49">
        <v>13000</v>
      </c>
      <c r="X53" s="49">
        <v>13000</v>
      </c>
      <c r="Y53" s="49">
        <v>13000</v>
      </c>
      <c r="Z53" s="49">
        <v>3814.8148148148148</v>
      </c>
      <c r="AA53" s="49">
        <v>3815</v>
      </c>
      <c r="AB53" s="49">
        <v>2815</v>
      </c>
      <c r="AC53" s="49">
        <v>2815</v>
      </c>
      <c r="AD53" s="49">
        <v>2815</v>
      </c>
      <c r="AE53" s="49">
        <v>6811</v>
      </c>
      <c r="AF53" s="49">
        <v>22675</v>
      </c>
      <c r="AG53" s="49">
        <v>22630</v>
      </c>
      <c r="AH53" s="49">
        <v>20943</v>
      </c>
      <c r="AI53" s="49">
        <v>19800</v>
      </c>
      <c r="AJ53" s="49">
        <v>20236</v>
      </c>
      <c r="AK53" s="49">
        <v>17474</v>
      </c>
      <c r="AL53" s="49">
        <v>17300</v>
      </c>
      <c r="AM53" s="49">
        <v>15923</v>
      </c>
      <c r="AN53" s="49">
        <v>17835</v>
      </c>
      <c r="AO53" s="49">
        <v>15845</v>
      </c>
      <c r="AP53" s="49">
        <v>15608</v>
      </c>
      <c r="AQ53" s="49">
        <v>15746</v>
      </c>
      <c r="AR53" s="49">
        <v>17614</v>
      </c>
      <c r="AS53" s="49">
        <v>16714</v>
      </c>
      <c r="AT53" s="49">
        <v>16714</v>
      </c>
      <c r="AU53" s="49">
        <v>16714</v>
      </c>
      <c r="AV53" s="49">
        <v>16714</v>
      </c>
      <c r="AW53" s="49">
        <v>17224</v>
      </c>
      <c r="AX53" s="49">
        <v>17224</v>
      </c>
      <c r="AY53" s="49">
        <v>15663</v>
      </c>
      <c r="AZ53" s="49">
        <v>3785</v>
      </c>
      <c r="BA53" s="49">
        <v>3737</v>
      </c>
      <c r="BB53" s="49">
        <v>3907</v>
      </c>
      <c r="BC53" s="49">
        <v>14213</v>
      </c>
      <c r="BD53" s="49">
        <v>2339</v>
      </c>
      <c r="BE53" s="49">
        <v>2263</v>
      </c>
      <c r="BF53" s="49">
        <v>2263</v>
      </c>
      <c r="BG53" s="49">
        <v>6262.9052899999997</v>
      </c>
      <c r="BH53" s="49">
        <v>6263</v>
      </c>
      <c r="BI53" s="49">
        <v>6263</v>
      </c>
      <c r="BJ53" s="49">
        <v>6263</v>
      </c>
      <c r="BK53" s="49">
        <v>6263</v>
      </c>
      <c r="BL53" s="49">
        <v>6263</v>
      </c>
      <c r="BM53" s="49">
        <v>5825</v>
      </c>
      <c r="BN53" s="49">
        <v>5387</v>
      </c>
      <c r="BO53" s="216">
        <v>4949</v>
      </c>
    </row>
    <row r="54" spans="2:67">
      <c r="B54" s="36" t="str">
        <f>IF('Índice - Index'!$D$14="Português","Outras obrigações","Other payables")</f>
        <v>Outras obrigações</v>
      </c>
      <c r="C54" s="49">
        <v>45656</v>
      </c>
      <c r="D54" s="49">
        <v>35178</v>
      </c>
      <c r="E54" s="49">
        <v>26321</v>
      </c>
      <c r="F54" s="49">
        <v>30043</v>
      </c>
      <c r="G54" s="49">
        <v>29315</v>
      </c>
      <c r="H54" s="49">
        <v>31568</v>
      </c>
      <c r="I54" s="49">
        <v>35145</v>
      </c>
      <c r="J54" s="49">
        <v>33662</v>
      </c>
      <c r="K54" s="49">
        <v>43387</v>
      </c>
      <c r="L54" s="49">
        <v>30254</v>
      </c>
      <c r="M54" s="49">
        <v>35031</v>
      </c>
      <c r="N54" s="49">
        <v>42192</v>
      </c>
      <c r="O54" s="49">
        <v>47526</v>
      </c>
      <c r="P54" s="49">
        <v>36789</v>
      </c>
      <c r="Q54" s="49">
        <v>36277</v>
      </c>
      <c r="R54" s="49">
        <v>39725</v>
      </c>
      <c r="S54" s="49">
        <v>67736</v>
      </c>
      <c r="T54" s="49">
        <v>50866</v>
      </c>
      <c r="U54" s="49">
        <v>56875</v>
      </c>
      <c r="V54" s="49">
        <v>46303</v>
      </c>
      <c r="W54" s="49">
        <v>58837</v>
      </c>
      <c r="X54" s="49">
        <v>57919</v>
      </c>
      <c r="Y54" s="49">
        <v>50728</v>
      </c>
      <c r="Z54" s="49">
        <v>40599</v>
      </c>
      <c r="AA54" s="49">
        <v>48796</v>
      </c>
      <c r="AB54" s="49">
        <v>45929</v>
      </c>
      <c r="AC54" s="49">
        <v>50929</v>
      </c>
      <c r="AD54" s="49">
        <v>47595</v>
      </c>
      <c r="AE54" s="49">
        <v>69679</v>
      </c>
      <c r="AF54" s="49">
        <v>71940</v>
      </c>
      <c r="AG54" s="49">
        <v>68741</v>
      </c>
      <c r="AH54" s="49">
        <v>58777</v>
      </c>
      <c r="AI54" s="49">
        <v>65859</v>
      </c>
      <c r="AJ54" s="49">
        <v>54316</v>
      </c>
      <c r="AK54" s="49">
        <v>56646</v>
      </c>
      <c r="AL54" s="49">
        <v>60073</v>
      </c>
      <c r="AM54" s="49">
        <v>161008</v>
      </c>
      <c r="AN54" s="49">
        <v>138948.87511000002</v>
      </c>
      <c r="AO54" s="49">
        <v>122237</v>
      </c>
      <c r="AP54" s="49">
        <v>130797</v>
      </c>
      <c r="AQ54" s="49">
        <v>118250</v>
      </c>
      <c r="AR54" s="49">
        <v>94537</v>
      </c>
      <c r="AS54" s="49">
        <v>98477</v>
      </c>
      <c r="AT54" s="49">
        <v>97396</v>
      </c>
      <c r="AU54" s="49">
        <v>108236</v>
      </c>
      <c r="AV54" s="49">
        <v>78345</v>
      </c>
      <c r="AW54" s="49">
        <v>99045</v>
      </c>
      <c r="AX54" s="49">
        <v>94760</v>
      </c>
      <c r="AY54" s="49">
        <v>108406</v>
      </c>
      <c r="AZ54" s="49">
        <v>88197</v>
      </c>
      <c r="BA54" s="49">
        <v>63607</v>
      </c>
      <c r="BB54" s="49">
        <v>61964</v>
      </c>
      <c r="BC54" s="49">
        <v>98123</v>
      </c>
      <c r="BD54" s="49">
        <v>100569</v>
      </c>
      <c r="BE54" s="49">
        <v>81522</v>
      </c>
      <c r="BF54" s="49">
        <v>169993</v>
      </c>
      <c r="BG54" s="49">
        <v>173520.45968999999</v>
      </c>
      <c r="BH54" s="49">
        <v>91136</v>
      </c>
      <c r="BI54" s="49">
        <v>48562</v>
      </c>
      <c r="BJ54" s="49">
        <v>43548</v>
      </c>
      <c r="BK54" s="49">
        <v>43001</v>
      </c>
      <c r="BL54" s="49">
        <v>44454</v>
      </c>
      <c r="BM54" s="49">
        <v>43639</v>
      </c>
      <c r="BN54" s="49">
        <v>46297</v>
      </c>
      <c r="BO54" s="216">
        <v>58374</v>
      </c>
    </row>
    <row r="55" spans="2:67">
      <c r="B55" s="36" t="str">
        <f>IF('Índice - Index'!$D$14="Português","Passivo de Operações Descontinuadas","Liabilities from Discontinued Operations")</f>
        <v>Passivo de Operações Descontinuadas</v>
      </c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>
        <v>0</v>
      </c>
      <c r="BD55" s="49"/>
      <c r="BE55" s="49"/>
      <c r="BF55" s="49"/>
      <c r="BG55" s="49">
        <v>455466</v>
      </c>
      <c r="BH55" s="49">
        <v>411077</v>
      </c>
      <c r="BI55" s="49">
        <v>137796</v>
      </c>
      <c r="BJ55" s="49">
        <v>64333</v>
      </c>
      <c r="BK55" s="49">
        <v>65418</v>
      </c>
      <c r="BL55" s="49" t="s">
        <v>14</v>
      </c>
      <c r="BM55" s="49" t="s">
        <v>14</v>
      </c>
      <c r="BN55" s="49">
        <v>0</v>
      </c>
      <c r="BO55" s="215" t="s">
        <v>14</v>
      </c>
    </row>
    <row r="56" spans="2:67">
      <c r="B56" s="42" t="str">
        <f>IF('Índice - Index'!$D$14="Português","Total do passivo circulante","Total Current Liabilities")</f>
        <v>Total do passivo circulante</v>
      </c>
      <c r="C56" s="51">
        <f t="shared" ref="C56:AT56" si="17">SUM(C41:C54)</f>
        <v>514571</v>
      </c>
      <c r="D56" s="51">
        <f t="shared" si="17"/>
        <v>446211</v>
      </c>
      <c r="E56" s="51">
        <f t="shared" si="17"/>
        <v>427912</v>
      </c>
      <c r="F56" s="51">
        <f t="shared" si="17"/>
        <v>570938</v>
      </c>
      <c r="G56" s="51">
        <f t="shared" si="17"/>
        <v>982640</v>
      </c>
      <c r="H56" s="51">
        <f t="shared" si="17"/>
        <v>1111433</v>
      </c>
      <c r="I56" s="51">
        <f t="shared" si="17"/>
        <v>1067008</v>
      </c>
      <c r="J56" s="51">
        <f t="shared" si="17"/>
        <v>647771</v>
      </c>
      <c r="K56" s="51">
        <f t="shared" si="17"/>
        <v>741096</v>
      </c>
      <c r="L56" s="51">
        <f t="shared" si="17"/>
        <v>475407</v>
      </c>
      <c r="M56" s="51">
        <f t="shared" si="17"/>
        <v>466381</v>
      </c>
      <c r="N56" s="51">
        <f t="shared" si="17"/>
        <v>505029</v>
      </c>
      <c r="O56" s="51">
        <f t="shared" si="17"/>
        <v>604945</v>
      </c>
      <c r="P56" s="51">
        <f t="shared" si="17"/>
        <v>485727</v>
      </c>
      <c r="Q56" s="51">
        <f t="shared" si="17"/>
        <v>443465</v>
      </c>
      <c r="R56" s="51">
        <f t="shared" si="17"/>
        <v>461759</v>
      </c>
      <c r="S56" s="51">
        <f t="shared" si="17"/>
        <v>690746</v>
      </c>
      <c r="T56" s="51">
        <f t="shared" si="17"/>
        <v>681766</v>
      </c>
      <c r="U56" s="51">
        <f t="shared" si="17"/>
        <v>586188</v>
      </c>
      <c r="V56" s="51">
        <f t="shared" si="17"/>
        <v>631274</v>
      </c>
      <c r="W56" s="51">
        <f t="shared" si="17"/>
        <v>934794</v>
      </c>
      <c r="X56" s="51">
        <f t="shared" si="17"/>
        <v>857780.12979000004</v>
      </c>
      <c r="Y56" s="51">
        <f t="shared" si="17"/>
        <v>848287</v>
      </c>
      <c r="Z56" s="51">
        <f t="shared" si="17"/>
        <v>823730.81481481483</v>
      </c>
      <c r="AA56" s="51">
        <f t="shared" si="17"/>
        <v>830820</v>
      </c>
      <c r="AB56" s="51">
        <f t="shared" si="17"/>
        <v>709930</v>
      </c>
      <c r="AC56" s="51">
        <f t="shared" si="17"/>
        <v>799974</v>
      </c>
      <c r="AD56" s="51">
        <f t="shared" si="17"/>
        <v>814068</v>
      </c>
      <c r="AE56" s="51">
        <f t="shared" si="17"/>
        <v>725588</v>
      </c>
      <c r="AF56" s="51">
        <f t="shared" si="17"/>
        <v>900724</v>
      </c>
      <c r="AG56" s="51">
        <f t="shared" si="17"/>
        <v>1120230</v>
      </c>
      <c r="AH56" s="51">
        <f t="shared" si="17"/>
        <v>1292564</v>
      </c>
      <c r="AI56" s="51">
        <f t="shared" si="17"/>
        <v>1274257</v>
      </c>
      <c r="AJ56" s="51">
        <f t="shared" si="17"/>
        <v>1179878</v>
      </c>
      <c r="AK56" s="51">
        <f t="shared" si="17"/>
        <v>982117</v>
      </c>
      <c r="AL56" s="51">
        <f t="shared" si="17"/>
        <v>997140</v>
      </c>
      <c r="AM56" s="51">
        <f t="shared" si="17"/>
        <v>1375009</v>
      </c>
      <c r="AN56" s="51">
        <f t="shared" si="17"/>
        <v>1431410.5250499998</v>
      </c>
      <c r="AO56" s="51">
        <f t="shared" si="17"/>
        <v>1467325</v>
      </c>
      <c r="AP56" s="51">
        <f t="shared" si="17"/>
        <v>1471347.4789999998</v>
      </c>
      <c r="AQ56" s="51">
        <f t="shared" si="17"/>
        <v>1587199</v>
      </c>
      <c r="AR56" s="51">
        <f t="shared" si="17"/>
        <v>1051586</v>
      </c>
      <c r="AS56" s="51">
        <f t="shared" si="17"/>
        <v>991340</v>
      </c>
      <c r="AT56" s="51">
        <f t="shared" si="17"/>
        <v>1142033</v>
      </c>
      <c r="AU56" s="51">
        <v>1463232</v>
      </c>
      <c r="AV56" s="51">
        <v>1400941</v>
      </c>
      <c r="AW56" s="51">
        <f>SUM(AW41:AW54)</f>
        <v>1414626</v>
      </c>
      <c r="AX56" s="51">
        <f>SUM(AX41:AX54)</f>
        <v>1472166</v>
      </c>
      <c r="AY56" s="51">
        <f>SUM(AY41:AY54)</f>
        <v>1441638</v>
      </c>
      <c r="AZ56" s="51">
        <v>1268635</v>
      </c>
      <c r="BA56" s="51">
        <f t="shared" ref="BA56:BF56" si="18">SUM(BA41:BA54)</f>
        <v>1158862</v>
      </c>
      <c r="BB56" s="51">
        <f t="shared" si="18"/>
        <v>1211041</v>
      </c>
      <c r="BC56" s="51">
        <f>SUM(BC41:BC55)</f>
        <v>1441183</v>
      </c>
      <c r="BD56" s="51">
        <f t="shared" si="18"/>
        <v>1416985</v>
      </c>
      <c r="BE56" s="51">
        <f t="shared" si="18"/>
        <v>1211886</v>
      </c>
      <c r="BF56" s="51">
        <f t="shared" si="18"/>
        <v>1307954</v>
      </c>
      <c r="BG56" s="51">
        <f t="shared" ref="BG56:BJ56" si="19">SUM(BG41:BG55)</f>
        <v>1626522.1571299999</v>
      </c>
      <c r="BH56" s="51">
        <f t="shared" si="19"/>
        <v>1682058</v>
      </c>
      <c r="BI56" s="51">
        <f t="shared" si="19"/>
        <v>1404640</v>
      </c>
      <c r="BJ56" s="51">
        <f t="shared" si="19"/>
        <v>907432</v>
      </c>
      <c r="BK56" s="51">
        <f t="shared" ref="BK56" si="20">SUM(BK41:BK55)</f>
        <v>884880</v>
      </c>
      <c r="BL56" s="51">
        <f>SUM(BL41:BL55)</f>
        <v>943942</v>
      </c>
      <c r="BM56" s="51">
        <f>SUM(BM41:BM55)</f>
        <v>947373</v>
      </c>
      <c r="BN56" s="51">
        <f>SUM(BN41:BN55)</f>
        <v>895035</v>
      </c>
      <c r="BO56" s="219">
        <v>925935</v>
      </c>
    </row>
    <row r="57" spans="2:67">
      <c r="B57" s="40"/>
      <c r="C57" s="51"/>
      <c r="D57" s="51"/>
      <c r="E57" s="51"/>
      <c r="F57" s="51"/>
      <c r="G57" s="51"/>
      <c r="H57" s="51"/>
      <c r="I57" s="51"/>
      <c r="J57" s="51"/>
      <c r="K57" s="51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17"/>
    </row>
    <row r="58" spans="2:67">
      <c r="B58" s="34" t="str">
        <f>IF('Índice - Index'!$D$14="Português","NÃO CIRCULANTE","NONCURRENT ASSETS")</f>
        <v>NÃO CIRCULANTE</v>
      </c>
      <c r="C58" s="35"/>
      <c r="D58" s="35"/>
      <c r="E58" s="35"/>
      <c r="F58" s="35"/>
      <c r="G58" s="35"/>
      <c r="H58" s="35"/>
      <c r="I58" s="35"/>
      <c r="J58" s="35"/>
      <c r="K58" s="35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17"/>
    </row>
    <row r="59" spans="2:67">
      <c r="B59" s="36" t="str">
        <f>IF('Índice - Index'!$D$14="Português","Empréstimos e financiamentos","Loans and financing")</f>
        <v>Empréstimos e financiamentos</v>
      </c>
      <c r="C59" s="49">
        <v>95692</v>
      </c>
      <c r="D59" s="49">
        <v>78393</v>
      </c>
      <c r="E59" s="49">
        <v>68320</v>
      </c>
      <c r="F59" s="49">
        <v>58317</v>
      </c>
      <c r="G59" s="49">
        <v>68047</v>
      </c>
      <c r="H59" s="49">
        <v>53596</v>
      </c>
      <c r="I59" s="49">
        <v>341665</v>
      </c>
      <c r="J59" s="49">
        <v>335492</v>
      </c>
      <c r="K59" s="49">
        <v>687017</v>
      </c>
      <c r="L59" s="49">
        <v>682300</v>
      </c>
      <c r="M59" s="49">
        <v>670589</v>
      </c>
      <c r="N59" s="49">
        <v>674325</v>
      </c>
      <c r="O59" s="49">
        <v>682339</v>
      </c>
      <c r="P59" s="49">
        <v>684316</v>
      </c>
      <c r="Q59" s="49">
        <v>687528</v>
      </c>
      <c r="R59" s="49">
        <v>685431</v>
      </c>
      <c r="S59" s="49">
        <v>685387</v>
      </c>
      <c r="T59" s="49">
        <v>752409</v>
      </c>
      <c r="U59" s="49">
        <v>950886</v>
      </c>
      <c r="V59" s="49">
        <v>953903</v>
      </c>
      <c r="W59" s="49">
        <v>777352</v>
      </c>
      <c r="X59" s="49">
        <v>764875</v>
      </c>
      <c r="Y59" s="49">
        <v>824249</v>
      </c>
      <c r="Z59" s="49">
        <v>963057</v>
      </c>
      <c r="AA59" s="49">
        <v>734043</v>
      </c>
      <c r="AB59" s="49">
        <v>726878</v>
      </c>
      <c r="AC59" s="49">
        <v>706122</v>
      </c>
      <c r="AD59" s="49">
        <v>705006</v>
      </c>
      <c r="AE59" s="49">
        <v>711277</v>
      </c>
      <c r="AF59" s="49">
        <v>597400</v>
      </c>
      <c r="AG59" s="49">
        <v>299925</v>
      </c>
      <c r="AH59" s="49">
        <v>322243</v>
      </c>
      <c r="AI59" s="49">
        <v>422474</v>
      </c>
      <c r="AJ59" s="49">
        <v>386961</v>
      </c>
      <c r="AK59" s="49">
        <v>545509</v>
      </c>
      <c r="AL59" s="49">
        <v>608125</v>
      </c>
      <c r="AM59" s="49">
        <v>644942</v>
      </c>
      <c r="AN59" s="49">
        <v>596429</v>
      </c>
      <c r="AO59" s="49">
        <v>564390</v>
      </c>
      <c r="AP59" s="49">
        <v>604291</v>
      </c>
      <c r="AQ59" s="49">
        <v>531768</v>
      </c>
      <c r="AR59" s="49">
        <v>392581</v>
      </c>
      <c r="AS59" s="49">
        <v>406361</v>
      </c>
      <c r="AT59" s="49">
        <v>280325</v>
      </c>
      <c r="AU59" s="49">
        <v>321272</v>
      </c>
      <c r="AV59" s="49">
        <v>357382</v>
      </c>
      <c r="AW59" s="49">
        <v>394074</v>
      </c>
      <c r="AX59" s="49">
        <v>396043</v>
      </c>
      <c r="AY59" s="49">
        <v>403131</v>
      </c>
      <c r="AZ59" s="49">
        <v>399661</v>
      </c>
      <c r="BA59" s="49">
        <v>553802</v>
      </c>
      <c r="BB59" s="49">
        <v>512850</v>
      </c>
      <c r="BC59" s="49">
        <v>403787</v>
      </c>
      <c r="BD59" s="49">
        <v>341600</v>
      </c>
      <c r="BE59" s="49">
        <v>371132</v>
      </c>
      <c r="BF59" s="49">
        <v>259562</v>
      </c>
      <c r="BG59" s="49">
        <v>100273.00130999999</v>
      </c>
      <c r="BH59" s="49">
        <v>103644</v>
      </c>
      <c r="BI59" s="49">
        <v>80125</v>
      </c>
      <c r="BJ59" s="49">
        <v>0</v>
      </c>
      <c r="BK59" s="49">
        <v>4342</v>
      </c>
      <c r="BL59" s="49" t="s">
        <v>14</v>
      </c>
      <c r="BM59" s="49" t="s">
        <v>14</v>
      </c>
      <c r="BN59" s="49">
        <v>154845</v>
      </c>
      <c r="BO59" s="216">
        <v>138398</v>
      </c>
    </row>
    <row r="60" spans="2:67">
      <c r="B60" s="36" t="str">
        <f>IF('Índice - Index'!$D$14="Português","Financiamento por Arrendamento","Finance Lease")</f>
        <v>Financiamento por Arrendamento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9"/>
      <c r="AL60" s="49"/>
      <c r="AM60" s="49"/>
      <c r="AN60" s="49">
        <v>452186</v>
      </c>
      <c r="AO60" s="49">
        <v>441412</v>
      </c>
      <c r="AP60" s="49">
        <v>361424.71918000001</v>
      </c>
      <c r="AQ60" s="49">
        <v>267125</v>
      </c>
      <c r="AR60" s="49">
        <v>436009</v>
      </c>
      <c r="AS60" s="49">
        <v>411191</v>
      </c>
      <c r="AT60" s="49">
        <v>386898</v>
      </c>
      <c r="AU60" s="49">
        <v>419555</v>
      </c>
      <c r="AV60" s="49">
        <v>401830</v>
      </c>
      <c r="AW60" s="49">
        <v>394894</v>
      </c>
      <c r="AX60" s="49">
        <v>408118</v>
      </c>
      <c r="AY60" s="49">
        <v>408484</v>
      </c>
      <c r="AZ60" s="49">
        <v>393233</v>
      </c>
      <c r="BA60" s="49">
        <v>649513</v>
      </c>
      <c r="BB60" s="49">
        <v>697942</v>
      </c>
      <c r="BC60" s="49">
        <v>475760</v>
      </c>
      <c r="BD60" s="49">
        <v>527330</v>
      </c>
      <c r="BE60" s="49">
        <v>514564</v>
      </c>
      <c r="BF60" s="49">
        <v>530453</v>
      </c>
      <c r="BG60" s="49">
        <v>373038.66855</v>
      </c>
      <c r="BH60" s="49">
        <v>346820</v>
      </c>
      <c r="BI60" s="49">
        <v>390746</v>
      </c>
      <c r="BJ60" s="49">
        <v>427311</v>
      </c>
      <c r="BK60" s="49">
        <v>408461</v>
      </c>
      <c r="BL60" s="49">
        <v>417115</v>
      </c>
      <c r="BM60" s="49">
        <v>426410</v>
      </c>
      <c r="BN60" s="49">
        <v>410205</v>
      </c>
      <c r="BO60" s="216">
        <v>369657</v>
      </c>
    </row>
    <row r="61" spans="2:67">
      <c r="B61" s="36" t="s">
        <v>30</v>
      </c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>
        <v>0</v>
      </c>
      <c r="AT61" s="49">
        <v>0</v>
      </c>
      <c r="AU61" s="49">
        <v>0</v>
      </c>
      <c r="AV61" s="49">
        <v>0</v>
      </c>
      <c r="AW61" s="49">
        <v>0</v>
      </c>
      <c r="AX61" s="49">
        <v>2824</v>
      </c>
      <c r="AY61" s="49">
        <v>778</v>
      </c>
      <c r="AZ61" s="49">
        <v>4535</v>
      </c>
      <c r="BA61" s="49">
        <v>736</v>
      </c>
      <c r="BB61" s="49">
        <v>795</v>
      </c>
      <c r="BC61" s="49">
        <v>795</v>
      </c>
      <c r="BD61" s="49">
        <v>795</v>
      </c>
      <c r="BE61" s="49">
        <v>0</v>
      </c>
      <c r="BF61" s="49">
        <v>0</v>
      </c>
      <c r="BG61" s="49">
        <v>0</v>
      </c>
      <c r="BH61" s="49">
        <v>0</v>
      </c>
      <c r="BI61" s="49">
        <v>0</v>
      </c>
      <c r="BJ61" s="49">
        <v>0</v>
      </c>
      <c r="BK61" s="49">
        <v>0</v>
      </c>
      <c r="BL61" s="49">
        <v>0</v>
      </c>
      <c r="BM61" s="49" t="s">
        <v>14</v>
      </c>
      <c r="BN61" s="49">
        <v>0</v>
      </c>
      <c r="BO61" s="215" t="s">
        <v>14</v>
      </c>
    </row>
    <row r="62" spans="2:67">
      <c r="B62" s="36" t="str">
        <f>IF('Índice - Index'!$D$14="Português","Imposto de renda e Contribuição social diferidos","Deferred income tax and social contribution")</f>
        <v>Imposto de renda e Contribuição social diferidos</v>
      </c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>
        <v>4209</v>
      </c>
      <c r="AS62" s="49">
        <v>3177</v>
      </c>
      <c r="AT62" s="49">
        <v>437</v>
      </c>
      <c r="AU62" s="49">
        <v>0</v>
      </c>
      <c r="AV62" s="49">
        <v>1060</v>
      </c>
      <c r="AW62" s="49">
        <v>0</v>
      </c>
      <c r="AX62" s="49">
        <v>852</v>
      </c>
      <c r="AY62" s="49">
        <v>1144</v>
      </c>
      <c r="AZ62" s="49">
        <v>0</v>
      </c>
      <c r="BA62" s="49">
        <v>12</v>
      </c>
      <c r="BB62" s="49">
        <v>171</v>
      </c>
      <c r="BC62" s="49">
        <v>0</v>
      </c>
      <c r="BD62" s="49">
        <v>0</v>
      </c>
      <c r="BE62" s="49">
        <v>0</v>
      </c>
      <c r="BF62" s="49">
        <v>0</v>
      </c>
      <c r="BG62" s="49">
        <v>0</v>
      </c>
      <c r="BH62" s="49">
        <v>0</v>
      </c>
      <c r="BI62" s="49">
        <v>0</v>
      </c>
      <c r="BJ62" s="49">
        <v>0</v>
      </c>
      <c r="BK62" s="49">
        <v>0</v>
      </c>
      <c r="BL62" s="49">
        <v>0</v>
      </c>
      <c r="BM62" s="49" t="s">
        <v>14</v>
      </c>
      <c r="BN62" s="49">
        <v>0</v>
      </c>
      <c r="BO62" s="215" t="s">
        <v>14</v>
      </c>
    </row>
    <row r="63" spans="2:67">
      <c r="B63" s="36" t="str">
        <f>IF('Índice - Index'!$D$14="Português","Provisão para litígios e demandas judiciais","Provisions for judicial contingencies")</f>
        <v>Provisão para litígios e demandas judiciais</v>
      </c>
      <c r="C63" s="49">
        <v>57630</v>
      </c>
      <c r="D63" s="49">
        <v>59121</v>
      </c>
      <c r="E63" s="49">
        <v>58637</v>
      </c>
      <c r="F63" s="49">
        <v>62021</v>
      </c>
      <c r="G63" s="49">
        <v>61125</v>
      </c>
      <c r="H63" s="49">
        <v>60938</v>
      </c>
      <c r="I63" s="49">
        <v>56271</v>
      </c>
      <c r="J63" s="49">
        <v>57876</v>
      </c>
      <c r="K63" s="49">
        <v>53350</v>
      </c>
      <c r="L63" s="49">
        <v>52794</v>
      </c>
      <c r="M63" s="49">
        <v>54588</v>
      </c>
      <c r="N63" s="49">
        <v>55769</v>
      </c>
      <c r="O63" s="49">
        <v>54699</v>
      </c>
      <c r="P63" s="49">
        <v>51045</v>
      </c>
      <c r="Q63" s="49">
        <v>51795</v>
      </c>
      <c r="R63" s="49">
        <v>45511</v>
      </c>
      <c r="S63" s="49">
        <v>45452</v>
      </c>
      <c r="T63" s="49">
        <v>50639</v>
      </c>
      <c r="U63" s="49">
        <v>54682</v>
      </c>
      <c r="V63" s="49">
        <v>54442</v>
      </c>
      <c r="W63" s="49">
        <v>54716</v>
      </c>
      <c r="X63" s="49">
        <v>56673</v>
      </c>
      <c r="Y63" s="49">
        <v>62954</v>
      </c>
      <c r="Z63" s="49">
        <v>65300</v>
      </c>
      <c r="AA63" s="49">
        <v>96696</v>
      </c>
      <c r="AB63" s="49">
        <v>125462</v>
      </c>
      <c r="AC63" s="49">
        <v>135171</v>
      </c>
      <c r="AD63" s="49">
        <v>146687</v>
      </c>
      <c r="AE63" s="49">
        <v>163881</v>
      </c>
      <c r="AF63" s="49">
        <v>90989</v>
      </c>
      <c r="AG63" s="49">
        <v>94526</v>
      </c>
      <c r="AH63" s="49">
        <v>95757</v>
      </c>
      <c r="AI63" s="49">
        <v>98759</v>
      </c>
      <c r="AJ63" s="49">
        <v>99995</v>
      </c>
      <c r="AK63" s="49">
        <v>97514</v>
      </c>
      <c r="AL63" s="49">
        <v>97638</v>
      </c>
      <c r="AM63" s="49">
        <v>113201</v>
      </c>
      <c r="AN63" s="49">
        <v>123435.44573000001</v>
      </c>
      <c r="AO63" s="49">
        <v>131701</v>
      </c>
      <c r="AP63" s="49">
        <v>136689</v>
      </c>
      <c r="AQ63" s="49">
        <v>145015</v>
      </c>
      <c r="AR63" s="49">
        <v>148666</v>
      </c>
      <c r="AS63" s="49">
        <v>122016</v>
      </c>
      <c r="AT63" s="49">
        <v>121841</v>
      </c>
      <c r="AU63" s="49">
        <v>125484</v>
      </c>
      <c r="AV63" s="49">
        <v>131923</v>
      </c>
      <c r="AW63" s="49">
        <v>138140</v>
      </c>
      <c r="AX63" s="49">
        <v>137999</v>
      </c>
      <c r="AY63" s="49">
        <v>176691</v>
      </c>
      <c r="AZ63" s="49">
        <v>147311</v>
      </c>
      <c r="BA63" s="49">
        <v>153248</v>
      </c>
      <c r="BB63" s="49">
        <v>152798</v>
      </c>
      <c r="BC63" s="49">
        <v>208839</v>
      </c>
      <c r="BD63" s="49">
        <v>241521</v>
      </c>
      <c r="BE63" s="49">
        <v>251169</v>
      </c>
      <c r="BF63" s="49">
        <v>260738</v>
      </c>
      <c r="BG63" s="49">
        <v>270202.99719999998</v>
      </c>
      <c r="BH63" s="49">
        <v>269460</v>
      </c>
      <c r="BI63" s="49">
        <v>272621</v>
      </c>
      <c r="BJ63" s="49">
        <v>257819</v>
      </c>
      <c r="BK63" s="49">
        <v>129979</v>
      </c>
      <c r="BL63" s="49">
        <v>153096</v>
      </c>
      <c r="BM63" s="49">
        <v>118538</v>
      </c>
      <c r="BN63" s="49">
        <v>130445</v>
      </c>
      <c r="BO63" s="216">
        <v>166314</v>
      </c>
    </row>
    <row r="64" spans="2:67">
      <c r="B64" s="36" t="str">
        <f>IF('Índice - Index'!$D$14="Português","Parcelamento de tributos","Taxes in installments")</f>
        <v>Parcelamento de tributos</v>
      </c>
      <c r="C64" s="49">
        <v>46385</v>
      </c>
      <c r="D64" s="49">
        <v>45491</v>
      </c>
      <c r="E64" s="49">
        <v>44573</v>
      </c>
      <c r="F64" s="49">
        <v>43567</v>
      </c>
      <c r="G64" s="49">
        <v>43435</v>
      </c>
      <c r="H64" s="49">
        <v>43300</v>
      </c>
      <c r="I64" s="49">
        <v>28951</v>
      </c>
      <c r="J64" s="49">
        <v>25656</v>
      </c>
      <c r="K64" s="49">
        <v>22371</v>
      </c>
      <c r="L64" s="49">
        <v>148</v>
      </c>
      <c r="M64" s="49">
        <v>725</v>
      </c>
      <c r="N64" s="49">
        <v>692</v>
      </c>
      <c r="O64" s="49">
        <v>659</v>
      </c>
      <c r="P64" s="49">
        <v>618</v>
      </c>
      <c r="Q64" s="49">
        <v>579</v>
      </c>
      <c r="R64" s="49">
        <v>0</v>
      </c>
      <c r="S64" s="49">
        <v>0</v>
      </c>
      <c r="T64" s="49">
        <v>0</v>
      </c>
      <c r="U64" s="49">
        <v>0</v>
      </c>
      <c r="V64" s="49">
        <v>0</v>
      </c>
      <c r="W64" s="49">
        <v>0</v>
      </c>
      <c r="X64" s="49">
        <v>0</v>
      </c>
      <c r="Y64" s="49">
        <v>0</v>
      </c>
      <c r="Z64" s="49">
        <v>0</v>
      </c>
      <c r="AA64" s="49">
        <v>0</v>
      </c>
      <c r="AB64" s="49">
        <v>0</v>
      </c>
      <c r="AC64" s="49">
        <v>0</v>
      </c>
      <c r="AD64" s="49">
        <v>0</v>
      </c>
      <c r="AE64" s="49">
        <v>0</v>
      </c>
      <c r="AF64" s="49">
        <v>0</v>
      </c>
      <c r="AG64" s="49">
        <v>0</v>
      </c>
      <c r="AH64" s="49">
        <v>0</v>
      </c>
      <c r="AI64" s="49">
        <v>0</v>
      </c>
      <c r="AJ64" s="49">
        <v>0</v>
      </c>
      <c r="AK64" s="49">
        <v>0</v>
      </c>
      <c r="AL64" s="49">
        <v>0</v>
      </c>
      <c r="AM64" s="49">
        <v>0</v>
      </c>
      <c r="AN64" s="49">
        <v>0</v>
      </c>
      <c r="AO64" s="49">
        <v>0</v>
      </c>
      <c r="AP64" s="49">
        <v>0</v>
      </c>
      <c r="AQ64" s="49" t="s">
        <v>14</v>
      </c>
      <c r="AR64" s="49">
        <v>0</v>
      </c>
      <c r="AS64" s="49">
        <v>0</v>
      </c>
      <c r="AT64" s="49">
        <v>0</v>
      </c>
      <c r="AU64" s="49">
        <v>0</v>
      </c>
      <c r="AV64" s="49">
        <v>0</v>
      </c>
      <c r="AW64" s="49">
        <v>0</v>
      </c>
      <c r="AX64" s="49">
        <v>0</v>
      </c>
      <c r="AY64" s="49">
        <v>0</v>
      </c>
      <c r="AZ64" s="49">
        <v>0</v>
      </c>
      <c r="BA64" s="49">
        <v>0</v>
      </c>
      <c r="BB64" s="49">
        <v>0</v>
      </c>
      <c r="BC64" s="49">
        <v>0</v>
      </c>
      <c r="BD64" s="49">
        <v>0</v>
      </c>
      <c r="BE64" s="49">
        <v>0</v>
      </c>
      <c r="BF64" s="49">
        <v>0</v>
      </c>
      <c r="BG64" s="49">
        <v>0</v>
      </c>
      <c r="BH64" s="49">
        <v>0</v>
      </c>
      <c r="BI64" s="49">
        <v>0</v>
      </c>
      <c r="BJ64" s="49">
        <v>0</v>
      </c>
      <c r="BK64" s="49" t="s">
        <v>14</v>
      </c>
      <c r="BL64" s="49" t="s">
        <v>14</v>
      </c>
      <c r="BM64" s="49" t="s">
        <v>14</v>
      </c>
      <c r="BN64" s="49">
        <v>0</v>
      </c>
      <c r="BO64" s="215" t="s">
        <v>14</v>
      </c>
    </row>
    <row r="65" spans="2:67" outlineLevel="1">
      <c r="B65" s="36" t="str">
        <f>IF('Índice - Index'!$D$14="Português","Opção de compra financeira","Financial call option")</f>
        <v>Opção de compra financeira</v>
      </c>
      <c r="C65" s="49">
        <v>8256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49">
        <v>0</v>
      </c>
      <c r="N65" s="49">
        <v>0</v>
      </c>
      <c r="O65" s="49">
        <v>0</v>
      </c>
      <c r="P65" s="49">
        <v>0</v>
      </c>
      <c r="Q65" s="49">
        <v>0</v>
      </c>
      <c r="R65" s="49">
        <v>0</v>
      </c>
      <c r="S65" s="49">
        <v>0</v>
      </c>
      <c r="T65" s="49">
        <v>0</v>
      </c>
      <c r="U65" s="49">
        <v>0</v>
      </c>
      <c r="V65" s="49">
        <v>0</v>
      </c>
      <c r="W65" s="49">
        <v>0</v>
      </c>
      <c r="X65" s="49">
        <v>0</v>
      </c>
      <c r="Y65" s="49">
        <v>0</v>
      </c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>
        <v>0</v>
      </c>
      <c r="AV65" s="49">
        <v>0</v>
      </c>
      <c r="AW65" s="49">
        <v>0</v>
      </c>
      <c r="AX65" s="49">
        <v>0</v>
      </c>
      <c r="AY65" s="49">
        <v>0</v>
      </c>
      <c r="AZ65" s="49">
        <v>0</v>
      </c>
      <c r="BA65" s="49">
        <v>0</v>
      </c>
      <c r="BB65" s="49">
        <v>0</v>
      </c>
      <c r="BC65" s="49">
        <v>0</v>
      </c>
      <c r="BD65" s="49">
        <v>0</v>
      </c>
      <c r="BE65" s="49">
        <v>0</v>
      </c>
      <c r="BF65" s="49">
        <v>0</v>
      </c>
      <c r="BG65" s="49">
        <v>0</v>
      </c>
      <c r="BH65" s="49">
        <v>0</v>
      </c>
      <c r="BI65" s="49">
        <v>0</v>
      </c>
      <c r="BJ65" s="49">
        <v>0</v>
      </c>
      <c r="BK65" s="49" t="s">
        <v>14</v>
      </c>
      <c r="BL65" s="49" t="s">
        <v>14</v>
      </c>
      <c r="BM65" s="49" t="s">
        <v>14</v>
      </c>
      <c r="BN65" s="49">
        <v>0</v>
      </c>
      <c r="BO65" s="215" t="s">
        <v>14</v>
      </c>
    </row>
    <row r="66" spans="2:67">
      <c r="B66" s="36" t="str">
        <f>IF('Índice - Index'!$D$14="Português","Receita diferida","Deferred revenues")</f>
        <v>Receita diferida</v>
      </c>
      <c r="C66" s="49">
        <v>95284</v>
      </c>
      <c r="D66" s="49">
        <v>92000</v>
      </c>
      <c r="E66" s="49">
        <v>89000</v>
      </c>
      <c r="F66" s="49">
        <v>86000</v>
      </c>
      <c r="G66" s="49">
        <v>83000</v>
      </c>
      <c r="H66" s="49">
        <v>80000</v>
      </c>
      <c r="I66" s="49">
        <v>77000</v>
      </c>
      <c r="J66" s="49">
        <v>74000</v>
      </c>
      <c r="K66" s="49">
        <v>71000</v>
      </c>
      <c r="L66" s="49">
        <v>68000</v>
      </c>
      <c r="M66" s="49">
        <v>65000</v>
      </c>
      <c r="N66" s="49">
        <v>62000</v>
      </c>
      <c r="O66" s="49">
        <v>59000</v>
      </c>
      <c r="P66" s="49">
        <v>56000</v>
      </c>
      <c r="Q66" s="49">
        <v>53000</v>
      </c>
      <c r="R66" s="49">
        <v>50000</v>
      </c>
      <c r="S66" s="49">
        <v>47000</v>
      </c>
      <c r="T66" s="49">
        <v>44000</v>
      </c>
      <c r="U66" s="49">
        <v>41000</v>
      </c>
      <c r="V66" s="49">
        <v>56500</v>
      </c>
      <c r="W66" s="49">
        <v>53250</v>
      </c>
      <c r="X66" s="49">
        <v>50000</v>
      </c>
      <c r="Y66" s="49">
        <v>46750</v>
      </c>
      <c r="Z66" s="49">
        <v>52685.185185185182</v>
      </c>
      <c r="AA66" s="49">
        <v>51731</v>
      </c>
      <c r="AB66" s="49">
        <v>33778</v>
      </c>
      <c r="AC66" s="49">
        <v>33074</v>
      </c>
      <c r="AD66" s="49">
        <v>32370</v>
      </c>
      <c r="AE66" s="49">
        <v>31666.67</v>
      </c>
      <c r="AF66" s="49">
        <v>90963</v>
      </c>
      <c r="AG66" s="49">
        <v>86509</v>
      </c>
      <c r="AH66" s="49">
        <v>82056</v>
      </c>
      <c r="AI66" s="49">
        <v>77602</v>
      </c>
      <c r="AJ66" s="49">
        <v>73148</v>
      </c>
      <c r="AK66" s="49">
        <v>63945</v>
      </c>
      <c r="AL66" s="49">
        <v>59642</v>
      </c>
      <c r="AM66" s="49">
        <v>55299</v>
      </c>
      <c r="AN66" s="49">
        <v>51475.140359999998</v>
      </c>
      <c r="AO66" s="49">
        <v>47313</v>
      </c>
      <c r="AP66" s="49">
        <v>43541</v>
      </c>
      <c r="AQ66" s="49">
        <v>39693</v>
      </c>
      <c r="AR66" s="49">
        <v>35084</v>
      </c>
      <c r="AS66" s="49">
        <v>31442</v>
      </c>
      <c r="AT66" s="49">
        <v>27799</v>
      </c>
      <c r="AU66" s="49">
        <v>24157</v>
      </c>
      <c r="AV66" s="49">
        <v>19704</v>
      </c>
      <c r="AW66" s="49">
        <v>17973</v>
      </c>
      <c r="AX66" s="49">
        <v>13392</v>
      </c>
      <c r="AY66" s="49">
        <v>55480</v>
      </c>
      <c r="AZ66" s="49">
        <v>26253</v>
      </c>
      <c r="BA66" s="49">
        <v>25587</v>
      </c>
      <c r="BB66" s="49">
        <v>24799</v>
      </c>
      <c r="BC66" s="49">
        <v>47703</v>
      </c>
      <c r="BD66" s="49">
        <v>13870</v>
      </c>
      <c r="BE66" s="49">
        <v>13454</v>
      </c>
      <c r="BF66" s="49">
        <v>12677</v>
      </c>
      <c r="BG66" s="49">
        <v>68088.188999999998</v>
      </c>
      <c r="BH66" s="49">
        <v>117490</v>
      </c>
      <c r="BI66" s="49">
        <v>116966</v>
      </c>
      <c r="BJ66" s="49">
        <v>116458</v>
      </c>
      <c r="BK66" s="49">
        <v>115746</v>
      </c>
      <c r="BL66" s="49">
        <v>115030</v>
      </c>
      <c r="BM66" s="49">
        <v>114641</v>
      </c>
      <c r="BN66" s="49">
        <v>114556</v>
      </c>
      <c r="BO66" s="216">
        <v>95043</v>
      </c>
    </row>
    <row r="67" spans="2:67">
      <c r="B67" s="36" t="str">
        <f>IF('Índice - Index'!$D$14="Português","Tributos a recolher e parcelamentos","Taxes to be collected and installments")</f>
        <v>Tributos a recolher e parcelamentos</v>
      </c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49"/>
      <c r="Q67" s="49"/>
      <c r="R67" s="49"/>
      <c r="S67" s="49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>
        <v>45433</v>
      </c>
      <c r="BJ67" s="49">
        <v>21560</v>
      </c>
      <c r="BK67" s="49">
        <v>75323</v>
      </c>
      <c r="BL67" s="49">
        <v>126649</v>
      </c>
      <c r="BM67" s="49">
        <v>121128</v>
      </c>
      <c r="BN67" s="49">
        <v>129604</v>
      </c>
      <c r="BO67" s="216">
        <v>125717</v>
      </c>
    </row>
    <row r="68" spans="2:67">
      <c r="B68" s="36" t="str">
        <f>IF('Índice - Index'!$D$14="Português","Outras obrigações","Other payables")</f>
        <v>Outras obrigações</v>
      </c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>
        <v>31653</v>
      </c>
      <c r="AQ68" s="49">
        <v>29262</v>
      </c>
      <c r="AR68" s="49">
        <v>26015</v>
      </c>
      <c r="AS68" s="49">
        <v>26200</v>
      </c>
      <c r="AT68" s="49">
        <v>24135</v>
      </c>
      <c r="AU68" s="49">
        <v>22031</v>
      </c>
      <c r="AV68" s="49">
        <v>20309</v>
      </c>
      <c r="AW68" s="49">
        <v>17128</v>
      </c>
      <c r="AX68" s="49">
        <v>8219</v>
      </c>
      <c r="AY68" s="49">
        <v>6097</v>
      </c>
      <c r="AZ68" s="49">
        <v>5323</v>
      </c>
      <c r="BA68" s="49">
        <v>5973</v>
      </c>
      <c r="BB68" s="49">
        <v>8611</v>
      </c>
      <c r="BC68" s="49">
        <v>9701</v>
      </c>
      <c r="BD68" s="49">
        <v>800</v>
      </c>
      <c r="BE68" s="49">
        <v>500</v>
      </c>
      <c r="BF68" s="49">
        <v>500</v>
      </c>
      <c r="BG68" s="49">
        <v>15300.36737</v>
      </c>
      <c r="BH68" s="49">
        <v>919</v>
      </c>
      <c r="BI68" s="49">
        <v>920</v>
      </c>
      <c r="BJ68" s="49">
        <v>919</v>
      </c>
      <c r="BK68" s="49">
        <v>919</v>
      </c>
      <c r="BL68" s="49">
        <v>918</v>
      </c>
      <c r="BM68" s="49">
        <v>738</v>
      </c>
      <c r="BN68" s="49">
        <v>419</v>
      </c>
      <c r="BO68" s="216">
        <v>11592</v>
      </c>
    </row>
    <row r="69" spans="2:67">
      <c r="B69" s="42" t="str">
        <f>IF('Índice - Index'!$D$14="Português","Total do passivo não circulante","Total Noncurrent Liabilities")</f>
        <v>Total do passivo não circulante</v>
      </c>
      <c r="C69" s="51">
        <f t="shared" ref="C69:AO69" si="21">SUM(C59:C66)</f>
        <v>303247</v>
      </c>
      <c r="D69" s="51">
        <f t="shared" si="21"/>
        <v>275005</v>
      </c>
      <c r="E69" s="51">
        <f t="shared" si="21"/>
        <v>260530</v>
      </c>
      <c r="F69" s="51">
        <f t="shared" si="21"/>
        <v>249905</v>
      </c>
      <c r="G69" s="51">
        <f t="shared" si="21"/>
        <v>255607</v>
      </c>
      <c r="H69" s="51">
        <f t="shared" si="21"/>
        <v>237834</v>
      </c>
      <c r="I69" s="51">
        <f t="shared" si="21"/>
        <v>503887</v>
      </c>
      <c r="J69" s="51">
        <f t="shared" si="21"/>
        <v>493024</v>
      </c>
      <c r="K69" s="51">
        <f t="shared" si="21"/>
        <v>833738</v>
      </c>
      <c r="L69" s="51">
        <f t="shared" si="21"/>
        <v>803242</v>
      </c>
      <c r="M69" s="51">
        <f t="shared" si="21"/>
        <v>790902</v>
      </c>
      <c r="N69" s="51">
        <f t="shared" si="21"/>
        <v>792786</v>
      </c>
      <c r="O69" s="51">
        <f t="shared" si="21"/>
        <v>796697</v>
      </c>
      <c r="P69" s="51">
        <f t="shared" si="21"/>
        <v>791979</v>
      </c>
      <c r="Q69" s="51">
        <f t="shared" si="21"/>
        <v>792902</v>
      </c>
      <c r="R69" s="51">
        <f t="shared" si="21"/>
        <v>780942</v>
      </c>
      <c r="S69" s="51">
        <f t="shared" si="21"/>
        <v>777839</v>
      </c>
      <c r="T69" s="51">
        <f t="shared" si="21"/>
        <v>847048</v>
      </c>
      <c r="U69" s="51">
        <f t="shared" si="21"/>
        <v>1046568</v>
      </c>
      <c r="V69" s="51">
        <f t="shared" si="21"/>
        <v>1064845</v>
      </c>
      <c r="W69" s="51">
        <f t="shared" si="21"/>
        <v>885318</v>
      </c>
      <c r="X69" s="51">
        <f t="shared" si="21"/>
        <v>871548</v>
      </c>
      <c r="Y69" s="51">
        <f t="shared" si="21"/>
        <v>933953</v>
      </c>
      <c r="Z69" s="51">
        <f t="shared" si="21"/>
        <v>1081042.1851851852</v>
      </c>
      <c r="AA69" s="51">
        <f t="shared" si="21"/>
        <v>882470</v>
      </c>
      <c r="AB69" s="51">
        <f t="shared" si="21"/>
        <v>886118</v>
      </c>
      <c r="AC69" s="51">
        <f t="shared" si="21"/>
        <v>874367</v>
      </c>
      <c r="AD69" s="51">
        <f t="shared" si="21"/>
        <v>884063</v>
      </c>
      <c r="AE69" s="51">
        <f t="shared" si="21"/>
        <v>906824.67</v>
      </c>
      <c r="AF69" s="51">
        <f t="shared" si="21"/>
        <v>779352</v>
      </c>
      <c r="AG69" s="51">
        <f t="shared" si="21"/>
        <v>480960</v>
      </c>
      <c r="AH69" s="51">
        <f t="shared" si="21"/>
        <v>500056</v>
      </c>
      <c r="AI69" s="51">
        <f t="shared" si="21"/>
        <v>598835</v>
      </c>
      <c r="AJ69" s="51">
        <f t="shared" si="21"/>
        <v>560104</v>
      </c>
      <c r="AK69" s="51">
        <f t="shared" si="21"/>
        <v>706968</v>
      </c>
      <c r="AL69" s="51">
        <f t="shared" si="21"/>
        <v>765405</v>
      </c>
      <c r="AM69" s="51">
        <f t="shared" si="21"/>
        <v>813442</v>
      </c>
      <c r="AN69" s="51">
        <f t="shared" si="21"/>
        <v>1223525.5860900001</v>
      </c>
      <c r="AO69" s="51">
        <f t="shared" si="21"/>
        <v>1184816</v>
      </c>
      <c r="AP69" s="51">
        <f>SUM(AP59:AP68)</f>
        <v>1177598.71918</v>
      </c>
      <c r="AQ69" s="51">
        <f>SUM(AQ59:AQ68)</f>
        <v>1012863</v>
      </c>
      <c r="AR69" s="51">
        <f>SUM(AR59:AR68)</f>
        <v>1042564</v>
      </c>
      <c r="AS69" s="51">
        <f>SUM(AS59:AS68)</f>
        <v>1000387</v>
      </c>
      <c r="AT69" s="51">
        <f>SUM(AT59:AT68)</f>
        <v>841435</v>
      </c>
      <c r="AU69" s="51">
        <v>912499</v>
      </c>
      <c r="AV69" s="51">
        <v>932208</v>
      </c>
      <c r="AW69" s="51">
        <f>SUM(AW59:AW68)</f>
        <v>962209</v>
      </c>
      <c r="AX69" s="51">
        <f>SUM(AX59:AX68)</f>
        <v>967447</v>
      </c>
      <c r="AY69" s="51">
        <f>SUM(AY59:AY68)</f>
        <v>1051805</v>
      </c>
      <c r="AZ69" s="51">
        <v>976316</v>
      </c>
      <c r="BA69" s="51">
        <f t="shared" ref="BA69:BF69" si="22">SUM(BA59:BA68)</f>
        <v>1388871</v>
      </c>
      <c r="BB69" s="51">
        <f t="shared" si="22"/>
        <v>1397966</v>
      </c>
      <c r="BC69" s="51">
        <f t="shared" si="22"/>
        <v>1146585</v>
      </c>
      <c r="BD69" s="51">
        <f t="shared" si="22"/>
        <v>1125916</v>
      </c>
      <c r="BE69" s="51">
        <f t="shared" si="22"/>
        <v>1150819</v>
      </c>
      <c r="BF69" s="51">
        <f t="shared" si="22"/>
        <v>1063930</v>
      </c>
      <c r="BG69" s="51">
        <f t="shared" ref="BG69:BH69" si="23">SUM(BG59:BG68)</f>
        <v>826903.22343000001</v>
      </c>
      <c r="BH69" s="51">
        <f t="shared" si="23"/>
        <v>838333</v>
      </c>
      <c r="BI69" s="51">
        <f t="shared" ref="BI69:BJ69" si="24">SUM(BI59:BI68)</f>
        <v>906811</v>
      </c>
      <c r="BJ69" s="51">
        <f t="shared" si="24"/>
        <v>824067</v>
      </c>
      <c r="BK69" s="51">
        <f t="shared" ref="BK69:BN69" si="25">SUM(BK59:BK68)</f>
        <v>734770</v>
      </c>
      <c r="BL69" s="51">
        <f t="shared" si="25"/>
        <v>812808</v>
      </c>
      <c r="BM69" s="51">
        <f t="shared" si="25"/>
        <v>781455</v>
      </c>
      <c r="BN69" s="51">
        <f t="shared" si="25"/>
        <v>940074</v>
      </c>
      <c r="BO69" s="219">
        <v>906721</v>
      </c>
    </row>
    <row r="70" spans="2:67">
      <c r="B70" s="40"/>
      <c r="C70" s="48"/>
      <c r="D70" s="48"/>
      <c r="E70" s="48"/>
      <c r="F70" s="48"/>
      <c r="G70" s="48"/>
      <c r="H70" s="48"/>
      <c r="I70" s="48"/>
      <c r="J70" s="48"/>
      <c r="K70" s="48"/>
      <c r="AJ70" s="27"/>
      <c r="AK70" s="27"/>
      <c r="AL70" s="27"/>
      <c r="AM70" s="27"/>
      <c r="AN70" s="27"/>
      <c r="AO70" s="27"/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  <c r="BL70" s="27"/>
      <c r="BM70" s="27"/>
      <c r="BN70" s="27"/>
      <c r="BO70" s="217"/>
    </row>
    <row r="71" spans="2:67">
      <c r="B71" s="34" t="str">
        <f>IF('Índice - Index'!$D$14="Português","PATRIMÔNIO LÍQUIDO","SHAREHOLDER EQUITY")</f>
        <v>PATRIMÔNIO LÍQUIDO</v>
      </c>
      <c r="C71" s="48"/>
      <c r="D71" s="48"/>
      <c r="E71" s="48"/>
      <c r="F71" s="48"/>
      <c r="G71" s="48"/>
      <c r="H71" s="48"/>
      <c r="I71" s="48"/>
      <c r="J71" s="48"/>
      <c r="K71" s="48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17"/>
    </row>
    <row r="72" spans="2:67">
      <c r="B72" s="36" t="str">
        <f>IF('Índice - Index'!$D$14="Português","Capital social","Paid in Capital")</f>
        <v>Capital social</v>
      </c>
      <c r="C72" s="49">
        <v>623321</v>
      </c>
      <c r="D72" s="49">
        <v>623785</v>
      </c>
      <c r="E72" s="49">
        <v>623785</v>
      </c>
      <c r="F72" s="49">
        <v>651106</v>
      </c>
      <c r="G72" s="49">
        <v>651106</v>
      </c>
      <c r="H72" s="49">
        <v>651106</v>
      </c>
      <c r="I72" s="49">
        <v>651106</v>
      </c>
      <c r="J72" s="49">
        <v>651106</v>
      </c>
      <c r="K72" s="49">
        <v>651106</v>
      </c>
      <c r="L72" s="49">
        <v>658238</v>
      </c>
      <c r="M72" s="49">
        <v>660159</v>
      </c>
      <c r="N72" s="49">
        <v>660159</v>
      </c>
      <c r="O72" s="49">
        <v>660159</v>
      </c>
      <c r="P72" s="49">
        <v>660159</v>
      </c>
      <c r="Q72" s="49">
        <v>661493</v>
      </c>
      <c r="R72" s="49">
        <v>661493</v>
      </c>
      <c r="S72" s="49">
        <v>661493</v>
      </c>
      <c r="T72" s="49">
        <v>661493</v>
      </c>
      <c r="U72" s="49">
        <v>661493</v>
      </c>
      <c r="V72" s="49">
        <v>661493</v>
      </c>
      <c r="W72" s="49">
        <v>661493</v>
      </c>
      <c r="X72" s="49">
        <v>661493</v>
      </c>
      <c r="Y72" s="49">
        <v>661493</v>
      </c>
      <c r="Z72" s="49">
        <v>899597</v>
      </c>
      <c r="AA72" s="49">
        <v>899597</v>
      </c>
      <c r="AB72" s="49">
        <v>899597</v>
      </c>
      <c r="AC72" s="49">
        <v>899597</v>
      </c>
      <c r="AD72" s="49">
        <v>899597</v>
      </c>
      <c r="AE72" s="49">
        <v>899597</v>
      </c>
      <c r="AF72" s="49">
        <v>899597</v>
      </c>
      <c r="AG72" s="49">
        <v>899597</v>
      </c>
      <c r="AH72" s="49">
        <v>899597</v>
      </c>
      <c r="AI72" s="49">
        <v>899597</v>
      </c>
      <c r="AJ72" s="49">
        <v>899597</v>
      </c>
      <c r="AK72" s="49">
        <v>899597</v>
      </c>
      <c r="AL72" s="49">
        <v>899597</v>
      </c>
      <c r="AM72" s="49">
        <v>899596.86499999999</v>
      </c>
      <c r="AN72" s="49">
        <v>899597</v>
      </c>
      <c r="AO72" s="49">
        <v>899597</v>
      </c>
      <c r="AP72" s="49">
        <v>899597</v>
      </c>
      <c r="AQ72" s="49">
        <v>1442695</v>
      </c>
      <c r="AR72" s="49">
        <v>1447349</v>
      </c>
      <c r="AS72" s="49">
        <v>1447349</v>
      </c>
      <c r="AT72" s="49">
        <v>1447349</v>
      </c>
      <c r="AU72" s="49">
        <v>1447349</v>
      </c>
      <c r="AV72" s="49">
        <v>1447349</v>
      </c>
      <c r="AW72" s="49">
        <v>1447349</v>
      </c>
      <c r="AX72" s="49">
        <v>1447349</v>
      </c>
      <c r="AY72" s="49">
        <v>1447349</v>
      </c>
      <c r="AZ72" s="49">
        <v>1695135</v>
      </c>
      <c r="BA72" s="49">
        <v>1694901</v>
      </c>
      <c r="BB72" s="49">
        <v>1694901</v>
      </c>
      <c r="BC72" s="49">
        <v>1694928</v>
      </c>
      <c r="BD72" s="49">
        <v>1694928</v>
      </c>
      <c r="BE72" s="49">
        <v>1694928</v>
      </c>
      <c r="BF72" s="49">
        <v>1694928</v>
      </c>
      <c r="BG72" s="49">
        <v>1694928.3146800001</v>
      </c>
      <c r="BH72" s="49">
        <v>1694928</v>
      </c>
      <c r="BI72" s="49">
        <v>1694928</v>
      </c>
      <c r="BJ72" s="49">
        <v>2312083</v>
      </c>
      <c r="BK72" s="49">
        <v>2312074</v>
      </c>
      <c r="BL72" s="49">
        <v>2312074</v>
      </c>
      <c r="BM72" s="49">
        <v>2312074</v>
      </c>
      <c r="BN72" s="49">
        <v>2312074</v>
      </c>
      <c r="BO72" s="216">
        <v>2312159</v>
      </c>
    </row>
    <row r="73" spans="2:67">
      <c r="B73" s="36" t="str">
        <f>IF('Índice - Index'!$D$14="Português","Adiantamento para futuro aumento de capital social","Advance for future capital increase")</f>
        <v>Adiantamento para futuro aumento de capital social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  <c r="N73" s="49">
        <v>0</v>
      </c>
      <c r="O73" s="49">
        <v>0</v>
      </c>
      <c r="P73" s="49">
        <v>0</v>
      </c>
      <c r="Q73" s="49">
        <v>0</v>
      </c>
      <c r="R73" s="49">
        <v>0</v>
      </c>
      <c r="S73" s="49">
        <v>0</v>
      </c>
      <c r="T73" s="49">
        <v>0</v>
      </c>
      <c r="U73" s="49">
        <v>0</v>
      </c>
      <c r="V73" s="49">
        <v>0</v>
      </c>
      <c r="W73" s="49">
        <v>0</v>
      </c>
      <c r="X73" s="49">
        <v>0</v>
      </c>
      <c r="Y73" s="49">
        <v>0</v>
      </c>
      <c r="Z73" s="49">
        <v>0</v>
      </c>
      <c r="AA73" s="49">
        <v>0</v>
      </c>
      <c r="AB73" s="49">
        <v>0</v>
      </c>
      <c r="AC73" s="49">
        <v>0</v>
      </c>
      <c r="AD73" s="49">
        <v>0</v>
      </c>
      <c r="AE73" s="49">
        <v>0</v>
      </c>
      <c r="AF73" s="49">
        <v>0</v>
      </c>
      <c r="AG73" s="49">
        <v>0</v>
      </c>
      <c r="AH73" s="49">
        <v>0</v>
      </c>
      <c r="AI73" s="49">
        <v>0</v>
      </c>
      <c r="AJ73" s="49">
        <v>0</v>
      </c>
      <c r="AK73" s="49">
        <v>0</v>
      </c>
      <c r="AL73" s="49">
        <v>0</v>
      </c>
      <c r="AM73" s="49">
        <v>0</v>
      </c>
      <c r="AN73" s="49">
        <v>0</v>
      </c>
      <c r="AO73" s="49">
        <v>0</v>
      </c>
      <c r="AP73" s="49">
        <v>0</v>
      </c>
      <c r="AQ73" s="49">
        <v>0</v>
      </c>
      <c r="AR73" s="49">
        <v>0</v>
      </c>
      <c r="AS73" s="49">
        <v>0</v>
      </c>
      <c r="AT73" s="49">
        <v>0</v>
      </c>
      <c r="AU73" s="49">
        <v>0</v>
      </c>
      <c r="AV73" s="49">
        <v>0</v>
      </c>
      <c r="AW73" s="49">
        <v>0</v>
      </c>
      <c r="AX73" s="49">
        <v>0</v>
      </c>
      <c r="AY73" s="49">
        <v>70227</v>
      </c>
      <c r="AZ73" s="49">
        <v>0</v>
      </c>
      <c r="BA73" s="49">
        <v>0</v>
      </c>
      <c r="BB73" s="49">
        <v>0</v>
      </c>
      <c r="BC73" s="49">
        <v>0</v>
      </c>
      <c r="BD73" s="49">
        <v>0</v>
      </c>
      <c r="BE73" s="49">
        <v>0</v>
      </c>
      <c r="BF73" s="49">
        <v>0</v>
      </c>
      <c r="BG73" s="49">
        <v>0</v>
      </c>
      <c r="BH73" s="49">
        <v>0</v>
      </c>
      <c r="BI73" s="49">
        <v>0</v>
      </c>
      <c r="BJ73" s="49">
        <v>0</v>
      </c>
      <c r="BK73" s="49">
        <v>0</v>
      </c>
      <c r="BL73" s="49">
        <v>0</v>
      </c>
      <c r="BM73" s="49" t="s">
        <v>14</v>
      </c>
      <c r="BN73" s="49">
        <v>0</v>
      </c>
      <c r="BO73" s="215" t="s">
        <v>14</v>
      </c>
    </row>
    <row r="74" spans="2:67">
      <c r="B74" s="36" t="str">
        <f>IF('Índice - Index'!$D$14="Português","Ações em Tesouraria","Treasury Stocks")</f>
        <v>Ações em Tesouraria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49">
        <v>0</v>
      </c>
      <c r="N74" s="49">
        <v>0</v>
      </c>
      <c r="O74" s="49">
        <v>0</v>
      </c>
      <c r="P74" s="49">
        <v>0</v>
      </c>
      <c r="Q74" s="49">
        <v>0</v>
      </c>
      <c r="R74" s="49">
        <v>0</v>
      </c>
      <c r="S74" s="49">
        <v>0</v>
      </c>
      <c r="T74" s="49">
        <v>0</v>
      </c>
      <c r="U74" s="49">
        <v>0</v>
      </c>
      <c r="V74" s="49">
        <v>0</v>
      </c>
      <c r="W74" s="49">
        <v>0</v>
      </c>
      <c r="X74" s="49">
        <v>0</v>
      </c>
      <c r="Y74" s="49">
        <v>0</v>
      </c>
      <c r="Z74" s="49">
        <v>0</v>
      </c>
      <c r="AA74" s="49">
        <v>0</v>
      </c>
      <c r="AB74" s="49">
        <v>0</v>
      </c>
      <c r="AC74" s="49">
        <v>0</v>
      </c>
      <c r="AD74" s="49">
        <v>0</v>
      </c>
      <c r="AE74" s="49">
        <v>0</v>
      </c>
      <c r="AF74" s="49">
        <v>0</v>
      </c>
      <c r="AG74" s="49">
        <v>0</v>
      </c>
      <c r="AH74" s="49">
        <v>0</v>
      </c>
      <c r="AI74" s="49">
        <v>0</v>
      </c>
      <c r="AJ74" s="49">
        <v>0</v>
      </c>
      <c r="AK74" s="49">
        <v>-747</v>
      </c>
      <c r="AL74" s="49">
        <v>-1296</v>
      </c>
      <c r="AM74" s="49">
        <v>-1296.2739999999999</v>
      </c>
      <c r="AN74" s="49">
        <v>-1296</v>
      </c>
      <c r="AO74" s="49">
        <v>-1201</v>
      </c>
      <c r="AP74" s="49">
        <v>-1201</v>
      </c>
      <c r="AQ74" s="49">
        <v>-1099</v>
      </c>
      <c r="AR74" s="49">
        <v>-1099</v>
      </c>
      <c r="AS74" s="49">
        <v>-1110</v>
      </c>
      <c r="AT74" s="49">
        <v>-1110</v>
      </c>
      <c r="AU74" s="49">
        <v>-1110</v>
      </c>
      <c r="AV74" s="49">
        <v>-1110</v>
      </c>
      <c r="AW74" s="49">
        <v>-1110</v>
      </c>
      <c r="AX74" s="49">
        <v>-1110</v>
      </c>
      <c r="AY74" s="49">
        <v>-1110</v>
      </c>
      <c r="AZ74" s="49">
        <v>-1174</v>
      </c>
      <c r="BA74" s="49">
        <v>-1174</v>
      </c>
      <c r="BB74" s="49">
        <v>-1174</v>
      </c>
      <c r="BC74" s="49">
        <v>-1174</v>
      </c>
      <c r="BD74" s="49">
        <v>-1174</v>
      </c>
      <c r="BE74" s="49">
        <v>-1174</v>
      </c>
      <c r="BF74" s="49">
        <v>-1241</v>
      </c>
      <c r="BG74" s="49">
        <v>-1242.36673</v>
      </c>
      <c r="BH74" s="49">
        <v>-1242</v>
      </c>
      <c r="BI74" s="49">
        <v>-1242</v>
      </c>
      <c r="BJ74" s="49">
        <v>-1242</v>
      </c>
      <c r="BK74" s="49">
        <v>-1242</v>
      </c>
      <c r="BL74" s="49">
        <v>-1242</v>
      </c>
      <c r="BM74" s="49">
        <v>-2092</v>
      </c>
      <c r="BN74" s="49">
        <v>-2092</v>
      </c>
      <c r="BO74" s="216">
        <v>-2092</v>
      </c>
    </row>
    <row r="75" spans="2:67">
      <c r="B75" s="36" t="str">
        <f>IF('Índice - Index'!$D$14="Português","Reservas de lucros","Earnings reserve")</f>
        <v>Reservas de lucros</v>
      </c>
      <c r="C75" s="49">
        <v>97139</v>
      </c>
      <c r="D75" s="49">
        <v>97588</v>
      </c>
      <c r="E75" s="49">
        <v>135265</v>
      </c>
      <c r="F75" s="49">
        <v>118496</v>
      </c>
      <c r="G75" s="49">
        <v>171931</v>
      </c>
      <c r="H75" s="49">
        <v>207958</v>
      </c>
      <c r="I75" s="49">
        <v>266783</v>
      </c>
      <c r="J75" s="49">
        <v>59588</v>
      </c>
      <c r="K75" s="49">
        <v>206659</v>
      </c>
      <c r="L75" s="49">
        <v>207816</v>
      </c>
      <c r="M75" s="49">
        <v>255863</v>
      </c>
      <c r="N75" s="49">
        <v>208448</v>
      </c>
      <c r="O75" s="49">
        <v>378890</v>
      </c>
      <c r="P75" s="49">
        <v>379440</v>
      </c>
      <c r="Q75" s="49">
        <v>379735</v>
      </c>
      <c r="R75" s="49">
        <v>380394</v>
      </c>
      <c r="S75" s="49">
        <v>439932</v>
      </c>
      <c r="T75" s="49">
        <v>446889</v>
      </c>
      <c r="U75" s="49">
        <v>447255</v>
      </c>
      <c r="V75" s="49">
        <v>447846</v>
      </c>
      <c r="W75" s="49">
        <v>478882</v>
      </c>
      <c r="X75" s="49">
        <v>478882</v>
      </c>
      <c r="Y75" s="49">
        <v>478882</v>
      </c>
      <c r="Z75" s="49">
        <v>240778</v>
      </c>
      <c r="AA75" s="49">
        <v>240778</v>
      </c>
      <c r="AB75" s="49">
        <v>205014</v>
      </c>
      <c r="AC75" s="49">
        <v>240884</v>
      </c>
      <c r="AD75" s="49">
        <v>240884</v>
      </c>
      <c r="AE75" s="49">
        <v>117008</v>
      </c>
      <c r="AF75" s="49">
        <v>117008</v>
      </c>
      <c r="AG75" s="49">
        <v>117008</v>
      </c>
      <c r="AH75" s="49">
        <v>117008</v>
      </c>
      <c r="AI75" s="49">
        <v>117008</v>
      </c>
      <c r="AJ75" s="49">
        <v>117008</v>
      </c>
      <c r="AK75" s="49">
        <v>56570</v>
      </c>
      <c r="AL75" s="49">
        <v>56570</v>
      </c>
      <c r="AM75" s="49">
        <v>44826</v>
      </c>
      <c r="AN75" s="49">
        <v>72087</v>
      </c>
      <c r="AO75" s="49">
        <v>73094</v>
      </c>
      <c r="AP75" s="49">
        <v>79830</v>
      </c>
      <c r="AQ75" s="49">
        <v>79925</v>
      </c>
      <c r="AR75" s="49">
        <v>79925</v>
      </c>
      <c r="AS75" s="49">
        <v>79925</v>
      </c>
      <c r="AT75" s="49">
        <v>79925</v>
      </c>
      <c r="AU75" s="49">
        <v>79925</v>
      </c>
      <c r="AV75" s="49">
        <v>79925</v>
      </c>
      <c r="AW75" s="49">
        <v>79925</v>
      </c>
      <c r="AX75" s="49">
        <v>79925</v>
      </c>
      <c r="AY75" s="49">
        <v>0</v>
      </c>
      <c r="AZ75" s="49">
        <v>0</v>
      </c>
      <c r="BA75" s="49">
        <v>0</v>
      </c>
      <c r="BB75" s="49">
        <v>0</v>
      </c>
      <c r="BC75" s="49">
        <v>0</v>
      </c>
      <c r="BD75" s="49">
        <v>0</v>
      </c>
      <c r="BE75" s="49">
        <v>0</v>
      </c>
      <c r="BF75" s="49">
        <v>0</v>
      </c>
      <c r="BG75" s="49">
        <v>0</v>
      </c>
      <c r="BH75" s="49">
        <v>0</v>
      </c>
      <c r="BI75" s="49">
        <v>0</v>
      </c>
      <c r="BJ75" s="49">
        <v>0</v>
      </c>
      <c r="BK75" s="49">
        <v>0</v>
      </c>
      <c r="BL75" s="49">
        <v>0</v>
      </c>
      <c r="BM75" s="49" t="s">
        <v>14</v>
      </c>
      <c r="BN75" s="49">
        <v>0</v>
      </c>
      <c r="BO75" s="215" t="s">
        <v>14</v>
      </c>
    </row>
    <row r="76" spans="2:67">
      <c r="B76" s="36" t="str">
        <f>IF('Índice - Index'!$D$14="Português","Reserva de opção de ações","Stock Option reserve")</f>
        <v>Reserva de opção de ações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49">
        <v>0</v>
      </c>
      <c r="N76" s="49">
        <v>0</v>
      </c>
      <c r="O76" s="49">
        <v>0</v>
      </c>
      <c r="P76" s="49">
        <v>0</v>
      </c>
      <c r="Q76" s="49">
        <v>0</v>
      </c>
      <c r="R76" s="49">
        <v>0</v>
      </c>
      <c r="S76" s="49">
        <v>6313</v>
      </c>
      <c r="T76" s="49">
        <v>0</v>
      </c>
      <c r="U76" s="49">
        <v>0</v>
      </c>
      <c r="V76" s="49">
        <v>0</v>
      </c>
      <c r="W76" s="49">
        <v>8413</v>
      </c>
      <c r="X76" s="49">
        <v>8901</v>
      </c>
      <c r="Y76" s="49">
        <v>9014</v>
      </c>
      <c r="Z76" s="49">
        <v>9212</v>
      </c>
      <c r="AA76" s="49">
        <v>9102</v>
      </c>
      <c r="AB76" s="49">
        <v>9236</v>
      </c>
      <c r="AC76" s="49">
        <v>9237</v>
      </c>
      <c r="AD76" s="49">
        <v>9283</v>
      </c>
      <c r="AE76" s="49">
        <v>1246</v>
      </c>
      <c r="AF76" s="49">
        <v>1788</v>
      </c>
      <c r="AG76" s="49">
        <v>2531</v>
      </c>
      <c r="AH76" s="49">
        <v>2650</v>
      </c>
      <c r="AI76" s="49">
        <v>2940</v>
      </c>
      <c r="AJ76" s="49">
        <v>2827</v>
      </c>
      <c r="AK76" s="49">
        <v>3545</v>
      </c>
      <c r="AL76" s="49">
        <v>2345</v>
      </c>
      <c r="AM76" s="49">
        <v>2752</v>
      </c>
      <c r="AN76" s="49">
        <v>2337.5762999999997</v>
      </c>
      <c r="AO76" s="49">
        <v>3383</v>
      </c>
      <c r="AP76" s="49">
        <v>7704</v>
      </c>
      <c r="AQ76" s="49">
        <v>11960</v>
      </c>
      <c r="AR76" s="49">
        <v>9112</v>
      </c>
      <c r="AS76" s="49">
        <v>12572</v>
      </c>
      <c r="AT76" s="49">
        <v>13703</v>
      </c>
      <c r="AU76" s="49">
        <v>14793</v>
      </c>
      <c r="AV76" s="49">
        <v>15292</v>
      </c>
      <c r="AW76" s="49">
        <v>15541</v>
      </c>
      <c r="AX76" s="49">
        <v>16553</v>
      </c>
      <c r="AY76" s="49">
        <v>17222</v>
      </c>
      <c r="AZ76" s="49">
        <v>16354</v>
      </c>
      <c r="BA76" s="49">
        <v>16930</v>
      </c>
      <c r="BB76" s="49">
        <v>18710</v>
      </c>
      <c r="BC76" s="49">
        <v>19779</v>
      </c>
      <c r="BD76" s="49">
        <v>19840</v>
      </c>
      <c r="BE76" s="49">
        <v>19107</v>
      </c>
      <c r="BF76" s="49">
        <v>19169</v>
      </c>
      <c r="BG76" s="49">
        <v>23820.41533</v>
      </c>
      <c r="BH76" s="49">
        <v>27526</v>
      </c>
      <c r="BI76" s="49">
        <v>25638</v>
      </c>
      <c r="BJ76" s="49">
        <v>6270</v>
      </c>
      <c r="BK76" s="49">
        <v>6599</v>
      </c>
      <c r="BL76" s="49">
        <v>6915</v>
      </c>
      <c r="BM76" s="49">
        <v>7714</v>
      </c>
      <c r="BN76" s="49">
        <v>7960</v>
      </c>
      <c r="BO76" s="216">
        <v>8018</v>
      </c>
    </row>
    <row r="77" spans="2:67">
      <c r="B77" s="36" t="str">
        <f>IF('Índice - Index'!$D$14="Português","Outros resultados abrangentes","Other comprehensive income")</f>
        <v>Outros resultados abrangentes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49">
        <v>0</v>
      </c>
      <c r="N77" s="49">
        <v>0</v>
      </c>
      <c r="O77" s="49">
        <v>0</v>
      </c>
      <c r="P77" s="49">
        <v>0</v>
      </c>
      <c r="Q77" s="49">
        <v>0</v>
      </c>
      <c r="R77" s="49">
        <v>0</v>
      </c>
      <c r="S77" s="49">
        <v>0</v>
      </c>
      <c r="T77" s="49">
        <v>0</v>
      </c>
      <c r="U77" s="49">
        <v>0</v>
      </c>
      <c r="V77" s="49">
        <v>2385</v>
      </c>
      <c r="W77" s="49">
        <v>7090</v>
      </c>
      <c r="X77" s="49">
        <v>35550.792254</v>
      </c>
      <c r="Y77" s="49">
        <v>15220.9697182</v>
      </c>
      <c r="Z77" s="49">
        <v>32440.952300199999</v>
      </c>
      <c r="AA77" s="49">
        <v>5132.0742091044785</v>
      </c>
      <c r="AB77" s="49">
        <v>-2651.9415502000002</v>
      </c>
      <c r="AC77" s="49">
        <v>-8471.9165733999998</v>
      </c>
      <c r="AD77" s="49">
        <v>-6826</v>
      </c>
      <c r="AE77" s="49">
        <v>-6215</v>
      </c>
      <c r="AF77" s="49">
        <v>-6391</v>
      </c>
      <c r="AG77" s="49">
        <v>-2802</v>
      </c>
      <c r="AH77" s="49">
        <v>-1038</v>
      </c>
      <c r="AI77" s="49">
        <v>533</v>
      </c>
      <c r="AJ77" s="49">
        <v>435</v>
      </c>
      <c r="AK77" s="49">
        <v>4871</v>
      </c>
      <c r="AL77" s="49">
        <v>2482</v>
      </c>
      <c r="AM77" s="49">
        <v>-591</v>
      </c>
      <c r="AN77" s="49">
        <v>612.69331999999997</v>
      </c>
      <c r="AO77" s="49">
        <v>-498</v>
      </c>
      <c r="AP77" s="49">
        <v>-571.9699099999998</v>
      </c>
      <c r="AQ77" s="49">
        <v>-1114</v>
      </c>
      <c r="AR77" s="49">
        <v>8158</v>
      </c>
      <c r="AS77" s="49">
        <v>6167</v>
      </c>
      <c r="AT77" s="49">
        <v>849</v>
      </c>
      <c r="AU77" s="49">
        <v>-4477</v>
      </c>
      <c r="AV77" s="49">
        <v>2059</v>
      </c>
      <c r="AW77" s="49">
        <v>-4735</v>
      </c>
      <c r="AX77" s="49">
        <v>1654</v>
      </c>
      <c r="AY77" s="49">
        <v>2222</v>
      </c>
      <c r="AZ77" s="49">
        <v>-3273</v>
      </c>
      <c r="BA77" s="49">
        <v>22</v>
      </c>
      <c r="BB77" s="49">
        <v>331</v>
      </c>
      <c r="BC77" s="49">
        <v>-62</v>
      </c>
      <c r="BD77" s="49">
        <v>0</v>
      </c>
      <c r="BE77" s="49">
        <v>0</v>
      </c>
      <c r="BF77" s="49">
        <v>0</v>
      </c>
      <c r="BG77" s="49">
        <v>0</v>
      </c>
      <c r="BH77" s="49">
        <v>0</v>
      </c>
      <c r="BI77" s="49">
        <v>0</v>
      </c>
      <c r="BJ77" s="49">
        <v>0</v>
      </c>
      <c r="BK77" s="49">
        <v>0</v>
      </c>
      <c r="BL77" s="49">
        <v>0</v>
      </c>
      <c r="BM77" s="49" t="s">
        <v>14</v>
      </c>
      <c r="BN77" s="49">
        <v>0</v>
      </c>
      <c r="BO77" s="216">
        <v>-1123</v>
      </c>
    </row>
    <row r="78" spans="2:67" ht="15">
      <c r="B78" s="36" t="s">
        <v>23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141220</v>
      </c>
      <c r="K78" s="52">
        <v>0</v>
      </c>
      <c r="L78" s="52">
        <v>0</v>
      </c>
      <c r="M78" s="52">
        <v>0</v>
      </c>
      <c r="N78" s="52">
        <v>114312</v>
      </c>
      <c r="O78" s="52">
        <v>0</v>
      </c>
      <c r="P78" s="52">
        <v>8746</v>
      </c>
      <c r="Q78" s="52">
        <v>47544</v>
      </c>
      <c r="R78" s="52">
        <v>59794</v>
      </c>
      <c r="S78" s="52">
        <v>0</v>
      </c>
      <c r="T78" s="52">
        <v>13759</v>
      </c>
      <c r="U78" s="52">
        <v>25624</v>
      </c>
      <c r="V78" s="52">
        <v>7242</v>
      </c>
      <c r="W78" s="52">
        <v>0</v>
      </c>
      <c r="X78" s="52">
        <v>-5288</v>
      </c>
      <c r="Y78" s="52">
        <v>-25557</v>
      </c>
      <c r="Z78" s="52">
        <v>-52508</v>
      </c>
      <c r="AA78" s="52">
        <v>-35764</v>
      </c>
      <c r="AB78" s="52">
        <v>-17181</v>
      </c>
      <c r="AC78" s="52">
        <v>-71349</v>
      </c>
      <c r="AD78" s="52">
        <v>-117769</v>
      </c>
      <c r="AE78" s="52">
        <v>0</v>
      </c>
      <c r="AF78" s="52">
        <v>14746</v>
      </c>
      <c r="AG78" s="52">
        <v>-9632</v>
      </c>
      <c r="AH78" s="52">
        <v>-60112</v>
      </c>
      <c r="AI78" s="52">
        <v>-60438</v>
      </c>
      <c r="AJ78" s="52">
        <v>-106526</v>
      </c>
      <c r="AK78" s="52">
        <v>-83096</v>
      </c>
      <c r="AL78" s="52">
        <v>-136180</v>
      </c>
      <c r="AM78" s="52">
        <v>28363</v>
      </c>
      <c r="AN78" s="52">
        <v>-40865</v>
      </c>
      <c r="AO78" s="52">
        <v>-69148</v>
      </c>
      <c r="AP78" s="52">
        <v>-145135.09818</v>
      </c>
      <c r="AQ78" s="52">
        <v>-112361</v>
      </c>
      <c r="AR78" s="52">
        <v>-219475</v>
      </c>
      <c r="AS78" s="52">
        <v>-391176</v>
      </c>
      <c r="AT78" s="52">
        <v>-515655</v>
      </c>
      <c r="AU78" s="52">
        <v>-544557</v>
      </c>
      <c r="AV78" s="52">
        <v>-597935</v>
      </c>
      <c r="AW78" s="52">
        <v>-657440</v>
      </c>
      <c r="AX78" s="52">
        <v>-613061</v>
      </c>
      <c r="AY78" s="52">
        <v>-676905</v>
      </c>
      <c r="AZ78" s="52">
        <v>-613541</v>
      </c>
      <c r="BA78" s="52">
        <v>-641325</v>
      </c>
      <c r="BB78" s="52">
        <v>-738787</v>
      </c>
      <c r="BC78" s="52">
        <v>-1196287</v>
      </c>
      <c r="BD78" s="52">
        <v>-1345254</v>
      </c>
      <c r="BE78" s="52">
        <v>-1408662</v>
      </c>
      <c r="BF78" s="52">
        <v>-1605052</v>
      </c>
      <c r="BG78" s="52">
        <v>-1717038.9067999995</v>
      </c>
      <c r="BH78" s="52">
        <v>-1865349</v>
      </c>
      <c r="BI78" s="52">
        <v>-1967381</v>
      </c>
      <c r="BJ78" s="52">
        <v>-2038604</v>
      </c>
      <c r="BK78" s="52">
        <v>-2032823</v>
      </c>
      <c r="BL78" s="52">
        <v>-2030459</v>
      </c>
      <c r="BM78" s="52">
        <v>-2028353</v>
      </c>
      <c r="BN78" s="52">
        <v>-2022514</v>
      </c>
      <c r="BO78" s="222">
        <v>-2092805</v>
      </c>
    </row>
    <row r="79" spans="2:67">
      <c r="B79" s="36" t="s">
        <v>5</v>
      </c>
      <c r="C79" s="49">
        <f>SUM(C72:C75)</f>
        <v>720460</v>
      </c>
      <c r="D79" s="49">
        <f t="shared" ref="D79:I79" si="26">SUM(D72:D75)</f>
        <v>721373</v>
      </c>
      <c r="E79" s="49">
        <f t="shared" si="26"/>
        <v>759050</v>
      </c>
      <c r="F79" s="49">
        <f t="shared" si="26"/>
        <v>769602</v>
      </c>
      <c r="G79" s="49">
        <f t="shared" si="26"/>
        <v>823037</v>
      </c>
      <c r="H79" s="49">
        <f t="shared" si="26"/>
        <v>859064</v>
      </c>
      <c r="I79" s="49">
        <f t="shared" si="26"/>
        <v>917889</v>
      </c>
      <c r="J79" s="49">
        <f>SUM(J72:J78)</f>
        <v>851914</v>
      </c>
      <c r="K79" s="49">
        <f>SUM(K72:K75)</f>
        <v>857765</v>
      </c>
      <c r="L79" s="49">
        <f>SUM(L72:L75)</f>
        <v>866054</v>
      </c>
      <c r="M79" s="49">
        <f>SUM(M72:M75)</f>
        <v>916022</v>
      </c>
      <c r="N79" s="49">
        <f t="shared" ref="N79:S79" si="27">SUM(N72:N78)</f>
        <v>982919</v>
      </c>
      <c r="O79" s="49">
        <f t="shared" si="27"/>
        <v>1039049</v>
      </c>
      <c r="P79" s="49">
        <f t="shared" si="27"/>
        <v>1048345</v>
      </c>
      <c r="Q79" s="49">
        <f t="shared" si="27"/>
        <v>1088772</v>
      </c>
      <c r="R79" s="49">
        <f t="shared" si="27"/>
        <v>1101681</v>
      </c>
      <c r="S79" s="49">
        <f t="shared" si="27"/>
        <v>1107738</v>
      </c>
      <c r="T79" s="49">
        <f t="shared" ref="T79:AI79" si="28">SUM(T72:T78)</f>
        <v>1122141</v>
      </c>
      <c r="U79" s="49">
        <f t="shared" si="28"/>
        <v>1134372</v>
      </c>
      <c r="V79" s="49">
        <f t="shared" si="28"/>
        <v>1118966</v>
      </c>
      <c r="W79" s="49">
        <f>SUM(W72:W78)</f>
        <v>1155878</v>
      </c>
      <c r="X79" s="49">
        <f t="shared" si="28"/>
        <v>1179538.792254</v>
      </c>
      <c r="Y79" s="49">
        <f t="shared" si="28"/>
        <v>1139052.9697181999</v>
      </c>
      <c r="Z79" s="49">
        <f t="shared" si="28"/>
        <v>1129519.9523002</v>
      </c>
      <c r="AA79" s="49">
        <f t="shared" si="28"/>
        <v>1118845.0742091045</v>
      </c>
      <c r="AB79" s="49">
        <f t="shared" si="28"/>
        <v>1094014.0584497999</v>
      </c>
      <c r="AC79" s="49">
        <f t="shared" si="28"/>
        <v>1069897.0834266001</v>
      </c>
      <c r="AD79" s="49">
        <f t="shared" si="28"/>
        <v>1025169</v>
      </c>
      <c r="AE79" s="49">
        <f t="shared" si="28"/>
        <v>1011636</v>
      </c>
      <c r="AF79" s="49">
        <f t="shared" si="28"/>
        <v>1026748</v>
      </c>
      <c r="AG79" s="49">
        <f t="shared" si="28"/>
        <v>1006702</v>
      </c>
      <c r="AH79" s="49">
        <f t="shared" si="28"/>
        <v>958105</v>
      </c>
      <c r="AI79" s="49">
        <f t="shared" si="28"/>
        <v>959640</v>
      </c>
      <c r="AJ79" s="49">
        <f t="shared" ref="AJ79:AT79" si="29">SUM(AJ72:AJ78)</f>
        <v>913341</v>
      </c>
      <c r="AK79" s="49">
        <f t="shared" si="29"/>
        <v>880740</v>
      </c>
      <c r="AL79" s="49">
        <f t="shared" si="29"/>
        <v>823518</v>
      </c>
      <c r="AM79" s="49">
        <f t="shared" si="29"/>
        <v>973650.59100000001</v>
      </c>
      <c r="AN79" s="49">
        <f t="shared" si="29"/>
        <v>932473.26961999992</v>
      </c>
      <c r="AO79" s="49">
        <f t="shared" si="29"/>
        <v>905227</v>
      </c>
      <c r="AP79" s="49">
        <f t="shared" si="29"/>
        <v>840222.93191000004</v>
      </c>
      <c r="AQ79" s="49">
        <f t="shared" si="29"/>
        <v>1420006</v>
      </c>
      <c r="AR79" s="49">
        <f t="shared" si="29"/>
        <v>1323970</v>
      </c>
      <c r="AS79" s="49">
        <f t="shared" si="29"/>
        <v>1153727</v>
      </c>
      <c r="AT79" s="49">
        <f t="shared" si="29"/>
        <v>1025061</v>
      </c>
      <c r="AU79" s="49">
        <v>991923</v>
      </c>
      <c r="AV79" s="49">
        <v>945580</v>
      </c>
      <c r="AW79" s="49">
        <f t="shared" ref="AW79" si="30">SUM(AW72:AW78)</f>
        <v>879530</v>
      </c>
      <c r="AX79" s="49">
        <f t="shared" ref="AX79:AY79" si="31">SUM(AX72:AX78)</f>
        <v>931310</v>
      </c>
      <c r="AY79" s="49">
        <f t="shared" si="31"/>
        <v>859005</v>
      </c>
      <c r="AZ79" s="49">
        <v>1093501</v>
      </c>
      <c r="BA79" s="49">
        <f t="shared" ref="BA79:BD79" si="32">SUM(BA72:BA78)</f>
        <v>1069354</v>
      </c>
      <c r="BB79" s="49">
        <f t="shared" si="32"/>
        <v>973981</v>
      </c>
      <c r="BC79" s="49">
        <f t="shared" si="32"/>
        <v>517184</v>
      </c>
      <c r="BD79" s="49">
        <f t="shared" si="32"/>
        <v>368340</v>
      </c>
      <c r="BE79" s="49">
        <f t="shared" ref="BE79:BF79" si="33">SUM(BE72:BE78)</f>
        <v>304199</v>
      </c>
      <c r="BF79" s="49">
        <f t="shared" si="33"/>
        <v>107804</v>
      </c>
      <c r="BG79" s="49">
        <f t="shared" ref="BG79:BH79" si="34">SUM(BG72:BG78)</f>
        <v>467.45648000063375</v>
      </c>
      <c r="BH79" s="49">
        <f t="shared" si="34"/>
        <v>-144137</v>
      </c>
      <c r="BI79" s="49">
        <f t="shared" ref="BI79:BJ79" si="35">SUM(BI72:BI78)</f>
        <v>-248057</v>
      </c>
      <c r="BJ79" s="49">
        <f t="shared" si="35"/>
        <v>278507</v>
      </c>
      <c r="BK79" s="49">
        <f t="shared" ref="BK79:BO79" si="36">SUM(BK72:BK78)</f>
        <v>284608</v>
      </c>
      <c r="BL79" s="49">
        <f t="shared" si="36"/>
        <v>287288</v>
      </c>
      <c r="BM79" s="49">
        <f t="shared" si="36"/>
        <v>289343</v>
      </c>
      <c r="BN79" s="49">
        <f t="shared" si="36"/>
        <v>295428</v>
      </c>
      <c r="BO79" s="49">
        <f t="shared" si="36"/>
        <v>224157</v>
      </c>
    </row>
    <row r="80" spans="2:67">
      <c r="B80" s="36" t="str">
        <f>IF('Índice - Index'!$D$14="Português","Participação não controladores","Minority Interest")</f>
        <v>Participação não controladores</v>
      </c>
      <c r="C80" s="49">
        <v>0</v>
      </c>
      <c r="D80" s="49">
        <v>22</v>
      </c>
      <c r="E80" s="49">
        <v>24</v>
      </c>
      <c r="F80" s="49">
        <v>7</v>
      </c>
      <c r="G80" s="49">
        <v>8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49">
        <v>5002</v>
      </c>
      <c r="N80" s="49">
        <v>5823</v>
      </c>
      <c r="O80" s="49">
        <v>0</v>
      </c>
      <c r="P80" s="49">
        <v>0</v>
      </c>
      <c r="Q80" s="49">
        <v>0</v>
      </c>
      <c r="R80" s="49">
        <v>0</v>
      </c>
      <c r="S80" s="49">
        <v>0</v>
      </c>
      <c r="T80" s="49">
        <v>0</v>
      </c>
      <c r="U80" s="49">
        <v>0</v>
      </c>
      <c r="V80" s="49">
        <v>0</v>
      </c>
      <c r="W80" s="49">
        <v>0</v>
      </c>
      <c r="X80" s="49">
        <v>0</v>
      </c>
      <c r="Y80" s="49">
        <v>0</v>
      </c>
      <c r="Z80" s="49">
        <v>0</v>
      </c>
      <c r="AA80" s="49">
        <v>0</v>
      </c>
      <c r="AB80" s="49">
        <v>0</v>
      </c>
      <c r="AC80" s="49">
        <v>0</v>
      </c>
      <c r="AD80" s="49">
        <v>0</v>
      </c>
      <c r="AE80" s="49">
        <v>0</v>
      </c>
      <c r="AF80" s="49">
        <v>0</v>
      </c>
      <c r="AG80" s="49">
        <v>0</v>
      </c>
      <c r="AH80" s="49">
        <v>0</v>
      </c>
      <c r="AI80" s="49">
        <v>0</v>
      </c>
      <c r="AJ80" s="49">
        <v>0</v>
      </c>
      <c r="AK80" s="49">
        <v>0</v>
      </c>
      <c r="AL80" s="49">
        <v>0</v>
      </c>
      <c r="AM80" s="49">
        <v>0</v>
      </c>
      <c r="AN80" s="49">
        <v>0</v>
      </c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AY80" s="49"/>
      <c r="AZ80" s="49"/>
      <c r="BA80" s="49"/>
      <c r="BB80" s="49"/>
      <c r="BC80" s="49"/>
      <c r="BD80" s="49"/>
      <c r="BE80" s="49"/>
      <c r="BF80" s="49"/>
      <c r="BG80" s="49"/>
      <c r="BH80" s="49"/>
      <c r="BI80" s="49"/>
      <c r="BJ80" s="49"/>
      <c r="BK80" s="49"/>
      <c r="BL80" s="49"/>
      <c r="BM80" s="49"/>
      <c r="BN80" s="49"/>
      <c r="BO80" s="215" t="s">
        <v>14</v>
      </c>
    </row>
    <row r="81" spans="2:67">
      <c r="B81" s="42" t="str">
        <f>IF('Índice - Index'!$D$14="Português","Total do Patrimônio Líquido","Total Shareholder Equity")</f>
        <v>Total do Patrimônio Líquido</v>
      </c>
      <c r="C81" s="51">
        <f t="shared" ref="C81:O81" si="37">C79+C80</f>
        <v>720460</v>
      </c>
      <c r="D81" s="51">
        <f t="shared" si="37"/>
        <v>721395</v>
      </c>
      <c r="E81" s="51">
        <f t="shared" si="37"/>
        <v>759074</v>
      </c>
      <c r="F81" s="51">
        <f t="shared" si="37"/>
        <v>769609</v>
      </c>
      <c r="G81" s="51">
        <f t="shared" si="37"/>
        <v>823045</v>
      </c>
      <c r="H81" s="51">
        <f t="shared" si="37"/>
        <v>859064</v>
      </c>
      <c r="I81" s="51">
        <f t="shared" si="37"/>
        <v>917889</v>
      </c>
      <c r="J81" s="51">
        <f t="shared" si="37"/>
        <v>851914</v>
      </c>
      <c r="K81" s="51">
        <f t="shared" si="37"/>
        <v>857765</v>
      </c>
      <c r="L81" s="51">
        <f t="shared" si="37"/>
        <v>866054</v>
      </c>
      <c r="M81" s="51">
        <f t="shared" si="37"/>
        <v>921024</v>
      </c>
      <c r="N81" s="51">
        <f t="shared" si="37"/>
        <v>988742</v>
      </c>
      <c r="O81" s="51">
        <f t="shared" si="37"/>
        <v>1039049</v>
      </c>
      <c r="P81" s="51">
        <f t="shared" ref="P81:V81" si="38">P79+P80</f>
        <v>1048345</v>
      </c>
      <c r="Q81" s="51">
        <f t="shared" si="38"/>
        <v>1088772</v>
      </c>
      <c r="R81" s="51">
        <f t="shared" si="38"/>
        <v>1101681</v>
      </c>
      <c r="S81" s="51">
        <f t="shared" si="38"/>
        <v>1107738</v>
      </c>
      <c r="T81" s="51">
        <f t="shared" si="38"/>
        <v>1122141</v>
      </c>
      <c r="U81" s="51">
        <f t="shared" si="38"/>
        <v>1134372</v>
      </c>
      <c r="V81" s="51">
        <f t="shared" si="38"/>
        <v>1118966</v>
      </c>
      <c r="W81" s="51">
        <f>W79+W80</f>
        <v>1155878</v>
      </c>
      <c r="X81" s="51">
        <f>X79+X80</f>
        <v>1179538.792254</v>
      </c>
      <c r="Y81" s="51">
        <f>Y79+Y80</f>
        <v>1139052.9697181999</v>
      </c>
      <c r="Z81" s="51">
        <f>Z79+Z80</f>
        <v>1129519.9523002</v>
      </c>
      <c r="AA81" s="51">
        <f t="shared" ref="AA81:AF81" si="39">AA79+AA80</f>
        <v>1118845.0742091045</v>
      </c>
      <c r="AB81" s="51">
        <f t="shared" si="39"/>
        <v>1094014.0584497999</v>
      </c>
      <c r="AC81" s="51">
        <f t="shared" si="39"/>
        <v>1069897.0834266001</v>
      </c>
      <c r="AD81" s="51">
        <f t="shared" si="39"/>
        <v>1025169</v>
      </c>
      <c r="AE81" s="51">
        <f t="shared" si="39"/>
        <v>1011636</v>
      </c>
      <c r="AF81" s="51">
        <f t="shared" si="39"/>
        <v>1026748</v>
      </c>
      <c r="AG81" s="51">
        <f t="shared" ref="AG81:AT81" si="40">AG79+AG80</f>
        <v>1006702</v>
      </c>
      <c r="AH81" s="51">
        <f t="shared" si="40"/>
        <v>958105</v>
      </c>
      <c r="AI81" s="51">
        <f t="shared" si="40"/>
        <v>959640</v>
      </c>
      <c r="AJ81" s="51">
        <f t="shared" si="40"/>
        <v>913341</v>
      </c>
      <c r="AK81" s="51">
        <f t="shared" si="40"/>
        <v>880740</v>
      </c>
      <c r="AL81" s="51">
        <f t="shared" si="40"/>
        <v>823518</v>
      </c>
      <c r="AM81" s="51">
        <f t="shared" si="40"/>
        <v>973650.59100000001</v>
      </c>
      <c r="AN81" s="51">
        <f t="shared" si="40"/>
        <v>932473.26961999992</v>
      </c>
      <c r="AO81" s="51">
        <f t="shared" si="40"/>
        <v>905227</v>
      </c>
      <c r="AP81" s="51">
        <f t="shared" si="40"/>
        <v>840222.93191000004</v>
      </c>
      <c r="AQ81" s="51">
        <f t="shared" si="40"/>
        <v>1420006</v>
      </c>
      <c r="AR81" s="51">
        <f t="shared" si="40"/>
        <v>1323970</v>
      </c>
      <c r="AS81" s="51">
        <f t="shared" si="40"/>
        <v>1153727</v>
      </c>
      <c r="AT81" s="51">
        <f t="shared" si="40"/>
        <v>1025061</v>
      </c>
      <c r="AU81" s="51">
        <v>991923</v>
      </c>
      <c r="AV81" s="51">
        <v>945580</v>
      </c>
      <c r="AW81" s="51">
        <f>AW79</f>
        <v>879530</v>
      </c>
      <c r="AX81" s="51">
        <f>AX79</f>
        <v>931310</v>
      </c>
      <c r="AY81" s="51">
        <f>AY79</f>
        <v>859005</v>
      </c>
      <c r="AZ81" s="51">
        <v>1093501</v>
      </c>
      <c r="BA81" s="51">
        <f t="shared" ref="BA81:BF81" si="41">BA79</f>
        <v>1069354</v>
      </c>
      <c r="BB81" s="51">
        <f t="shared" si="41"/>
        <v>973981</v>
      </c>
      <c r="BC81" s="51">
        <f t="shared" si="41"/>
        <v>517184</v>
      </c>
      <c r="BD81" s="51">
        <f t="shared" si="41"/>
        <v>368340</v>
      </c>
      <c r="BE81" s="51">
        <f t="shared" si="41"/>
        <v>304199</v>
      </c>
      <c r="BF81" s="51">
        <f t="shared" si="41"/>
        <v>107804</v>
      </c>
      <c r="BG81" s="51">
        <f t="shared" ref="BG81:BH81" si="42">BG79</f>
        <v>467.45648000063375</v>
      </c>
      <c r="BH81" s="51">
        <f t="shared" si="42"/>
        <v>-144137</v>
      </c>
      <c r="BI81" s="51">
        <f t="shared" ref="BI81:BJ81" si="43">BI79</f>
        <v>-248057</v>
      </c>
      <c r="BJ81" s="51">
        <f t="shared" si="43"/>
        <v>278507</v>
      </c>
      <c r="BK81" s="51">
        <f t="shared" ref="BK81:BN81" si="44">BK79</f>
        <v>284608</v>
      </c>
      <c r="BL81" s="51">
        <f t="shared" si="44"/>
        <v>287288</v>
      </c>
      <c r="BM81" s="51">
        <f t="shared" si="44"/>
        <v>289343</v>
      </c>
      <c r="BN81" s="51">
        <f t="shared" si="44"/>
        <v>295428</v>
      </c>
      <c r="BO81" s="219">
        <v>224157</v>
      </c>
    </row>
    <row r="82" spans="2:67">
      <c r="B82" s="42"/>
      <c r="C82" s="51"/>
      <c r="D82" s="51"/>
      <c r="E82" s="51"/>
      <c r="F82" s="51"/>
      <c r="G82" s="51"/>
      <c r="H82" s="51"/>
      <c r="I82" s="51"/>
      <c r="K82" s="51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  <c r="BM82" s="27"/>
      <c r="BN82" s="27"/>
      <c r="BO82" s="216"/>
    </row>
    <row r="83" spans="2:67">
      <c r="B83" s="43" t="str">
        <f>IF('Índice - Index'!$D$14="Português","TOTAL DO PASSIVO E PATRIMÔNIO LÍQUIDO","TOTAL LIABILITIES AND SHAREHOLDER EQUITY")</f>
        <v>TOTAL DO PASSIVO E PATRIMÔNIO LÍQUIDO</v>
      </c>
      <c r="C83" s="44">
        <f t="shared" ref="C83:AT83" si="45">C56+C69+C81</f>
        <v>1538278</v>
      </c>
      <c r="D83" s="44">
        <f t="shared" si="45"/>
        <v>1442611</v>
      </c>
      <c r="E83" s="44">
        <f t="shared" si="45"/>
        <v>1447516</v>
      </c>
      <c r="F83" s="44">
        <f t="shared" si="45"/>
        <v>1590452</v>
      </c>
      <c r="G83" s="44">
        <f t="shared" si="45"/>
        <v>2061292</v>
      </c>
      <c r="H83" s="44">
        <f t="shared" si="45"/>
        <v>2208331</v>
      </c>
      <c r="I83" s="44">
        <f t="shared" si="45"/>
        <v>2488784</v>
      </c>
      <c r="J83" s="44">
        <f t="shared" si="45"/>
        <v>1992709</v>
      </c>
      <c r="K83" s="44">
        <f t="shared" si="45"/>
        <v>2432599</v>
      </c>
      <c r="L83" s="44">
        <f t="shared" si="45"/>
        <v>2144703</v>
      </c>
      <c r="M83" s="44">
        <f t="shared" si="45"/>
        <v>2178307</v>
      </c>
      <c r="N83" s="44">
        <f t="shared" si="45"/>
        <v>2286557</v>
      </c>
      <c r="O83" s="44">
        <f t="shared" si="45"/>
        <v>2440691</v>
      </c>
      <c r="P83" s="44">
        <f t="shared" si="45"/>
        <v>2326051</v>
      </c>
      <c r="Q83" s="44">
        <f t="shared" si="45"/>
        <v>2325139</v>
      </c>
      <c r="R83" s="44">
        <f t="shared" si="45"/>
        <v>2344382</v>
      </c>
      <c r="S83" s="44">
        <f t="shared" si="45"/>
        <v>2576323</v>
      </c>
      <c r="T83" s="44">
        <f t="shared" si="45"/>
        <v>2650955</v>
      </c>
      <c r="U83" s="44">
        <f t="shared" si="45"/>
        <v>2767128</v>
      </c>
      <c r="V83" s="44">
        <f t="shared" si="45"/>
        <v>2815085</v>
      </c>
      <c r="W83" s="44">
        <f t="shared" si="45"/>
        <v>2975990</v>
      </c>
      <c r="X83" s="44">
        <f t="shared" si="45"/>
        <v>2908866.9220440001</v>
      </c>
      <c r="Y83" s="44">
        <f t="shared" si="45"/>
        <v>2921292.9697182002</v>
      </c>
      <c r="Z83" s="44">
        <f t="shared" si="45"/>
        <v>3034292.9523002002</v>
      </c>
      <c r="AA83" s="44">
        <f t="shared" si="45"/>
        <v>2832135.0742091043</v>
      </c>
      <c r="AB83" s="44">
        <f t="shared" si="45"/>
        <v>2690062.0584498001</v>
      </c>
      <c r="AC83" s="44">
        <f t="shared" si="45"/>
        <v>2744238.0834266003</v>
      </c>
      <c r="AD83" s="44">
        <f t="shared" si="45"/>
        <v>2723300</v>
      </c>
      <c r="AE83" s="44">
        <f t="shared" si="45"/>
        <v>2644048.67</v>
      </c>
      <c r="AF83" s="44">
        <f t="shared" si="45"/>
        <v>2706824</v>
      </c>
      <c r="AG83" s="44">
        <f t="shared" si="45"/>
        <v>2607892</v>
      </c>
      <c r="AH83" s="44">
        <f t="shared" si="45"/>
        <v>2750725</v>
      </c>
      <c r="AI83" s="44">
        <f t="shared" si="45"/>
        <v>2832732</v>
      </c>
      <c r="AJ83" s="44">
        <f t="shared" si="45"/>
        <v>2653323</v>
      </c>
      <c r="AK83" s="44">
        <f t="shared" si="45"/>
        <v>2569825</v>
      </c>
      <c r="AL83" s="44">
        <f t="shared" si="45"/>
        <v>2586063</v>
      </c>
      <c r="AM83" s="44">
        <f t="shared" si="45"/>
        <v>3162101.591</v>
      </c>
      <c r="AN83" s="44">
        <f t="shared" si="45"/>
        <v>3587409.3807599996</v>
      </c>
      <c r="AO83" s="44">
        <f t="shared" si="45"/>
        <v>3557368</v>
      </c>
      <c r="AP83" s="44">
        <f t="shared" si="45"/>
        <v>3489169.1300900001</v>
      </c>
      <c r="AQ83" s="44">
        <f t="shared" si="45"/>
        <v>4020068</v>
      </c>
      <c r="AR83" s="44">
        <f t="shared" si="45"/>
        <v>3418120</v>
      </c>
      <c r="AS83" s="44">
        <f t="shared" si="45"/>
        <v>3145454</v>
      </c>
      <c r="AT83" s="44">
        <f t="shared" si="45"/>
        <v>3008529</v>
      </c>
      <c r="AU83" s="44">
        <v>3367654</v>
      </c>
      <c r="AV83" s="44">
        <v>3278729</v>
      </c>
      <c r="AW83" s="44">
        <f>AW56+AW69+AW81</f>
        <v>3256365</v>
      </c>
      <c r="AX83" s="44">
        <f>AX56+AX69+AX81</f>
        <v>3370923</v>
      </c>
      <c r="AY83" s="44">
        <f>AY56+AY69+AY81</f>
        <v>3352448</v>
      </c>
      <c r="AZ83" s="44">
        <v>3338452</v>
      </c>
      <c r="BA83" s="44">
        <f t="shared" ref="BA83:BF83" si="46">SUM(BA81,BA69,BA56)</f>
        <v>3617087</v>
      </c>
      <c r="BB83" s="44">
        <f t="shared" si="46"/>
        <v>3582988</v>
      </c>
      <c r="BC83" s="44">
        <f t="shared" si="46"/>
        <v>3104952</v>
      </c>
      <c r="BD83" s="44">
        <f t="shared" si="46"/>
        <v>2911241</v>
      </c>
      <c r="BE83" s="44">
        <f t="shared" si="46"/>
        <v>2666904</v>
      </c>
      <c r="BF83" s="44">
        <f t="shared" si="46"/>
        <v>2479688</v>
      </c>
      <c r="BG83" s="44">
        <f t="shared" ref="BG83:BH83" si="47">SUM(BG81,BG69,BG56)</f>
        <v>2453892.8370400006</v>
      </c>
      <c r="BH83" s="44">
        <f t="shared" si="47"/>
        <v>2376254</v>
      </c>
      <c r="BI83" s="44">
        <f t="shared" ref="BI83:BJ83" si="48">SUM(BI81,BI69,BI56)</f>
        <v>2063394</v>
      </c>
      <c r="BJ83" s="191">
        <f t="shared" si="48"/>
        <v>2010006</v>
      </c>
      <c r="BK83" s="191">
        <f t="shared" ref="BK83:BN83" si="49">SUM(BK81,BK69,BK56)</f>
        <v>1904258</v>
      </c>
      <c r="BL83" s="191">
        <f t="shared" si="49"/>
        <v>2044038</v>
      </c>
      <c r="BM83" s="200">
        <f t="shared" si="49"/>
        <v>2018171</v>
      </c>
      <c r="BN83" s="200">
        <f t="shared" si="49"/>
        <v>2130537</v>
      </c>
      <c r="BO83" s="221">
        <v>2056813</v>
      </c>
    </row>
    <row r="84" spans="2:67">
      <c r="AE84" s="132"/>
      <c r="AF84" s="131"/>
      <c r="AG84" s="131"/>
      <c r="AH84" s="131"/>
      <c r="AI84" s="133"/>
      <c r="AJ84" s="133"/>
      <c r="AK84" s="133"/>
      <c r="AL84" s="133"/>
      <c r="AM84" s="133"/>
      <c r="AN84" s="133"/>
      <c r="AO84" s="133"/>
      <c r="AP84" s="133"/>
      <c r="AQ84" s="133"/>
      <c r="AR84" s="133"/>
      <c r="AS84" s="133"/>
      <c r="AT84" s="133"/>
      <c r="AU84" s="133"/>
      <c r="AV84" s="133">
        <f>AV83-AV36</f>
        <v>0</v>
      </c>
      <c r="AW84" s="133">
        <f>AW83-AW36</f>
        <v>0</v>
      </c>
      <c r="AX84" s="133">
        <f>AX83-AX36</f>
        <v>0</v>
      </c>
      <c r="AY84" s="133"/>
      <c r="AZ84" s="133"/>
      <c r="BA84" s="133"/>
      <c r="BB84" s="133"/>
      <c r="BC84" s="53"/>
      <c r="BD84" s="133"/>
      <c r="BE84" s="133"/>
      <c r="BF84" s="133"/>
      <c r="BG84" s="53"/>
      <c r="BH84" s="53"/>
      <c r="BI84" s="53"/>
      <c r="BJ84" s="53"/>
      <c r="BK84" s="53"/>
      <c r="BL84" s="53"/>
      <c r="BM84" s="53"/>
      <c r="BN84" s="53"/>
    </row>
    <row r="85" spans="2:67">
      <c r="AM85" s="134"/>
      <c r="AN85" s="134"/>
      <c r="AO85" s="134"/>
      <c r="AP85" s="134"/>
      <c r="AQ85" s="134"/>
      <c r="AR85" s="134"/>
      <c r="AS85" s="134"/>
      <c r="AT85" s="134"/>
      <c r="AU85" s="134"/>
      <c r="AV85" s="134"/>
      <c r="AY85" s="134"/>
      <c r="BB85" s="144">
        <f t="shared" ref="BB85" si="50">BB83-BB36</f>
        <v>0</v>
      </c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</row>
    <row r="86" spans="2:67">
      <c r="AM86" s="137"/>
      <c r="AP86" s="137"/>
      <c r="AQ86" s="137"/>
      <c r="AR86" s="137"/>
      <c r="AS86" s="137"/>
      <c r="AT86" s="137"/>
      <c r="AU86" s="137"/>
      <c r="AV86" s="137"/>
      <c r="AY86" s="137"/>
    </row>
  </sheetData>
  <sheetProtection formatCells="0" formatColumns="0" formatRows="0" insertColumns="0" insertRows="0" insertHyperlinks="0" deleteColumns="0" deleteRows="0" sort="0" autoFilter="0" pivotTables="0"/>
  <phoneticPr fontId="67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1" tint="0.499984740745262"/>
  </sheetPr>
  <dimension ref="A1:CL59"/>
  <sheetViews>
    <sheetView showGridLines="0" topLeftCell="C1" zoomScale="115" zoomScaleNormal="115" workbookViewId="0">
      <pane xSplit="1" ySplit="3" topLeftCell="CA37" activePane="bottomRight" state="frozen"/>
      <selection activeCell="BG4" sqref="BG4:BG15"/>
      <selection pane="topRight" activeCell="BG4" sqref="BG4:BG15"/>
      <selection pane="bottomLeft" activeCell="BG4" sqref="BG4:BG15"/>
      <selection pane="bottomRight" activeCell="CE3" sqref="CE3"/>
    </sheetView>
  </sheetViews>
  <sheetFormatPr defaultColWidth="9.21875" defaultRowHeight="13.2" outlineLevelRow="1" outlineLevelCol="1"/>
  <cols>
    <col min="1" max="1" width="3" style="25" customWidth="1"/>
    <col min="2" max="2" width="4.44140625" style="25" customWidth="1"/>
    <col min="3" max="3" width="54.21875" style="25" customWidth="1"/>
    <col min="4" max="4" width="11.44140625" style="25" hidden="1" customWidth="1"/>
    <col min="5" max="5" width="10.21875" style="25" hidden="1" customWidth="1" outlineLevel="1"/>
    <col min="6" max="7" width="10.44140625" style="25" hidden="1" customWidth="1" outlineLevel="1"/>
    <col min="8" max="8" width="11.21875" style="25" hidden="1" customWidth="1" outlineLevel="1"/>
    <col min="9" max="9" width="11.5546875" style="25" hidden="1" customWidth="1" collapsed="1"/>
    <col min="10" max="10" width="10.5546875" style="25" hidden="1" customWidth="1" outlineLevel="1"/>
    <col min="11" max="11" width="10.44140625" style="25" hidden="1" customWidth="1" outlineLevel="1"/>
    <col min="12" max="12" width="10.21875" style="25" hidden="1" customWidth="1" outlineLevel="1"/>
    <col min="13" max="13" width="11.5546875" style="25" hidden="1" customWidth="1" outlineLevel="1"/>
    <col min="14" max="14" width="11.44140625" style="25" hidden="1" customWidth="1" collapsed="1"/>
    <col min="15" max="15" width="9.77734375" style="25" hidden="1" customWidth="1" outlineLevel="1"/>
    <col min="16" max="16" width="10.44140625" style="25" hidden="1" customWidth="1" outlineLevel="1"/>
    <col min="17" max="17" width="10.21875" style="25" hidden="1" customWidth="1" outlineLevel="1"/>
    <col min="18" max="18" width="11.44140625" style="25" hidden="1" customWidth="1" outlineLevel="1"/>
    <col min="19" max="19" width="11.44140625" style="25" hidden="1" customWidth="1" collapsed="1"/>
    <col min="20" max="21" width="10.44140625" style="25" hidden="1" customWidth="1" outlineLevel="1"/>
    <col min="22" max="22" width="10.5546875" style="25" hidden="1" customWidth="1" outlineLevel="1"/>
    <col min="23" max="23" width="11.44140625" style="25" hidden="1" customWidth="1" outlineLevel="1"/>
    <col min="24" max="24" width="12" style="25" hidden="1" customWidth="1" collapsed="1"/>
    <col min="25" max="25" width="9.77734375" style="25" hidden="1" customWidth="1" outlineLevel="1"/>
    <col min="26" max="26" width="11.21875" style="25" hidden="1" customWidth="1" outlineLevel="1"/>
    <col min="27" max="27" width="10.5546875" style="25" hidden="1" customWidth="1" outlineLevel="1"/>
    <col min="28" max="28" width="11" style="25" hidden="1" customWidth="1" outlineLevel="1"/>
    <col min="29" max="29" width="11.5546875" style="25" hidden="1" customWidth="1" collapsed="1"/>
    <col min="30" max="30" width="10.5546875" style="25" hidden="1" customWidth="1" outlineLevel="1"/>
    <col min="31" max="31" width="11.5546875" style="25" hidden="1" customWidth="1" outlineLevel="1"/>
    <col min="32" max="32" width="10.5546875" style="25" hidden="1" customWidth="1" outlineLevel="1"/>
    <col min="33" max="33" width="11.44140625" style="25" hidden="1" customWidth="1" outlineLevel="1"/>
    <col min="34" max="34" width="11.5546875" style="25" hidden="1" customWidth="1" collapsed="1"/>
    <col min="35" max="35" width="10.21875" style="25" hidden="1" customWidth="1" outlineLevel="1"/>
    <col min="36" max="36" width="10.77734375" style="25" hidden="1" customWidth="1" outlineLevel="1"/>
    <col min="37" max="37" width="10.44140625" style="25" hidden="1" customWidth="1" outlineLevel="1"/>
    <col min="38" max="38" width="11.21875" style="25" hidden="1" customWidth="1" outlineLevel="1"/>
    <col min="39" max="39" width="12" style="25" hidden="1" customWidth="1" collapsed="1"/>
    <col min="40" max="40" width="11.5546875" style="25" hidden="1" customWidth="1" outlineLevel="1"/>
    <col min="41" max="43" width="12" style="25" hidden="1" customWidth="1" outlineLevel="1"/>
    <col min="44" max="44" width="11.77734375" style="25" hidden="1" customWidth="1" collapsed="1"/>
    <col min="45" max="48" width="11.77734375" style="25" hidden="1" customWidth="1" outlineLevel="1"/>
    <col min="49" max="49" width="11.77734375" style="25" hidden="1" customWidth="1" collapsed="1"/>
    <col min="50" max="53" width="11.77734375" style="25" hidden="1" customWidth="1" outlineLevel="1" collapsed="1"/>
    <col min="54" max="54" width="11.77734375" style="25" hidden="1" customWidth="1" collapsed="1"/>
    <col min="55" max="58" width="11.77734375" style="25" hidden="1" customWidth="1" outlineLevel="1" collapsed="1"/>
    <col min="59" max="59" width="11.77734375" style="25" hidden="1" customWidth="1" collapsed="1"/>
    <col min="60" max="60" width="11.77734375" style="25" hidden="1" customWidth="1" outlineLevel="1"/>
    <col min="61" max="61" width="10.21875" style="25" hidden="1" customWidth="1" outlineLevel="1"/>
    <col min="62" max="62" width="10" style="25" hidden="1" customWidth="1" outlineLevel="1"/>
    <col min="63" max="63" width="15.5546875" style="25" hidden="1" customWidth="1" outlineLevel="1"/>
    <col min="64" max="64" width="15.21875" style="25" hidden="1" customWidth="1" collapsed="1"/>
    <col min="65" max="67" width="15.44140625" style="25" hidden="1" customWidth="1" outlineLevel="1"/>
    <col min="68" max="68" width="15.5546875" style="25" hidden="1" customWidth="1" outlineLevel="1"/>
    <col min="69" max="69" width="15.5546875" style="25" hidden="1" customWidth="1" collapsed="1"/>
    <col min="70" max="72" width="15.5546875" style="25" hidden="1" customWidth="1" outlineLevel="1"/>
    <col min="73" max="73" width="11.77734375" style="25" hidden="1" customWidth="1" outlineLevel="1"/>
    <col min="74" max="74" width="13.21875" style="25" hidden="1" customWidth="1" collapsed="1"/>
    <col min="75" max="78" width="11.77734375" style="25" hidden="1" customWidth="1" outlineLevel="1"/>
    <col min="79" max="79" width="11.77734375" style="25" customWidth="1" collapsed="1"/>
    <col min="80" max="82" width="11.77734375" style="25" customWidth="1"/>
    <col min="83" max="83" width="11.77734375" style="25" bestFit="1" customWidth="1"/>
    <col min="84" max="84" width="10.44140625" style="25" bestFit="1" customWidth="1"/>
    <col min="85" max="85" width="14.5546875" style="25" bestFit="1" customWidth="1"/>
    <col min="86" max="86" width="11.77734375" style="25" customWidth="1"/>
    <col min="87" max="87" width="9.21875" style="25"/>
    <col min="88" max="88" width="9.5546875" style="25" bestFit="1" customWidth="1"/>
    <col min="89" max="16384" width="9.21875" style="25"/>
  </cols>
  <sheetData>
    <row r="1" spans="1:90">
      <c r="A1" s="146" t="s">
        <v>27</v>
      </c>
    </row>
    <row r="3" spans="1:90" ht="29.55" customHeight="1">
      <c r="C3" s="145" t="str">
        <f>IF('Índice - Index'!$D$14="Português","Consolidado","Consolidated")</f>
        <v>Consolidado</v>
      </c>
      <c r="D3" s="26" t="s">
        <v>18</v>
      </c>
      <c r="E3" s="26" t="str">
        <f>IF('Índice - Index'!$D$14="Português","1T10","1Q10")</f>
        <v>1T10</v>
      </c>
      <c r="F3" s="26" t="str">
        <f>IF('Índice - Index'!$D$14="Português","2T10","2Q10")</f>
        <v>2T10</v>
      </c>
      <c r="G3" s="26" t="str">
        <f>IF('Índice - Index'!$D$14="Português","3T10","3Q10")</f>
        <v>3T10</v>
      </c>
      <c r="H3" s="26" t="str">
        <f>IF('Índice - Index'!$D$14="Português","4T10","4Q10")</f>
        <v>4T10</v>
      </c>
      <c r="I3" s="26" t="str">
        <f>IF('Índice - Index'!$D$14="Português","2010","2010")</f>
        <v>2010</v>
      </c>
      <c r="J3" s="26" t="str">
        <f>IF('Índice - Index'!$D$14="Português","1T11","1Q11")</f>
        <v>1T11</v>
      </c>
      <c r="K3" s="26" t="str">
        <f>IF('Índice - Index'!$D$14="Português","2T11","2Q11")</f>
        <v>2T11</v>
      </c>
      <c r="L3" s="26" t="str">
        <f>IF('Índice - Index'!$D$14="Português","3T11","3Q11")</f>
        <v>3T11</v>
      </c>
      <c r="M3" s="26" t="str">
        <f>IF('Índice - Index'!$D$14="Português","4T11","4Q11")</f>
        <v>4T11</v>
      </c>
      <c r="N3" s="26" t="str">
        <f>IF('Índice - Index'!$D$14="Português","2011","2011")</f>
        <v>2011</v>
      </c>
      <c r="O3" s="26" t="str">
        <f>IF('Índice - Index'!$D$14="Português","1T12","1Q12")</f>
        <v>1T12</v>
      </c>
      <c r="P3" s="26" t="str">
        <f>IF('Índice - Index'!$D$14="Português","2T12","2Q12")</f>
        <v>2T12</v>
      </c>
      <c r="Q3" s="26" t="str">
        <f>IF('Índice - Index'!$D$14="Português","3T12","3Q12")</f>
        <v>3T12</v>
      </c>
      <c r="R3" s="26" t="str">
        <f>IF('Índice - Index'!$D$14="Português","4T12","4Q12")</f>
        <v>4T12</v>
      </c>
      <c r="S3" s="26" t="str">
        <f>IF('Índice - Index'!$D$14="Português","2012","2012")</f>
        <v>2012</v>
      </c>
      <c r="T3" s="26" t="str">
        <f>IF('Índice - Index'!$D$14="Português","1T13","1Q13")</f>
        <v>1T13</v>
      </c>
      <c r="U3" s="26" t="str">
        <f>IF('Índice - Index'!$D$14="Português","2T13","2Q13")</f>
        <v>2T13</v>
      </c>
      <c r="V3" s="26" t="str">
        <f>IF('Índice - Index'!$D$14="Português","3T13","3Q13")</f>
        <v>3T13</v>
      </c>
      <c r="W3" s="26" t="str">
        <f>IF('Índice - Index'!$D$14="Português","4T13","4Q13")</f>
        <v>4T13</v>
      </c>
      <c r="X3" s="26" t="str">
        <f>IF('Índice - Index'!$D$14="Português","2013","2013")</f>
        <v>2013</v>
      </c>
      <c r="Y3" s="26" t="str">
        <f>IF('Índice - Index'!$D$14="Português","1T14","1Q14")</f>
        <v>1T14</v>
      </c>
      <c r="Z3" s="26" t="str">
        <f>IF('Índice - Index'!$D$14="Português","2T14","2Q14")</f>
        <v>2T14</v>
      </c>
      <c r="AA3" s="26" t="str">
        <f>IF('Índice - Index'!$D$14="Português","3T14","3Q14")</f>
        <v>3T14</v>
      </c>
      <c r="AB3" s="26" t="str">
        <f>IF('Índice - Index'!$D$14="Português","4T14","4Q14")</f>
        <v>4T14</v>
      </c>
      <c r="AC3" s="26" t="str">
        <f>IF('Índice - Index'!$D$14="Português","2014","2014")</f>
        <v>2014</v>
      </c>
      <c r="AD3" s="26" t="str">
        <f>IF('Índice - Index'!$D$14="Português","1T15","1Q15")</f>
        <v>1T15</v>
      </c>
      <c r="AE3" s="26" t="str">
        <f>IF('Índice - Index'!$D$14="Português","2T15","2Q15")</f>
        <v>2T15</v>
      </c>
      <c r="AF3" s="26" t="str">
        <f>IF('Índice - Index'!$D$14="Português","3T15","3Q15")</f>
        <v>3T15</v>
      </c>
      <c r="AG3" s="26" t="str">
        <f>IF('Índice - Index'!$D$14="Português","4T15","4Q15")</f>
        <v>4T15</v>
      </c>
      <c r="AH3" s="26" t="str">
        <f>IF('Índice - Index'!$D$14="Português","2015","2015")</f>
        <v>2015</v>
      </c>
      <c r="AI3" s="26" t="str">
        <f>IF('Índice - Index'!$D$14="Português","1T16","1Q16")</f>
        <v>1T16</v>
      </c>
      <c r="AJ3" s="26" t="str">
        <f>IF('Índice - Index'!$D$14="Português","2T16","2Q16")</f>
        <v>2T16</v>
      </c>
      <c r="AK3" s="26" t="str">
        <f>IF('Índice - Index'!$D$14="Português","3T16","3Q16")</f>
        <v>3T16</v>
      </c>
      <c r="AL3" s="26" t="str">
        <f>IF('Índice - Index'!$D$14="Português","4T16","4Q16")</f>
        <v>4T16</v>
      </c>
      <c r="AM3" s="26" t="str">
        <f>IF('Índice - Index'!$D$14="Português","2016","2016")</f>
        <v>2016</v>
      </c>
      <c r="AN3" s="26" t="str">
        <f>IF('Índice - Index'!$D$14="Português","1T17","1Q17")</f>
        <v>1T17</v>
      </c>
      <c r="AO3" s="26" t="str">
        <f>IF('Índice - Index'!$D$14="Português","2T17","2Q17")</f>
        <v>2T17</v>
      </c>
      <c r="AP3" s="26" t="str">
        <f>IF('Índice - Index'!$D$14="Português","3T17","3Q17")</f>
        <v>3T17</v>
      </c>
      <c r="AQ3" s="26" t="str">
        <f>IF('Índice - Index'!$D$14="Português","4T17","4Q17")</f>
        <v>4T17</v>
      </c>
      <c r="AR3" s="26" t="str">
        <f>IF('Índice - Index'!$D$14="Português","2017","2017")</f>
        <v>2017</v>
      </c>
      <c r="AS3" s="26" t="str">
        <f>IF('Índice - Index'!$D$14="Português","1T18","1Q18")</f>
        <v>1T18</v>
      </c>
      <c r="AT3" s="26" t="str">
        <f>IF('Índice - Index'!$D$14="Português","2T18","2Q18")</f>
        <v>2T18</v>
      </c>
      <c r="AU3" s="26" t="str">
        <f>IF('Índice - Index'!$D$14="Português","3T18","3Q18")</f>
        <v>3T18</v>
      </c>
      <c r="AV3" s="26" t="str">
        <f>IF('Índice - Index'!$D$14="Português","4T18","4Q18")</f>
        <v>4T18</v>
      </c>
      <c r="AW3" s="26" t="str">
        <f>IF('Índice - Index'!$D$14="Português","2018","2018")</f>
        <v>2018</v>
      </c>
      <c r="AX3" s="26" t="str">
        <f>IF('Índice - Index'!$D$14="Português","1T19","1Q19")</f>
        <v>1T19</v>
      </c>
      <c r="AY3" s="26" t="str">
        <f>IF('Índice - Index'!$D$14="Português","2T19","2Q19")</f>
        <v>2T19</v>
      </c>
      <c r="AZ3" s="26" t="str">
        <f>IF('Índice - Index'!$D$14="Português","3T19","3Q19")</f>
        <v>3T19</v>
      </c>
      <c r="BA3" s="26" t="str">
        <f>IF('Índice - Index'!$D$14="Português","4T19","4Q19")</f>
        <v>4T19</v>
      </c>
      <c r="BB3" s="26" t="str">
        <f>IF('Índice - Index'!$D$14="Português","2019","2019")</f>
        <v>2019</v>
      </c>
      <c r="BC3" s="26" t="str">
        <f>IF('Índice - Index'!$D$14="Português","1T20","1Q20")</f>
        <v>1T20</v>
      </c>
      <c r="BD3" s="26" t="str">
        <f>IF('Índice - Index'!$D$14="Português","2T20","2Q20")</f>
        <v>2T20</v>
      </c>
      <c r="BE3" s="26" t="str">
        <f>IF('Índice - Index'!$D$14="Português","3T20","3Q20")</f>
        <v>3T20</v>
      </c>
      <c r="BF3" s="26" t="str">
        <f>IF('Índice - Index'!$D$14="Português","4T20","4Q20")</f>
        <v>4T20</v>
      </c>
      <c r="BG3" s="26" t="str">
        <f>IF('Índice - Index'!$D$14="Português","2020","2020")</f>
        <v>2020</v>
      </c>
      <c r="BH3" s="26" t="str">
        <f>IF('Índice - Index'!$D$14="Português","1T21","1Q21")</f>
        <v>1T21</v>
      </c>
      <c r="BI3" s="26" t="str">
        <f>IF('Índice - Index'!$D$14="Português","2T21","2Q21")</f>
        <v>2T21</v>
      </c>
      <c r="BJ3" s="26" t="str">
        <f>IF('Índice - Index'!$D$14="Português","3T21","3Q21")</f>
        <v>3T21</v>
      </c>
      <c r="BK3" s="167" t="str">
        <f>IF('Índice - Index'!$D$14="Português","4T21 (reapresentado)","4Q21 (restated)")</f>
        <v>4T21 (reapresentado)</v>
      </c>
      <c r="BL3" s="167" t="str">
        <f>IF('Índice - Index'!$D$14="Português","2021 (reapresentado)","2021 (restated)")</f>
        <v>2021 (reapresentado)</v>
      </c>
      <c r="BM3" s="167" t="str">
        <f>IF('Índice - Index'!$D$14="Português","1T22 (reapresentado)","1Q22 (restated)")</f>
        <v>1T22 (reapresentado)</v>
      </c>
      <c r="BN3" s="167" t="str">
        <f>IF('Índice - Index'!$D$14="Português","2T22 (reapresentado)","2Q22 (restated)")</f>
        <v>2T22 (reapresentado)</v>
      </c>
      <c r="BO3" s="167" t="str">
        <f>IF('Índice - Index'!$D$14="Português","3T22 (reapresentado)","3Q22 (restated)")</f>
        <v>3T22 (reapresentado)</v>
      </c>
      <c r="BP3" s="167" t="str">
        <f>IF('Índice - Index'!$D$14="Português","4T22     (reapresentado)","4Q22        (restated)")</f>
        <v>4T22     (reapresentado)</v>
      </c>
      <c r="BQ3" s="167" t="str">
        <f>IF('Índice - Index'!$D$14="Português","2022       (reapresentado)","2022            (restated)")</f>
        <v>2022       (reapresentado)</v>
      </c>
      <c r="BR3" s="167" t="str">
        <f>IF('Índice - Index'!$D$14="Português","1T23        (reapresentado)","1Q23          (restated)")</f>
        <v>1T23        (reapresentado)</v>
      </c>
      <c r="BS3" s="167" t="str">
        <f>IF('Índice - Index'!$D$14="Português","2T23        (reapresentado)","2Q23          (restated)")</f>
        <v>2T23        (reapresentado)</v>
      </c>
      <c r="BT3" s="167" t="str">
        <f>IF('Índice - Index'!$D$14="Português","3T23**        (reapresentado)","3Q23**          (restated)")</f>
        <v>3T23**        (reapresentado)</v>
      </c>
      <c r="BU3" s="26" t="str">
        <f>IF('Índice - Index'!$D$14="Português","4T23","4Q23")</f>
        <v>4T23</v>
      </c>
      <c r="BV3" s="167" t="str">
        <f>IF('Índice - Index'!$D$14="Português","2023***","2023***")</f>
        <v>2023***</v>
      </c>
      <c r="BW3" s="26" t="str">
        <f>IF('Índice - Index'!$D$14="Português","1T24","1Q24")</f>
        <v>1T24</v>
      </c>
      <c r="BX3" s="26" t="str">
        <f>IF('Índice - Index'!$D$14="Português","2T24","2Q24")</f>
        <v>2T24</v>
      </c>
      <c r="BY3" s="26" t="str">
        <f>IF('Índice - Index'!$D$14="Português","3T24","3Q24")</f>
        <v>3T24</v>
      </c>
      <c r="BZ3" s="26" t="str">
        <f>IF('Índice - Index'!$D$14="Português","4T24","4Q24")</f>
        <v>4T24</v>
      </c>
      <c r="CA3" s="167">
        <v>2024</v>
      </c>
      <c r="CB3" s="26" t="str">
        <f>IF('Índice - Index'!$D$14="Português","1T25","1Q25")</f>
        <v>1T25</v>
      </c>
      <c r="CC3" s="26" t="str">
        <f>IF('Índice - Index'!$D$14="Português","2T25","2Q25")</f>
        <v>2T25</v>
      </c>
      <c r="CD3" s="26" t="str">
        <f>IF('Índice - Index'!$D$14="Português","3T25","3Q25")</f>
        <v>3T25</v>
      </c>
      <c r="CE3" s="224" t="s">
        <v>52</v>
      </c>
      <c r="CF3" s="224">
        <v>2025</v>
      </c>
    </row>
    <row r="4" spans="1:90">
      <c r="C4" s="54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136"/>
      <c r="AJ4" s="136"/>
      <c r="AK4" s="136"/>
      <c r="AL4" s="136"/>
      <c r="CJ4" s="173"/>
      <c r="CK4" s="173"/>
    </row>
    <row r="5" spans="1:90">
      <c r="C5" s="56" t="str">
        <f>IF('Índice - Index'!$D$14="Português","RECEITA BRUTA","GROSS REVENUE")</f>
        <v>RECEITA BRUTA</v>
      </c>
      <c r="D5" s="57">
        <f t="shared" ref="D5:I5" si="0">SUM(D6:D8)</f>
        <v>2286729</v>
      </c>
      <c r="E5" s="57">
        <f t="shared" si="0"/>
        <v>485829</v>
      </c>
      <c r="F5" s="57">
        <f t="shared" si="0"/>
        <v>659393</v>
      </c>
      <c r="G5" s="57">
        <f t="shared" si="0"/>
        <v>727781</v>
      </c>
      <c r="H5" s="57">
        <f t="shared" si="0"/>
        <v>1014293</v>
      </c>
      <c r="I5" s="57">
        <f t="shared" si="0"/>
        <v>2887296</v>
      </c>
      <c r="J5" s="57">
        <f>SUM(J6:J8)</f>
        <v>630420</v>
      </c>
      <c r="K5" s="57">
        <f t="shared" ref="K5:X5" si="1">SUM(K6:K8)</f>
        <v>818527</v>
      </c>
      <c r="L5" s="57">
        <f t="shared" si="1"/>
        <v>721959</v>
      </c>
      <c r="M5" s="57">
        <f t="shared" si="1"/>
        <v>1009658</v>
      </c>
      <c r="N5" s="57">
        <f t="shared" si="1"/>
        <v>3180564</v>
      </c>
      <c r="O5" s="57">
        <f t="shared" si="1"/>
        <v>668166</v>
      </c>
      <c r="P5" s="57">
        <f t="shared" si="1"/>
        <v>905064</v>
      </c>
      <c r="Q5" s="57">
        <f t="shared" si="1"/>
        <v>942461</v>
      </c>
      <c r="R5" s="57">
        <f t="shared" si="1"/>
        <v>1228483</v>
      </c>
      <c r="S5" s="57">
        <f t="shared" si="1"/>
        <v>3744174</v>
      </c>
      <c r="T5" s="57">
        <f t="shared" si="1"/>
        <v>807606</v>
      </c>
      <c r="U5" s="57">
        <f t="shared" si="1"/>
        <v>977876</v>
      </c>
      <c r="V5" s="57">
        <f t="shared" si="1"/>
        <v>948524</v>
      </c>
      <c r="W5" s="58">
        <f t="shared" si="1"/>
        <v>1335828</v>
      </c>
      <c r="X5" s="58">
        <f t="shared" si="1"/>
        <v>4069833</v>
      </c>
      <c r="Y5" s="57">
        <v>896738.77931999997</v>
      </c>
      <c r="Z5" s="57">
        <v>1067635.0159199999</v>
      </c>
      <c r="AA5" s="57">
        <v>1017732.36467</v>
      </c>
      <c r="AB5" s="57">
        <v>1396977.7114799998</v>
      </c>
      <c r="AC5" s="57">
        <v>4379083.87139</v>
      </c>
      <c r="AD5" s="57">
        <v>874961.05695999996</v>
      </c>
      <c r="AE5" s="57">
        <v>1030061.90443</v>
      </c>
      <c r="AF5" s="57">
        <v>980343.86864</v>
      </c>
      <c r="AG5" s="57">
        <v>1253956.22438</v>
      </c>
      <c r="AH5" s="57">
        <v>4139323.0496199997</v>
      </c>
      <c r="AI5" s="57">
        <v>781264.38653999998</v>
      </c>
      <c r="AJ5" s="57">
        <v>1017359</v>
      </c>
      <c r="AK5" s="57">
        <v>809644</v>
      </c>
      <c r="AL5" s="57">
        <v>1091659</v>
      </c>
      <c r="AM5" s="57">
        <v>3699926</v>
      </c>
      <c r="AN5" s="57">
        <v>778129</v>
      </c>
      <c r="AO5" s="57">
        <v>905983</v>
      </c>
      <c r="AP5" s="57">
        <v>910879</v>
      </c>
      <c r="AQ5" s="57">
        <v>1074552</v>
      </c>
      <c r="AR5" s="57">
        <v>3669543</v>
      </c>
      <c r="AS5" s="57">
        <v>744381</v>
      </c>
      <c r="AT5" s="57">
        <v>879231</v>
      </c>
      <c r="AU5" s="57">
        <v>875478</v>
      </c>
      <c r="AV5" s="57">
        <v>1049557.9999999998</v>
      </c>
      <c r="AW5" s="57">
        <v>3548648</v>
      </c>
      <c r="AX5" s="57">
        <v>770194.39172999992</v>
      </c>
      <c r="AY5" s="57">
        <v>884519.60864999983</v>
      </c>
      <c r="AZ5" s="57">
        <v>895995.61895999999</v>
      </c>
      <c r="BA5" s="57">
        <v>1118425.9697700003</v>
      </c>
      <c r="BB5" s="57">
        <v>3669135.9697700003</v>
      </c>
      <c r="BC5" s="57">
        <v>723848.96439000021</v>
      </c>
      <c r="BD5" s="57">
        <v>330984.91835999989</v>
      </c>
      <c r="BE5" s="57">
        <v>698033.02310999995</v>
      </c>
      <c r="BF5" s="57">
        <v>1001100.0892699994</v>
      </c>
      <c r="BG5" s="57">
        <v>2753966.9951299997</v>
      </c>
      <c r="BH5" s="57">
        <f>SUM(BH6:BH8)</f>
        <v>520714.37725000014</v>
      </c>
      <c r="BI5" s="57">
        <f>SUM(BI6:BI8)</f>
        <v>793587.4860700001</v>
      </c>
      <c r="BJ5" s="57">
        <f>SUM(BJ6:BJ8)</f>
        <v>847000.97764999955</v>
      </c>
      <c r="BK5" s="57">
        <f>SUM(BK6:BK8)</f>
        <v>1083802.22713</v>
      </c>
      <c r="BL5" s="57">
        <f>BL6+BL8</f>
        <v>3257504.96361</v>
      </c>
      <c r="BM5" s="57">
        <f t="shared" ref="BM5:BV5" si="2">SUM(BM6:BM8)</f>
        <v>743244.36446000007</v>
      </c>
      <c r="BN5" s="164">
        <f t="shared" si="2"/>
        <v>956659.97702999995</v>
      </c>
      <c r="BO5" s="57">
        <f t="shared" si="2"/>
        <v>817997.75584000011</v>
      </c>
      <c r="BP5" s="57">
        <f t="shared" si="2"/>
        <v>988148.41330999974</v>
      </c>
      <c r="BQ5" s="164">
        <f t="shared" si="2"/>
        <v>3215844.8891599998</v>
      </c>
      <c r="BR5" s="57">
        <f t="shared" si="2"/>
        <v>643995.79554999992</v>
      </c>
      <c r="BS5" s="57">
        <f t="shared" si="2"/>
        <v>650415.83420000027</v>
      </c>
      <c r="BT5" s="57">
        <f t="shared" si="2"/>
        <v>318477.03690999991</v>
      </c>
      <c r="BU5" s="57">
        <f t="shared" si="2"/>
        <v>565539.83763000043</v>
      </c>
      <c r="BV5" s="164">
        <f t="shared" si="2"/>
        <v>2216037.3202600004</v>
      </c>
      <c r="BW5" s="57">
        <f t="shared" ref="BW5:CD5" si="3">SUM(BW6:BW8)</f>
        <v>345472.09688000003</v>
      </c>
      <c r="BX5" s="57">
        <f t="shared" si="3"/>
        <v>438405.10500000004</v>
      </c>
      <c r="BY5" s="57">
        <f t="shared" si="3"/>
        <v>480442.39739</v>
      </c>
      <c r="BZ5" s="57">
        <f t="shared" si="3"/>
        <v>645071.6784399997</v>
      </c>
      <c r="CA5" s="57">
        <f t="shared" ref="CA5" si="4">SUM(CA6:CA8)</f>
        <v>1909391.2777099996</v>
      </c>
      <c r="CB5" s="57">
        <f t="shared" si="3"/>
        <v>407039.97354999994</v>
      </c>
      <c r="CC5" s="57">
        <f t="shared" si="3"/>
        <v>538288.11820999999</v>
      </c>
      <c r="CD5" s="57">
        <f t="shared" si="3"/>
        <v>452020.25213999988</v>
      </c>
      <c r="CE5" s="57">
        <v>623939</v>
      </c>
      <c r="CF5" s="57">
        <f>SUM(CB5:CE5)</f>
        <v>2021287.3438999997</v>
      </c>
      <c r="CG5" s="57"/>
      <c r="CH5" s="144">
        <f>CF5-CA5</f>
        <v>111896.06619000016</v>
      </c>
      <c r="CJ5" s="176"/>
      <c r="CK5" s="175"/>
    </row>
    <row r="6" spans="1:90">
      <c r="C6" s="59" t="str">
        <f>IF('Índice - Index'!$D$14="Português","Varejo - Receita Bruta","Retail - Gross Revenue")</f>
        <v>Varejo - Receita Bruta</v>
      </c>
      <c r="D6" s="60">
        <v>1955850</v>
      </c>
      <c r="E6" s="60">
        <v>401756</v>
      </c>
      <c r="F6" s="60">
        <v>567544</v>
      </c>
      <c r="G6" s="60">
        <v>623914</v>
      </c>
      <c r="H6" s="60">
        <v>723982</v>
      </c>
      <c r="I6" s="60">
        <v>2317196</v>
      </c>
      <c r="J6" s="60">
        <v>508554</v>
      </c>
      <c r="K6" s="61">
        <v>694618</v>
      </c>
      <c r="L6" s="61">
        <v>615014</v>
      </c>
      <c r="M6" s="61">
        <v>893770</v>
      </c>
      <c r="N6" s="61">
        <v>2711956</v>
      </c>
      <c r="O6" s="61">
        <v>552026</v>
      </c>
      <c r="P6" s="61">
        <v>790321</v>
      </c>
      <c r="Q6" s="61">
        <v>822394</v>
      </c>
      <c r="R6" s="61">
        <v>1089213</v>
      </c>
      <c r="S6" s="61">
        <v>3253954</v>
      </c>
      <c r="T6" s="61">
        <v>658295</v>
      </c>
      <c r="U6" s="61">
        <v>822910</v>
      </c>
      <c r="V6" s="61">
        <v>798556</v>
      </c>
      <c r="W6" s="60">
        <v>1184228</v>
      </c>
      <c r="X6" s="60">
        <v>3463988</v>
      </c>
      <c r="Y6" s="61">
        <v>703992.00542000006</v>
      </c>
      <c r="Z6" s="61">
        <v>878690.37708999997</v>
      </c>
      <c r="AA6" s="61">
        <v>828366.65084000002</v>
      </c>
      <c r="AB6" s="61">
        <v>1204064.4395599999</v>
      </c>
      <c r="AC6" s="61">
        <v>3615113.47291</v>
      </c>
      <c r="AD6" s="61">
        <v>684201.17</v>
      </c>
      <c r="AE6" s="61">
        <v>848291.67801999999</v>
      </c>
      <c r="AF6" s="61">
        <v>809359.81377999997</v>
      </c>
      <c r="AG6" s="61">
        <v>1088552.3382000001</v>
      </c>
      <c r="AH6" s="61">
        <v>3430405</v>
      </c>
      <c r="AI6" s="61">
        <v>621354.36465999996</v>
      </c>
      <c r="AJ6" s="61">
        <v>856649</v>
      </c>
      <c r="AK6" s="61">
        <v>647940</v>
      </c>
      <c r="AL6" s="61">
        <v>925235</v>
      </c>
      <c r="AM6" s="61">
        <v>3051178</v>
      </c>
      <c r="AN6" s="61">
        <v>605453</v>
      </c>
      <c r="AO6" s="61">
        <v>734809</v>
      </c>
      <c r="AP6" s="61">
        <v>746637</v>
      </c>
      <c r="AQ6" s="61">
        <v>907860</v>
      </c>
      <c r="AR6" s="61">
        <v>2994759</v>
      </c>
      <c r="AS6" s="61">
        <v>577614</v>
      </c>
      <c r="AT6" s="61">
        <v>714369</v>
      </c>
      <c r="AU6" s="61">
        <v>726451.47745631705</v>
      </c>
      <c r="AV6" s="61">
        <v>889938.86957039987</v>
      </c>
      <c r="AW6" s="61">
        <v>2908373.3470267169</v>
      </c>
      <c r="AX6" s="61">
        <v>610695.45091595</v>
      </c>
      <c r="AY6" s="61">
        <v>726661.21354364965</v>
      </c>
      <c r="AZ6" s="61">
        <v>743139.4122889</v>
      </c>
      <c r="BA6" s="61">
        <v>946359.935788</v>
      </c>
      <c r="BB6" s="61">
        <v>3026855.935788</v>
      </c>
      <c r="BC6" s="61">
        <v>559000.79608802509</v>
      </c>
      <c r="BD6" s="61">
        <v>200340.8234560251</v>
      </c>
      <c r="BE6" s="61">
        <v>600934.06131997472</v>
      </c>
      <c r="BF6" s="61">
        <v>884143.71230597468</v>
      </c>
      <c r="BG6" s="61">
        <v>2244419.3931699996</v>
      </c>
      <c r="BH6" s="61">
        <v>390478.24053277512</v>
      </c>
      <c r="BI6" s="61">
        <v>662689.30113722477</v>
      </c>
      <c r="BJ6" s="61">
        <v>712497.89095999976</v>
      </c>
      <c r="BK6" s="61">
        <v>943081.36814999999</v>
      </c>
      <c r="BL6" s="61">
        <v>2708746.8007799997</v>
      </c>
      <c r="BM6" s="61">
        <v>585682.32918</v>
      </c>
      <c r="BN6" s="168">
        <v>806261.31138999993</v>
      </c>
      <c r="BO6" s="61">
        <v>689307.39048000006</v>
      </c>
      <c r="BP6" s="61">
        <v>943750.30466999975</v>
      </c>
      <c r="BQ6" s="168">
        <v>3013216.2066299999</v>
      </c>
      <c r="BR6" s="61">
        <v>598968.91290999996</v>
      </c>
      <c r="BS6" s="61">
        <v>626865.96343000024</v>
      </c>
      <c r="BT6" s="61">
        <v>315566.6359099999</v>
      </c>
      <c r="BU6" s="61">
        <v>556676.77984000044</v>
      </c>
      <c r="BV6" s="168">
        <v>2132978.0421200003</v>
      </c>
      <c r="BW6" s="61">
        <v>341366.47620000003</v>
      </c>
      <c r="BX6" s="61">
        <v>434732.54668000003</v>
      </c>
      <c r="BY6" s="61">
        <v>476665.70721999998</v>
      </c>
      <c r="BZ6" s="61">
        <v>643330.36996999965</v>
      </c>
      <c r="CA6" s="61">
        <f>SUM(BW6:BZ6)</f>
        <v>1896095.1000699997</v>
      </c>
      <c r="CB6" s="61">
        <v>402129.27975999995</v>
      </c>
      <c r="CC6" s="61">
        <v>534461.31249000004</v>
      </c>
      <c r="CD6" s="61">
        <v>447879.60325999989</v>
      </c>
      <c r="CE6" s="61">
        <f>CE5-CE7</f>
        <v>618292.95805000002</v>
      </c>
      <c r="CF6" s="61">
        <f t="shared" ref="CF6:CF8" si="5">SUM(CB6:CE6)</f>
        <v>2002763.15356</v>
      </c>
      <c r="CG6" s="61"/>
      <c r="CJ6" s="175"/>
      <c r="CK6" s="176"/>
    </row>
    <row r="7" spans="1:90">
      <c r="C7" s="59" t="str">
        <f>IF('Índice - Index'!$D$14="Português","Mserviços - Receita Bruta","Mserviços - Gross Revenue")</f>
        <v>Mserviços - Receita Bruta</v>
      </c>
      <c r="D7" s="60"/>
      <c r="E7" s="60"/>
      <c r="F7" s="60"/>
      <c r="G7" s="60"/>
      <c r="H7" s="60"/>
      <c r="I7" s="60"/>
      <c r="J7" s="60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0"/>
      <c r="X7" s="60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168"/>
      <c r="BO7" s="61">
        <v>36389.218330000003</v>
      </c>
      <c r="BP7" s="61">
        <v>44398.108639999999</v>
      </c>
      <c r="BQ7" s="168">
        <v>202628.68252999999</v>
      </c>
      <c r="BR7" s="61">
        <v>45026.882639999996</v>
      </c>
      <c r="BS7" s="61">
        <v>23549.870769999998</v>
      </c>
      <c r="BT7" s="61">
        <v>2910.4009999999994</v>
      </c>
      <c r="BU7" s="61">
        <v>8863.0577900000026</v>
      </c>
      <c r="BV7" s="168">
        <v>83059.278139999995</v>
      </c>
      <c r="BW7" s="61">
        <v>4105.62068</v>
      </c>
      <c r="BX7" s="61">
        <v>3672.558320000001</v>
      </c>
      <c r="BY7" s="61">
        <v>3776.6901700000003</v>
      </c>
      <c r="BZ7" s="61">
        <v>1741.3084699999995</v>
      </c>
      <c r="CA7" s="61">
        <f>SUM(BW7:BZ7)</f>
        <v>13296.177640000002</v>
      </c>
      <c r="CB7" s="61">
        <v>5171.4480500000009</v>
      </c>
      <c r="CC7" s="61">
        <v>3826.8057200000003</v>
      </c>
      <c r="CD7" s="61">
        <v>4140.6488800000006</v>
      </c>
      <c r="CE7" s="61">
        <v>5646.0419499999989</v>
      </c>
      <c r="CF7" s="61">
        <f t="shared" si="5"/>
        <v>18784.944600000003</v>
      </c>
      <c r="CG7" s="61"/>
      <c r="CJ7" s="175"/>
      <c r="CK7" s="176"/>
    </row>
    <row r="8" spans="1:90">
      <c r="C8" s="59" t="str">
        <f>IF('Índice - Index'!$D$14="Português","Mpagamentos - Receita Bruta","Mpagamentos - Gross Revenue")</f>
        <v>Mpagamentos - Receita Bruta</v>
      </c>
      <c r="D8" s="60">
        <v>330879</v>
      </c>
      <c r="E8" s="60">
        <v>84073</v>
      </c>
      <c r="F8" s="60">
        <v>91849</v>
      </c>
      <c r="G8" s="60">
        <v>103867</v>
      </c>
      <c r="H8" s="60">
        <v>290311</v>
      </c>
      <c r="I8" s="60">
        <v>570100</v>
      </c>
      <c r="J8" s="60">
        <v>121866</v>
      </c>
      <c r="K8" s="61">
        <v>123909</v>
      </c>
      <c r="L8" s="61">
        <v>106945</v>
      </c>
      <c r="M8" s="61">
        <v>115888</v>
      </c>
      <c r="N8" s="61">
        <v>468608</v>
      </c>
      <c r="O8" s="61">
        <v>116140</v>
      </c>
      <c r="P8" s="61">
        <v>114743</v>
      </c>
      <c r="Q8" s="61">
        <v>120067</v>
      </c>
      <c r="R8" s="61">
        <v>139270</v>
      </c>
      <c r="S8" s="61">
        <v>490220</v>
      </c>
      <c r="T8" s="61">
        <v>149311</v>
      </c>
      <c r="U8" s="61">
        <v>154966</v>
      </c>
      <c r="V8" s="61">
        <v>149968</v>
      </c>
      <c r="W8" s="60">
        <v>151600</v>
      </c>
      <c r="X8" s="60">
        <v>605845</v>
      </c>
      <c r="Y8" s="61">
        <v>192746.7739</v>
      </c>
      <c r="Z8" s="61">
        <v>188944.63883000001</v>
      </c>
      <c r="AA8" s="61">
        <v>189365.71382999999</v>
      </c>
      <c r="AB8" s="61">
        <v>192913.27191999997</v>
      </c>
      <c r="AC8" s="61">
        <v>763970.39847999997</v>
      </c>
      <c r="AD8" s="61">
        <v>190759.88217</v>
      </c>
      <c r="AE8" s="61">
        <v>181770.22641</v>
      </c>
      <c r="AF8" s="61">
        <v>170984.05486000003</v>
      </c>
      <c r="AG8" s="61">
        <v>165403.88617999991</v>
      </c>
      <c r="AH8" s="61">
        <v>708918.04961999995</v>
      </c>
      <c r="AI8" s="61">
        <v>159910.02188000001</v>
      </c>
      <c r="AJ8" s="61">
        <v>160710</v>
      </c>
      <c r="AK8" s="61">
        <v>161704</v>
      </c>
      <c r="AL8" s="61">
        <v>166424</v>
      </c>
      <c r="AM8" s="61">
        <v>648748</v>
      </c>
      <c r="AN8" s="61">
        <v>172676</v>
      </c>
      <c r="AO8" s="61">
        <v>171174</v>
      </c>
      <c r="AP8" s="61">
        <v>164242</v>
      </c>
      <c r="AQ8" s="61">
        <v>166692</v>
      </c>
      <c r="AR8" s="61">
        <v>674784</v>
      </c>
      <c r="AS8" s="61">
        <v>166767</v>
      </c>
      <c r="AT8" s="61">
        <v>164862</v>
      </c>
      <c r="AU8" s="61">
        <v>149026.52254368301</v>
      </c>
      <c r="AV8" s="61">
        <v>159619.13042959984</v>
      </c>
      <c r="AW8" s="61">
        <v>640274.65297328285</v>
      </c>
      <c r="AX8" s="61">
        <v>159498.94081404991</v>
      </c>
      <c r="AY8" s="61">
        <v>157858.39510635019</v>
      </c>
      <c r="AZ8" s="61">
        <v>152856.20667109999</v>
      </c>
      <c r="BA8" s="61">
        <v>172066.0339820002</v>
      </c>
      <c r="BB8" s="61">
        <v>642280.0339820002</v>
      </c>
      <c r="BC8" s="61">
        <v>164848.16830197512</v>
      </c>
      <c r="BD8" s="61">
        <v>130644.09490397479</v>
      </c>
      <c r="BE8" s="61">
        <v>97098.961790025234</v>
      </c>
      <c r="BF8" s="61">
        <v>116956.37696402479</v>
      </c>
      <c r="BG8" s="61">
        <v>509547.60195999994</v>
      </c>
      <c r="BH8" s="61">
        <v>130236.13671722499</v>
      </c>
      <c r="BI8" s="61">
        <v>130898.1849327753</v>
      </c>
      <c r="BJ8" s="61">
        <v>134503.08668999982</v>
      </c>
      <c r="BK8" s="61">
        <v>140720.85897999999</v>
      </c>
      <c r="BL8" s="61">
        <v>548758.16283000004</v>
      </c>
      <c r="BM8" s="61">
        <v>157562.03528000001</v>
      </c>
      <c r="BN8" s="168">
        <v>150398.66563999999</v>
      </c>
      <c r="BO8" s="61">
        <v>92301.147030000022</v>
      </c>
      <c r="BP8" s="61">
        <v>0</v>
      </c>
      <c r="BQ8" s="168">
        <v>0</v>
      </c>
      <c r="BR8" s="61">
        <v>0</v>
      </c>
      <c r="BS8" s="61">
        <v>0</v>
      </c>
      <c r="BT8" s="61">
        <v>0</v>
      </c>
      <c r="BU8" s="61">
        <v>0</v>
      </c>
      <c r="BV8" s="168">
        <v>-9.0949470177292824E-13</v>
      </c>
      <c r="BW8" s="61">
        <v>0</v>
      </c>
      <c r="BX8" s="61">
        <v>0</v>
      </c>
      <c r="BY8" s="61">
        <v>0</v>
      </c>
      <c r="BZ8" s="61">
        <v>0</v>
      </c>
      <c r="CA8" s="61">
        <f>SUM(BW8:BZ8)</f>
        <v>0</v>
      </c>
      <c r="CB8" s="61">
        <v>-260.75426000000004</v>
      </c>
      <c r="CC8" s="61">
        <v>0</v>
      </c>
      <c r="CD8" s="61">
        <v>0</v>
      </c>
      <c r="CE8" s="61"/>
      <c r="CF8" s="61">
        <f t="shared" si="5"/>
        <v>-260.75426000000004</v>
      </c>
      <c r="CG8" s="61"/>
      <c r="CJ8" s="175"/>
      <c r="CK8" s="176"/>
    </row>
    <row r="9" spans="1:90">
      <c r="C9" s="62"/>
      <c r="D9" s="63"/>
      <c r="E9" s="63"/>
      <c r="F9" s="63"/>
      <c r="G9" s="63"/>
      <c r="H9" s="63"/>
      <c r="I9" s="63"/>
      <c r="J9" s="63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3"/>
      <c r="X9" s="63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169"/>
      <c r="BO9" s="64"/>
      <c r="BP9" s="64"/>
      <c r="BQ9" s="169"/>
      <c r="BR9" s="64"/>
      <c r="BS9" s="64"/>
      <c r="BT9" s="64"/>
      <c r="BU9" s="64"/>
      <c r="BV9" s="168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J9" s="175"/>
      <c r="CK9" s="176"/>
    </row>
    <row r="10" spans="1:90" s="65" customFormat="1">
      <c r="C10" s="56" t="str">
        <f>IF('Índice - Index'!$D$14="Português","Tributos sobre Receita","Taxes on sales")</f>
        <v>Tributos sobre Receita</v>
      </c>
      <c r="D10" s="58">
        <v>-530986</v>
      </c>
      <c r="E10" s="58">
        <v>-107832</v>
      </c>
      <c r="F10" s="58">
        <v>-152637</v>
      </c>
      <c r="G10" s="58">
        <v>-244103</v>
      </c>
      <c r="H10" s="58">
        <v>-307041</v>
      </c>
      <c r="I10" s="58">
        <v>-811613</v>
      </c>
      <c r="J10" s="58">
        <v>-136327</v>
      </c>
      <c r="K10" s="57">
        <v>-185775</v>
      </c>
      <c r="L10" s="57">
        <v>-163685</v>
      </c>
      <c r="M10" s="57">
        <v>-244462</v>
      </c>
      <c r="N10" s="57">
        <v>-730249</v>
      </c>
      <c r="O10" s="57">
        <v>-148231</v>
      </c>
      <c r="P10" s="57">
        <v>-211602</v>
      </c>
      <c r="Q10" s="57">
        <v>-212529</v>
      </c>
      <c r="R10" s="57">
        <v>-294424</v>
      </c>
      <c r="S10" s="57">
        <v>-866786</v>
      </c>
      <c r="T10" s="57">
        <v>-178948</v>
      </c>
      <c r="U10" s="57">
        <v>-233266</v>
      </c>
      <c r="V10" s="57">
        <v>-225998</v>
      </c>
      <c r="W10" s="58">
        <v>-336232</v>
      </c>
      <c r="X10" s="58">
        <v>-977823</v>
      </c>
      <c r="Y10" s="57">
        <v>-198913.77932</v>
      </c>
      <c r="Z10" s="57">
        <v>-255086.01591999998</v>
      </c>
      <c r="AA10" s="57">
        <v>-240880.36467000001</v>
      </c>
      <c r="AB10" s="57">
        <v>-339610.71147999982</v>
      </c>
      <c r="AC10" s="57">
        <v>-1034490.8713899999</v>
      </c>
      <c r="AD10" s="57">
        <v>-195043.05695999999</v>
      </c>
      <c r="AE10" s="57">
        <v>-240695.90442999997</v>
      </c>
      <c r="AF10" s="57">
        <v>-233118.86385000008</v>
      </c>
      <c r="AG10" s="57">
        <v>-305559.22438000003</v>
      </c>
      <c r="AH10" s="57">
        <v>-974417.04961999995</v>
      </c>
      <c r="AI10" s="57">
        <v>-172777.38653999998</v>
      </c>
      <c r="AJ10" s="57">
        <v>-235955</v>
      </c>
      <c r="AK10" s="57">
        <v>-180429</v>
      </c>
      <c r="AL10" s="57">
        <v>-257980</v>
      </c>
      <c r="AM10" s="57">
        <v>-847141</v>
      </c>
      <c r="AN10" s="57">
        <v>-162699</v>
      </c>
      <c r="AO10" s="57">
        <v>-194294</v>
      </c>
      <c r="AP10" s="57">
        <v>-197988</v>
      </c>
      <c r="AQ10" s="57">
        <v>-238985</v>
      </c>
      <c r="AR10" s="57">
        <v>-793966</v>
      </c>
      <c r="AS10" s="57">
        <v>-155736</v>
      </c>
      <c r="AT10" s="57">
        <v>-189417</v>
      </c>
      <c r="AU10" s="57">
        <v>-188672</v>
      </c>
      <c r="AV10" s="57">
        <v>-248524</v>
      </c>
      <c r="AW10" s="57">
        <v>-782349</v>
      </c>
      <c r="AX10" s="57">
        <v>-165579.53495000003</v>
      </c>
      <c r="AY10" s="57">
        <v>-194291.40417000002</v>
      </c>
      <c r="AZ10" s="57">
        <v>-198515.81858999998</v>
      </c>
      <c r="BA10" s="57">
        <v>-218648.56096000003</v>
      </c>
      <c r="BB10" s="57">
        <v>-777035.31867000007</v>
      </c>
      <c r="BC10" s="57">
        <v>-152073.46838000001</v>
      </c>
      <c r="BD10" s="57">
        <v>-48874.028369999964</v>
      </c>
      <c r="BE10" s="57">
        <v>-157553.48957999999</v>
      </c>
      <c r="BF10" s="57">
        <v>-231834.00826999979</v>
      </c>
      <c r="BG10" s="57">
        <v>-590334.99459999986</v>
      </c>
      <c r="BH10" s="57">
        <v>-105280.51559000002</v>
      </c>
      <c r="BI10" s="57">
        <v>-182486.09191000002</v>
      </c>
      <c r="BJ10" s="57">
        <v>-191125.46028999996</v>
      </c>
      <c r="BK10" s="57">
        <v>-252391.79642</v>
      </c>
      <c r="BL10" s="57">
        <v>-731283.77229999984</v>
      </c>
      <c r="BM10" s="57">
        <v>-160636.67324</v>
      </c>
      <c r="BN10" s="164">
        <v>-216249.45269000003</v>
      </c>
      <c r="BO10" s="57">
        <v>-183213.10541999992</v>
      </c>
      <c r="BP10" s="57">
        <v>-249423.14391000004</v>
      </c>
      <c r="BQ10" s="164">
        <v>-795330.05013999995</v>
      </c>
      <c r="BR10" s="57">
        <v>-153919.27124</v>
      </c>
      <c r="BS10" s="57">
        <v>-164692.56576999999</v>
      </c>
      <c r="BT10" s="57">
        <v>-92548.557909999989</v>
      </c>
      <c r="BU10" s="57">
        <v>-148126.42085000002</v>
      </c>
      <c r="BV10" s="164">
        <v>-559286.81576999999</v>
      </c>
      <c r="BW10" s="57">
        <v>-92779.102140000003</v>
      </c>
      <c r="BX10" s="57">
        <v>-117876.81412</v>
      </c>
      <c r="BY10" s="57">
        <v>-130674.39739000003</v>
      </c>
      <c r="BZ10" s="57">
        <f>SUM(BZ11:BZ13)</f>
        <v>-176711.47031</v>
      </c>
      <c r="CA10" s="57">
        <f>SUM(CA11:CA13)</f>
        <v>-518051.52996999997</v>
      </c>
      <c r="CB10" s="57">
        <f>SUM(CB11:CB13)</f>
        <v>-109138.13671000004</v>
      </c>
      <c r="CC10" s="57">
        <f>SUM(CC11:CC13)</f>
        <v>-143806.48210000002</v>
      </c>
      <c r="CD10" s="57">
        <f>SUM(CD11:CD13)</f>
        <v>-119268.59684000001</v>
      </c>
      <c r="CE10" s="57">
        <f>CE16-CE5</f>
        <v>-165849</v>
      </c>
      <c r="CF10" s="57">
        <f t="shared" ref="CF10" si="6">CF16-CF5</f>
        <v>-538062.34389999975</v>
      </c>
      <c r="CJ10" s="175"/>
      <c r="CK10" s="176"/>
    </row>
    <row r="11" spans="1:90" s="65" customFormat="1" outlineLevel="1">
      <c r="C11" s="59" t="s">
        <v>41</v>
      </c>
      <c r="D11" s="196"/>
      <c r="E11" s="196"/>
      <c r="F11" s="196"/>
      <c r="G11" s="196"/>
      <c r="H11" s="196"/>
      <c r="I11" s="196"/>
      <c r="J11" s="196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6"/>
      <c r="X11" s="196"/>
      <c r="Y11" s="193"/>
      <c r="Z11" s="193"/>
      <c r="AA11" s="193"/>
      <c r="AB11" s="193"/>
      <c r="AC11" s="193"/>
      <c r="AD11" s="193"/>
      <c r="AE11" s="193"/>
      <c r="AF11" s="193"/>
      <c r="AG11" s="193"/>
      <c r="AH11" s="193"/>
      <c r="AI11" s="193"/>
      <c r="AJ11" s="193"/>
      <c r="AK11" s="193"/>
      <c r="AL11" s="193"/>
      <c r="AM11" s="193"/>
      <c r="AN11" s="193"/>
      <c r="AO11" s="193"/>
      <c r="AP11" s="193"/>
      <c r="AQ11" s="193"/>
      <c r="AR11" s="193"/>
      <c r="AS11" s="193"/>
      <c r="AT11" s="193"/>
      <c r="AU11" s="193"/>
      <c r="AV11" s="193"/>
      <c r="AW11" s="193"/>
      <c r="AX11" s="193"/>
      <c r="AY11" s="193"/>
      <c r="AZ11" s="193"/>
      <c r="BA11" s="193"/>
      <c r="BB11" s="193"/>
      <c r="BC11" s="193"/>
      <c r="BD11" s="193"/>
      <c r="BE11" s="193"/>
      <c r="BF11" s="193"/>
      <c r="BG11" s="193"/>
      <c r="BH11" s="193"/>
      <c r="BI11" s="193"/>
      <c r="BJ11" s="193"/>
      <c r="BK11" s="193"/>
      <c r="BL11" s="193"/>
      <c r="BM11" s="193"/>
      <c r="BN11" s="194"/>
      <c r="BO11" s="193"/>
      <c r="BP11" s="193"/>
      <c r="BQ11" s="194"/>
      <c r="BR11" s="193"/>
      <c r="BS11" s="193"/>
      <c r="BT11" s="193"/>
      <c r="BU11" s="193"/>
      <c r="BV11" s="194"/>
      <c r="BW11" s="193">
        <v>-92397</v>
      </c>
      <c r="BX11" s="193">
        <v>-117579</v>
      </c>
      <c r="BY11" s="193">
        <v>-130300</v>
      </c>
      <c r="BZ11" s="193">
        <v>-175243.21644000002</v>
      </c>
      <c r="CA11" s="244">
        <f t="shared" ref="CA11:CA12" si="7">SUM(BW11:BZ11)</f>
        <v>-515519.21643999999</v>
      </c>
      <c r="CB11" s="244">
        <v>-108402.90375000003</v>
      </c>
      <c r="CC11" s="244">
        <v>-143284.66496000002</v>
      </c>
      <c r="CD11" s="244">
        <v>-118729.00721000001</v>
      </c>
      <c r="CE11" s="244">
        <f>CE10-SUM(CE12:CE13)</f>
        <v>-164539.33635</v>
      </c>
      <c r="CF11" s="244">
        <f>CF10-SUM(CF12:CF13)</f>
        <v>-536752.68024999974</v>
      </c>
      <c r="CJ11" s="175"/>
      <c r="CK11" s="176"/>
    </row>
    <row r="12" spans="1:90" s="65" customFormat="1" outlineLevel="1">
      <c r="C12" s="59" t="s">
        <v>42</v>
      </c>
      <c r="D12" s="196"/>
      <c r="E12" s="196"/>
      <c r="F12" s="196"/>
      <c r="G12" s="196"/>
      <c r="H12" s="196"/>
      <c r="I12" s="196"/>
      <c r="J12" s="196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6"/>
      <c r="X12" s="196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93"/>
      <c r="AQ12" s="193"/>
      <c r="AR12" s="193"/>
      <c r="AS12" s="193"/>
      <c r="AT12" s="193"/>
      <c r="AU12" s="193"/>
      <c r="AV12" s="193"/>
      <c r="AW12" s="193"/>
      <c r="AX12" s="193"/>
      <c r="AY12" s="193"/>
      <c r="AZ12" s="193"/>
      <c r="BA12" s="193"/>
      <c r="BB12" s="193"/>
      <c r="BC12" s="193"/>
      <c r="BD12" s="193"/>
      <c r="BE12" s="193"/>
      <c r="BF12" s="193"/>
      <c r="BG12" s="193"/>
      <c r="BH12" s="193"/>
      <c r="BI12" s="193"/>
      <c r="BJ12" s="193"/>
      <c r="BK12" s="193"/>
      <c r="BL12" s="193"/>
      <c r="BM12" s="193"/>
      <c r="BN12" s="194"/>
      <c r="BO12" s="193"/>
      <c r="BP12" s="193"/>
      <c r="BQ12" s="194"/>
      <c r="BR12" s="193"/>
      <c r="BS12" s="193"/>
      <c r="BT12" s="193"/>
      <c r="BU12" s="193"/>
      <c r="BV12" s="194"/>
      <c r="BW12" s="193">
        <v>-382</v>
      </c>
      <c r="BX12" s="193">
        <v>-298</v>
      </c>
      <c r="BY12" s="193">
        <f>BY18-BY7</f>
        <v>-384.05965999999989</v>
      </c>
      <c r="BZ12" s="193">
        <v>-1468.2538700000002</v>
      </c>
      <c r="CA12" s="244">
        <f t="shared" si="7"/>
        <v>-2532.3135300000004</v>
      </c>
      <c r="CB12" s="244">
        <v>-707.30246000000011</v>
      </c>
      <c r="CC12" s="244">
        <v>-516.39598000000001</v>
      </c>
      <c r="CD12" s="244">
        <v>-535.58124999999995</v>
      </c>
      <c r="CE12" s="244">
        <v>-1201.0760700000001</v>
      </c>
      <c r="CF12" s="244">
        <v>-1201.0760700000001</v>
      </c>
      <c r="CJ12" s="175"/>
      <c r="CK12" s="176"/>
    </row>
    <row r="13" spans="1:90" s="65" customFormat="1" outlineLevel="1">
      <c r="C13" s="59" t="s">
        <v>43</v>
      </c>
      <c r="D13" s="196"/>
      <c r="E13" s="196"/>
      <c r="F13" s="196"/>
      <c r="G13" s="196"/>
      <c r="H13" s="196"/>
      <c r="I13" s="196"/>
      <c r="J13" s="196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6"/>
      <c r="X13" s="196"/>
      <c r="Y13" s="193"/>
      <c r="Z13" s="193"/>
      <c r="AA13" s="193"/>
      <c r="AB13" s="193"/>
      <c r="AC13" s="193"/>
      <c r="AD13" s="193"/>
      <c r="AE13" s="193"/>
      <c r="AF13" s="193"/>
      <c r="AG13" s="193"/>
      <c r="AH13" s="193"/>
      <c r="AI13" s="193"/>
      <c r="AJ13" s="193"/>
      <c r="AK13" s="193"/>
      <c r="AL13" s="193"/>
      <c r="AM13" s="193"/>
      <c r="AN13" s="193"/>
      <c r="AO13" s="193"/>
      <c r="AP13" s="193"/>
      <c r="AQ13" s="193"/>
      <c r="AR13" s="193"/>
      <c r="AS13" s="193"/>
      <c r="AT13" s="193"/>
      <c r="AU13" s="193"/>
      <c r="AV13" s="193"/>
      <c r="AW13" s="193"/>
      <c r="AX13" s="193"/>
      <c r="AY13" s="193"/>
      <c r="AZ13" s="193"/>
      <c r="BA13" s="193"/>
      <c r="BB13" s="193"/>
      <c r="BC13" s="193"/>
      <c r="BD13" s="193"/>
      <c r="BE13" s="193"/>
      <c r="BF13" s="193"/>
      <c r="BG13" s="193"/>
      <c r="BH13" s="193"/>
      <c r="BI13" s="193"/>
      <c r="BJ13" s="193"/>
      <c r="BK13" s="193"/>
      <c r="BL13" s="193"/>
      <c r="BM13" s="193"/>
      <c r="BN13" s="194"/>
      <c r="BO13" s="193"/>
      <c r="BP13" s="193"/>
      <c r="BQ13" s="194"/>
      <c r="BR13" s="193"/>
      <c r="BS13" s="193"/>
      <c r="BT13" s="193"/>
      <c r="BU13" s="193"/>
      <c r="BV13" s="194"/>
      <c r="BW13" s="193"/>
      <c r="BX13" s="193"/>
      <c r="BY13" s="193"/>
      <c r="BZ13" s="193">
        <v>0</v>
      </c>
      <c r="CA13" s="244">
        <v>0</v>
      </c>
      <c r="CB13" s="244">
        <v>-27.930500000000006</v>
      </c>
      <c r="CC13" s="244">
        <v>-5.4211599999999969</v>
      </c>
      <c r="CD13" s="244">
        <v>-4.0083800000000007</v>
      </c>
      <c r="CE13" s="244">
        <v>-108.58757999999999</v>
      </c>
      <c r="CF13" s="244">
        <v>-108.58757999999999</v>
      </c>
      <c r="CJ13" s="175"/>
      <c r="CK13" s="176"/>
    </row>
    <row r="14" spans="1:90" s="65" customFormat="1">
      <c r="C14" s="195"/>
      <c r="D14" s="196"/>
      <c r="E14" s="196"/>
      <c r="F14" s="196"/>
      <c r="G14" s="196"/>
      <c r="H14" s="196"/>
      <c r="I14" s="196"/>
      <c r="J14" s="196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6"/>
      <c r="X14" s="196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193"/>
      <c r="AR14" s="193"/>
      <c r="AS14" s="193"/>
      <c r="AT14" s="193"/>
      <c r="AU14" s="193"/>
      <c r="AV14" s="193"/>
      <c r="AW14" s="193"/>
      <c r="AX14" s="193"/>
      <c r="AY14" s="193"/>
      <c r="AZ14" s="193"/>
      <c r="BA14" s="193"/>
      <c r="BB14" s="193"/>
      <c r="BC14" s="193"/>
      <c r="BD14" s="193"/>
      <c r="BE14" s="193"/>
      <c r="BF14" s="193"/>
      <c r="BG14" s="193"/>
      <c r="BH14" s="193"/>
      <c r="BI14" s="193"/>
      <c r="BJ14" s="193"/>
      <c r="BK14" s="193"/>
      <c r="BL14" s="193"/>
      <c r="BM14" s="193"/>
      <c r="BN14" s="194"/>
      <c r="BO14" s="193"/>
      <c r="BP14" s="193"/>
      <c r="BQ14" s="194"/>
      <c r="BR14" s="193"/>
      <c r="BS14" s="193"/>
      <c r="BT14" s="193"/>
      <c r="BU14" s="193"/>
      <c r="BV14" s="194"/>
      <c r="BW14" s="193"/>
      <c r="BX14" s="193"/>
      <c r="BY14" s="193"/>
      <c r="BZ14" s="193"/>
      <c r="CA14" s="193"/>
      <c r="CB14" s="193"/>
      <c r="CC14" s="193"/>
      <c r="CD14" s="193"/>
      <c r="CJ14" s="175"/>
      <c r="CK14" s="176"/>
    </row>
    <row r="15" spans="1:90">
      <c r="C15" s="62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3"/>
      <c r="X15" s="63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136"/>
      <c r="AJ15" s="136"/>
      <c r="AK15" s="136"/>
      <c r="AL15" s="136"/>
      <c r="AM15" s="136"/>
      <c r="AN15" s="136"/>
      <c r="AO15" s="136"/>
      <c r="AP15" s="136"/>
      <c r="AQ15" s="136"/>
      <c r="AR15" s="136"/>
      <c r="AS15" s="136"/>
      <c r="AT15" s="136"/>
      <c r="AU15" s="136"/>
      <c r="AV15" s="136"/>
      <c r="AW15" s="136"/>
      <c r="AX15" s="136"/>
      <c r="AY15" s="136"/>
      <c r="AZ15" s="136"/>
      <c r="BA15" s="136"/>
      <c r="BB15" s="136"/>
      <c r="BC15" s="136"/>
      <c r="BD15" s="136"/>
      <c r="BE15" s="136"/>
      <c r="BF15" s="136"/>
      <c r="BG15" s="136"/>
      <c r="BH15" s="136"/>
      <c r="BI15" s="136"/>
      <c r="BJ15" s="136"/>
      <c r="BK15" s="136"/>
      <c r="BL15" s="136"/>
      <c r="BM15" s="136"/>
      <c r="BN15" s="184"/>
      <c r="BO15" s="136"/>
      <c r="BP15" s="136"/>
      <c r="BQ15" s="184"/>
      <c r="BR15" s="136"/>
      <c r="BS15" s="136"/>
      <c r="BT15" s="136"/>
      <c r="BU15" s="136"/>
      <c r="BV15" s="184"/>
      <c r="BW15" s="136"/>
      <c r="BX15" s="136"/>
      <c r="BY15" s="136"/>
      <c r="BZ15" s="136"/>
      <c r="CA15" s="136"/>
      <c r="CB15" s="136"/>
      <c r="CC15" s="136"/>
      <c r="CD15" s="136"/>
      <c r="CE15" s="144"/>
      <c r="CJ15" s="177"/>
      <c r="CK15" s="178"/>
    </row>
    <row r="16" spans="1:90">
      <c r="C16" s="56" t="str">
        <f>IF('Índice - Index'!$D$14="Português","RECEITA LIQUIDA","NET REVENUE")</f>
        <v>RECEITA LIQUIDA</v>
      </c>
      <c r="D16" s="57">
        <v>1755743</v>
      </c>
      <c r="E16" s="57">
        <f t="shared" ref="E16:N16" si="8">SUM(E17:E20)</f>
        <v>377997</v>
      </c>
      <c r="F16" s="57">
        <f t="shared" si="8"/>
        <v>506756</v>
      </c>
      <c r="G16" s="57">
        <f t="shared" si="8"/>
        <v>483678</v>
      </c>
      <c r="H16" s="57">
        <f t="shared" si="8"/>
        <v>707252</v>
      </c>
      <c r="I16" s="57">
        <f t="shared" si="8"/>
        <v>2075683</v>
      </c>
      <c r="J16" s="57">
        <f t="shared" si="8"/>
        <v>494093</v>
      </c>
      <c r="K16" s="57">
        <f t="shared" si="8"/>
        <v>632752</v>
      </c>
      <c r="L16" s="57">
        <f t="shared" si="8"/>
        <v>558274</v>
      </c>
      <c r="M16" s="57">
        <f t="shared" si="8"/>
        <v>765196</v>
      </c>
      <c r="N16" s="57">
        <f t="shared" si="8"/>
        <v>2450315</v>
      </c>
      <c r="O16" s="57">
        <f t="shared" ref="O16:X16" si="9">SUM(O17:O20)</f>
        <v>519935</v>
      </c>
      <c r="P16" s="57">
        <f t="shared" si="9"/>
        <v>698687</v>
      </c>
      <c r="Q16" s="57">
        <f t="shared" si="9"/>
        <v>729932</v>
      </c>
      <c r="R16" s="57">
        <f t="shared" si="9"/>
        <v>934059</v>
      </c>
      <c r="S16" s="57">
        <f t="shared" si="9"/>
        <v>2877388</v>
      </c>
      <c r="T16" s="57">
        <f t="shared" si="9"/>
        <v>628658</v>
      </c>
      <c r="U16" s="57">
        <f t="shared" si="9"/>
        <v>744610</v>
      </c>
      <c r="V16" s="57">
        <f t="shared" si="9"/>
        <v>722526</v>
      </c>
      <c r="W16" s="58">
        <f t="shared" si="9"/>
        <v>999596</v>
      </c>
      <c r="X16" s="58">
        <f t="shared" si="9"/>
        <v>3092011</v>
      </c>
      <c r="Y16" s="57">
        <v>697825</v>
      </c>
      <c r="Z16" s="57">
        <v>812549</v>
      </c>
      <c r="AA16" s="57">
        <v>776852</v>
      </c>
      <c r="AB16" s="57">
        <v>1057367</v>
      </c>
      <c r="AC16" s="57">
        <v>3344593</v>
      </c>
      <c r="AD16" s="57">
        <v>679918</v>
      </c>
      <c r="AE16" s="57">
        <v>789366</v>
      </c>
      <c r="AF16" s="57">
        <v>747225</v>
      </c>
      <c r="AG16" s="57">
        <v>948397</v>
      </c>
      <c r="AH16" s="57">
        <v>3164906</v>
      </c>
      <c r="AI16" s="57">
        <v>608487</v>
      </c>
      <c r="AJ16" s="57">
        <v>781404</v>
      </c>
      <c r="AK16" s="57">
        <v>629215</v>
      </c>
      <c r="AL16" s="57">
        <v>833679</v>
      </c>
      <c r="AM16" s="57">
        <v>2852785</v>
      </c>
      <c r="AN16" s="57">
        <v>615430</v>
      </c>
      <c r="AO16" s="57">
        <v>711689</v>
      </c>
      <c r="AP16" s="57">
        <v>712891</v>
      </c>
      <c r="AQ16" s="57">
        <v>835567</v>
      </c>
      <c r="AR16" s="57">
        <v>2875577</v>
      </c>
      <c r="AS16" s="57">
        <v>588645</v>
      </c>
      <c r="AT16" s="57">
        <v>689814</v>
      </c>
      <c r="AU16" s="57">
        <v>686806</v>
      </c>
      <c r="AV16" s="57">
        <v>801033.99999999977</v>
      </c>
      <c r="AW16" s="57">
        <v>2766299</v>
      </c>
      <c r="AX16" s="57">
        <v>604614.8567799998</v>
      </c>
      <c r="AY16" s="57">
        <v>690228.20447999972</v>
      </c>
      <c r="AZ16" s="57">
        <v>697479.80037000007</v>
      </c>
      <c r="BA16" s="57">
        <v>899777.40881000028</v>
      </c>
      <c r="BB16" s="57">
        <v>2892100.6511000004</v>
      </c>
      <c r="BC16" s="57">
        <v>571775.49601000024</v>
      </c>
      <c r="BD16" s="57">
        <v>282110.88998999994</v>
      </c>
      <c r="BE16" s="57">
        <v>540479.5335299999</v>
      </c>
      <c r="BF16" s="57">
        <v>769266.08099999989</v>
      </c>
      <c r="BG16" s="57">
        <v>2163632.0005299998</v>
      </c>
      <c r="BH16" s="57">
        <v>415433.86166000011</v>
      </c>
      <c r="BI16" s="57">
        <f>SUM(BI17:BI19)</f>
        <v>611101.39415999991</v>
      </c>
      <c r="BJ16" s="57">
        <f>SUM(BJ17:BJ19)</f>
        <v>655875.6092699999</v>
      </c>
      <c r="BK16" s="57">
        <f>SUM(BK17:BK19)</f>
        <v>843810.32621999993</v>
      </c>
      <c r="BL16" s="57">
        <f>BL19+BL17</f>
        <v>2526221.1913099997</v>
      </c>
      <c r="BM16" s="57">
        <f t="shared" ref="BM16:BV16" si="10">SUM(BM17:BM19)</f>
        <v>582607.69122000004</v>
      </c>
      <c r="BN16" s="164">
        <f t="shared" si="10"/>
        <v>740410.52433999989</v>
      </c>
      <c r="BO16" s="57">
        <f t="shared" si="10"/>
        <v>634784.65042000019</v>
      </c>
      <c r="BP16" s="57">
        <f t="shared" si="10"/>
        <v>738725.26939999976</v>
      </c>
      <c r="BQ16" s="164">
        <f t="shared" si="10"/>
        <v>2420514.8390199998</v>
      </c>
      <c r="BR16" s="57">
        <f t="shared" si="10"/>
        <v>490076.52431000001</v>
      </c>
      <c r="BS16" s="57">
        <f t="shared" si="10"/>
        <v>485723.26843000023</v>
      </c>
      <c r="BT16" s="57">
        <f t="shared" si="10"/>
        <v>225928.4789999999</v>
      </c>
      <c r="BU16" s="57">
        <f t="shared" si="10"/>
        <v>417413.41678000044</v>
      </c>
      <c r="BV16" s="164">
        <f t="shared" si="10"/>
        <v>1656750.5044900004</v>
      </c>
      <c r="BW16" s="57">
        <f t="shared" ref="BW16:BX16" si="11">SUM(BW17:BW19)</f>
        <v>252692.99474000002</v>
      </c>
      <c r="BX16" s="57">
        <f t="shared" si="11"/>
        <v>320528.29087999999</v>
      </c>
      <c r="BY16" s="57">
        <f>SUM(BY17:BY19)</f>
        <v>349767.99999999994</v>
      </c>
      <c r="BZ16" s="57">
        <v>468360</v>
      </c>
      <c r="CA16" s="57">
        <f>CA5+CA10</f>
        <v>1391339.7477399996</v>
      </c>
      <c r="CB16" s="57">
        <f>CB5+CB10</f>
        <v>297901.83683999989</v>
      </c>
      <c r="CC16" s="57">
        <f>CC5+CC10</f>
        <v>394481.63610999996</v>
      </c>
      <c r="CD16" s="57">
        <f>CD5+CD10</f>
        <v>332751.65529999987</v>
      </c>
      <c r="CE16" s="57">
        <v>458090</v>
      </c>
      <c r="CF16" s="57">
        <v>1483225</v>
      </c>
      <c r="CK16" s="175"/>
      <c r="CL16" s="176"/>
    </row>
    <row r="17" spans="3:90">
      <c r="C17" s="59" t="str">
        <f>IF('Índice - Index'!$D$14="Português","Varejo - Receita Líquida","Retail - Net Revenue")</f>
        <v>Varejo - Receita Líquida</v>
      </c>
      <c r="D17" s="61">
        <v>1434559</v>
      </c>
      <c r="E17" s="61">
        <v>295843</v>
      </c>
      <c r="F17" s="61">
        <v>417122</v>
      </c>
      <c r="G17" s="61">
        <v>388848</v>
      </c>
      <c r="H17" s="61">
        <v>600950</v>
      </c>
      <c r="I17" s="61">
        <v>1702763</v>
      </c>
      <c r="J17" s="61">
        <v>374377</v>
      </c>
      <c r="K17" s="61">
        <v>511241</v>
      </c>
      <c r="L17" s="61">
        <v>453589</v>
      </c>
      <c r="M17" s="61">
        <v>651056</v>
      </c>
      <c r="N17" s="61">
        <v>1990263</v>
      </c>
      <c r="O17" s="61">
        <v>405933</v>
      </c>
      <c r="P17" s="61">
        <v>581432</v>
      </c>
      <c r="Q17" s="61">
        <v>612887</v>
      </c>
      <c r="R17" s="61">
        <v>798684</v>
      </c>
      <c r="S17" s="61">
        <v>2398936</v>
      </c>
      <c r="T17" s="61">
        <v>483734</v>
      </c>
      <c r="U17" s="61">
        <v>594526</v>
      </c>
      <c r="V17" s="61">
        <v>577665</v>
      </c>
      <c r="W17" s="61">
        <v>859085</v>
      </c>
      <c r="X17" s="61">
        <v>2515010</v>
      </c>
      <c r="Y17" s="61">
        <v>510252</v>
      </c>
      <c r="Z17" s="61">
        <v>629528</v>
      </c>
      <c r="AA17" s="61">
        <v>592862</v>
      </c>
      <c r="AB17" s="61">
        <v>870224</v>
      </c>
      <c r="AC17" s="61">
        <v>2602866</v>
      </c>
      <c r="AD17" s="61">
        <v>494203</v>
      </c>
      <c r="AE17" s="61">
        <v>612980</v>
      </c>
      <c r="AF17" s="61">
        <v>584282</v>
      </c>
      <c r="AG17" s="61">
        <v>791064</v>
      </c>
      <c r="AH17" s="61">
        <v>2482530</v>
      </c>
      <c r="AI17" s="61">
        <v>454238</v>
      </c>
      <c r="AJ17" s="61">
        <v>624095</v>
      </c>
      <c r="AK17" s="61">
        <v>471962</v>
      </c>
      <c r="AL17" s="61">
        <v>673799</v>
      </c>
      <c r="AM17" s="61">
        <v>2224094</v>
      </c>
      <c r="AN17" s="61">
        <v>449478</v>
      </c>
      <c r="AO17" s="61">
        <v>547325</v>
      </c>
      <c r="AP17" s="61">
        <v>555891</v>
      </c>
      <c r="AQ17" s="61">
        <v>676274</v>
      </c>
      <c r="AR17" s="61">
        <v>2228968</v>
      </c>
      <c r="AS17" s="61">
        <v>429333</v>
      </c>
      <c r="AT17" s="61">
        <v>531971</v>
      </c>
      <c r="AU17" s="61">
        <v>540308.47745631705</v>
      </c>
      <c r="AV17" s="61">
        <v>661389.86957039987</v>
      </c>
      <c r="AW17" s="61">
        <v>2163002.3470267169</v>
      </c>
      <c r="AX17" s="61">
        <v>455238.82546595001</v>
      </c>
      <c r="AY17" s="61">
        <v>542001.4721936495</v>
      </c>
      <c r="AZ17" s="61">
        <v>550700.52541890007</v>
      </c>
      <c r="BA17" s="61">
        <v>707911.16459799977</v>
      </c>
      <c r="BB17" s="61">
        <v>2255852.1645979998</v>
      </c>
      <c r="BC17" s="61">
        <v>417008.2548180251</v>
      </c>
      <c r="BD17" s="61">
        <v>149088.45264602517</v>
      </c>
      <c r="BE17" s="61">
        <v>446617.3929999746</v>
      </c>
      <c r="BF17" s="61">
        <v>656809.46657597506</v>
      </c>
      <c r="BG17" s="61">
        <v>1669523.5670399999</v>
      </c>
      <c r="BH17" s="61">
        <v>290003.52068277512</v>
      </c>
      <c r="BI17" s="61">
        <v>492154.81233194988</v>
      </c>
      <c r="BJ17" s="61">
        <v>530108.95394114987</v>
      </c>
      <c r="BK17" s="61">
        <v>702168.76204534993</v>
      </c>
      <c r="BL17" s="61">
        <v>2014436.0490012248</v>
      </c>
      <c r="BM17" s="61">
        <v>434773.065706725</v>
      </c>
      <c r="BN17" s="168">
        <v>599257.54855739989</v>
      </c>
      <c r="BO17" s="61">
        <v>513353.95144000009</v>
      </c>
      <c r="BP17" s="61">
        <v>698179.39608797478</v>
      </c>
      <c r="BQ17" s="168">
        <v>2235385.9389436748</v>
      </c>
      <c r="BR17" s="61">
        <v>447246.19900999998</v>
      </c>
      <c r="BS17" s="61">
        <v>464552.36497000023</v>
      </c>
      <c r="BT17" s="61">
        <v>223896.0977999999</v>
      </c>
      <c r="BU17" s="61">
        <v>409384.39412000042</v>
      </c>
      <c r="BV17" s="168">
        <v>1579978.8059300005</v>
      </c>
      <c r="BW17" s="61">
        <v>248969.23827000003</v>
      </c>
      <c r="BX17" s="61">
        <v>317153.51107000001</v>
      </c>
      <c r="BY17" s="61">
        <v>346375.36948999995</v>
      </c>
      <c r="BZ17" s="61">
        <f>BZ6+BZ11</f>
        <v>468087.15352999966</v>
      </c>
      <c r="CA17" s="61">
        <f t="shared" ref="CA17:CA19" si="12">CA6+CA11</f>
        <v>1380575.8836299996</v>
      </c>
      <c r="CB17" s="61">
        <f>CB6+CB11</f>
        <v>293726.37600999989</v>
      </c>
      <c r="CC17" s="61">
        <f>CC6+CC11</f>
        <v>391176.64753000002</v>
      </c>
      <c r="CD17" s="61">
        <f>CD6+CD11</f>
        <v>329150.59604999988</v>
      </c>
      <c r="CE17" s="61">
        <f t="shared" ref="CE17:CF17" si="13">CE6+CE11</f>
        <v>453753.62170000002</v>
      </c>
      <c r="CF17" s="61">
        <f t="shared" si="13"/>
        <v>1466010.4733100003</v>
      </c>
      <c r="CL17" s="176"/>
    </row>
    <row r="18" spans="3:90">
      <c r="C18" s="59" t="str">
        <f>IF('Índice - Index'!$D$14="Português","Mserviços - Receita Líquida","Mserviços - Net Revenue")</f>
        <v>Mserviços - Receita Líquida</v>
      </c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168"/>
      <c r="BO18" s="61">
        <v>33724.335010000003</v>
      </c>
      <c r="BP18" s="61">
        <v>40545.873312024996</v>
      </c>
      <c r="BQ18" s="168">
        <v>185128.90007632499</v>
      </c>
      <c r="BR18" s="61">
        <v>42830.325299999997</v>
      </c>
      <c r="BS18" s="61">
        <v>21170.903459999998</v>
      </c>
      <c r="BT18" s="61">
        <v>2032.3811999999994</v>
      </c>
      <c r="BU18" s="61">
        <v>8029.0226600000024</v>
      </c>
      <c r="BV18" s="168">
        <v>76771.698560000004</v>
      </c>
      <c r="BW18" s="61">
        <v>3723.7564700000003</v>
      </c>
      <c r="BX18" s="61">
        <v>3374.7798100000009</v>
      </c>
      <c r="BY18" s="61">
        <v>3392.6305100000004</v>
      </c>
      <c r="BZ18" s="61">
        <f>BZ7+BZ12</f>
        <v>273.05459999999925</v>
      </c>
      <c r="CA18" s="61">
        <f t="shared" si="12"/>
        <v>10763.864110000002</v>
      </c>
      <c r="CB18" s="61">
        <f t="shared" ref="CB18:CC19" si="14">CB7+CB12</f>
        <v>4464.145590000001</v>
      </c>
      <c r="CC18" s="61">
        <f t="shared" ref="CC18:CD18" si="15">CC7+CC12</f>
        <v>3310.4097400000001</v>
      </c>
      <c r="CD18" s="61">
        <f t="shared" si="15"/>
        <v>3605.0676300000005</v>
      </c>
      <c r="CE18" s="61">
        <f t="shared" ref="CE18:CF18" si="16">CE7+CE12</f>
        <v>4444.9658799999988</v>
      </c>
      <c r="CF18" s="61">
        <f t="shared" si="16"/>
        <v>17583.868530000003</v>
      </c>
      <c r="CL18" s="176"/>
    </row>
    <row r="19" spans="3:90">
      <c r="C19" s="59" t="str">
        <f>IF('Índice - Index'!$D$14="Português","Mpagamentos - Receita Líquida","Mpagamentos - Net Revenue")</f>
        <v>Mpagamentos - Receita Líquida</v>
      </c>
      <c r="D19" s="61">
        <v>321184</v>
      </c>
      <c r="E19" s="61">
        <v>82154</v>
      </c>
      <c r="F19" s="61">
        <v>89634</v>
      </c>
      <c r="G19" s="61">
        <v>94830</v>
      </c>
      <c r="H19" s="61">
        <v>106302</v>
      </c>
      <c r="I19" s="61">
        <v>372920</v>
      </c>
      <c r="J19" s="61">
        <v>119716</v>
      </c>
      <c r="K19" s="61">
        <v>121511</v>
      </c>
      <c r="L19" s="61">
        <v>104685</v>
      </c>
      <c r="M19" s="61">
        <v>114140</v>
      </c>
      <c r="N19" s="61">
        <v>460052</v>
      </c>
      <c r="O19" s="61">
        <v>114002</v>
      </c>
      <c r="P19" s="61">
        <v>117255</v>
      </c>
      <c r="Q19" s="61">
        <v>117045</v>
      </c>
      <c r="R19" s="61">
        <v>135375</v>
      </c>
      <c r="S19" s="61">
        <v>478452</v>
      </c>
      <c r="T19" s="61">
        <v>144924</v>
      </c>
      <c r="U19" s="61">
        <v>150084</v>
      </c>
      <c r="V19" s="61">
        <v>144861</v>
      </c>
      <c r="W19" s="61">
        <v>140511</v>
      </c>
      <c r="X19" s="61">
        <v>577001</v>
      </c>
      <c r="Y19" s="61">
        <v>187573</v>
      </c>
      <c r="Z19" s="61">
        <v>183021</v>
      </c>
      <c r="AA19" s="61">
        <v>183990</v>
      </c>
      <c r="AB19" s="61">
        <v>187143</v>
      </c>
      <c r="AC19" s="61">
        <v>741727</v>
      </c>
      <c r="AD19" s="61">
        <v>185715</v>
      </c>
      <c r="AE19" s="61">
        <v>176385</v>
      </c>
      <c r="AF19" s="61">
        <v>162943</v>
      </c>
      <c r="AG19" s="61">
        <v>157333</v>
      </c>
      <c r="AH19" s="61">
        <v>682376</v>
      </c>
      <c r="AI19" s="61">
        <v>154249</v>
      </c>
      <c r="AJ19" s="61">
        <v>157309</v>
      </c>
      <c r="AK19" s="61">
        <v>157253</v>
      </c>
      <c r="AL19" s="61">
        <v>159880</v>
      </c>
      <c r="AM19" s="61">
        <v>628691</v>
      </c>
      <c r="AN19" s="61">
        <v>165952</v>
      </c>
      <c r="AO19" s="61">
        <v>164364</v>
      </c>
      <c r="AP19" s="61">
        <v>157000</v>
      </c>
      <c r="AQ19" s="61">
        <v>159293</v>
      </c>
      <c r="AR19" s="61">
        <v>646609</v>
      </c>
      <c r="AS19" s="61">
        <v>159312</v>
      </c>
      <c r="AT19" s="61">
        <v>157843</v>
      </c>
      <c r="AU19" s="61">
        <v>146497.52254368301</v>
      </c>
      <c r="AV19" s="61">
        <v>139644.13042959984</v>
      </c>
      <c r="AW19" s="61">
        <v>603296.65297328285</v>
      </c>
      <c r="AX19" s="61">
        <v>149376.03131404991</v>
      </c>
      <c r="AY19" s="61">
        <v>148226.73228635016</v>
      </c>
      <c r="AZ19" s="61">
        <v>146779.2749511</v>
      </c>
      <c r="BA19" s="61">
        <v>191866.48650200013</v>
      </c>
      <c r="BB19" s="61">
        <v>636248.48650200013</v>
      </c>
      <c r="BC19" s="61">
        <v>154767.24119197513</v>
      </c>
      <c r="BD19" s="61">
        <v>133022.43734397477</v>
      </c>
      <c r="BE19" s="61">
        <v>93862.140530025237</v>
      </c>
      <c r="BF19" s="61">
        <v>112456.61442402482</v>
      </c>
      <c r="BG19" s="61">
        <v>494108.43348999997</v>
      </c>
      <c r="BH19" s="61">
        <v>125430.34097722499</v>
      </c>
      <c r="BI19" s="61">
        <v>118946.58182805008</v>
      </c>
      <c r="BJ19" s="61">
        <v>125766.65532885003</v>
      </c>
      <c r="BK19" s="61">
        <v>141641.56417465003</v>
      </c>
      <c r="BL19" s="61">
        <v>511785.1423087751</v>
      </c>
      <c r="BM19" s="61">
        <v>147834.62551327501</v>
      </c>
      <c r="BN19" s="168">
        <v>141152.9757826</v>
      </c>
      <c r="BO19" s="61">
        <v>87706.36397000002</v>
      </c>
      <c r="BP19" s="61">
        <v>0</v>
      </c>
      <c r="BQ19" s="168">
        <v>0</v>
      </c>
      <c r="BR19" s="61">
        <v>0</v>
      </c>
      <c r="BS19" s="61">
        <v>0</v>
      </c>
      <c r="BT19" s="61">
        <v>0</v>
      </c>
      <c r="BU19" s="61">
        <v>0</v>
      </c>
      <c r="BV19" s="168">
        <v>-9.0949470177292824E-13</v>
      </c>
      <c r="BW19" s="61">
        <v>0</v>
      </c>
      <c r="BX19" s="61">
        <v>0</v>
      </c>
      <c r="BY19" s="61">
        <v>0</v>
      </c>
      <c r="BZ19" s="61">
        <v>0</v>
      </c>
      <c r="CA19" s="61">
        <f t="shared" si="12"/>
        <v>0</v>
      </c>
      <c r="CB19" s="61">
        <f t="shared" si="14"/>
        <v>-288.68476000000004</v>
      </c>
      <c r="CC19" s="61">
        <f t="shared" si="14"/>
        <v>-5.4211599999999969</v>
      </c>
      <c r="CD19" s="61">
        <f t="shared" ref="CD19:CF19" si="17">CD8+CD13</f>
        <v>-4.0083800000000007</v>
      </c>
      <c r="CE19" s="61">
        <f t="shared" si="17"/>
        <v>-108.58757999999999</v>
      </c>
      <c r="CF19" s="61">
        <f t="shared" si="17"/>
        <v>-369.34184000000005</v>
      </c>
    </row>
    <row r="20" spans="3:90">
      <c r="C20" s="62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136"/>
      <c r="AJ20" s="136"/>
      <c r="AK20" s="136"/>
      <c r="AL20" s="136"/>
      <c r="AM20" s="136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169"/>
      <c r="BO20" s="64"/>
      <c r="BP20" s="64"/>
      <c r="BQ20" s="169"/>
      <c r="BR20" s="64"/>
      <c r="BS20" s="64"/>
      <c r="BT20" s="64"/>
      <c r="BU20" s="64"/>
      <c r="BV20" s="169"/>
      <c r="BW20" s="64"/>
      <c r="BX20" s="64"/>
      <c r="BY20" s="64"/>
      <c r="BZ20" s="64"/>
      <c r="CA20" s="64"/>
      <c r="CB20" s="64"/>
      <c r="CC20" s="64"/>
      <c r="CD20" s="64"/>
    </row>
    <row r="21" spans="3:90">
      <c r="C21" s="56" t="str">
        <f>IF('Índice - Index'!$D$14="Português","CPV","CoGS")</f>
        <v>CPV</v>
      </c>
      <c r="D21" s="57">
        <v>-936056</v>
      </c>
      <c r="E21" s="57">
        <f>SUM(E22:E25)</f>
        <v>-188274</v>
      </c>
      <c r="F21" s="57">
        <f>SUM(F22:F25)</f>
        <v>-239027</v>
      </c>
      <c r="G21" s="57">
        <f>SUM(G22:G25)</f>
        <v>-267272</v>
      </c>
      <c r="H21" s="57">
        <f>SUM(H22:H25)</f>
        <v>-344918</v>
      </c>
      <c r="I21" s="57">
        <f>SUM(I22:I25)</f>
        <v>-1039491</v>
      </c>
      <c r="J21" s="57">
        <f t="shared" ref="J21:X21" si="18">SUM(J22:J25)</f>
        <v>-245084</v>
      </c>
      <c r="K21" s="57">
        <f t="shared" si="18"/>
        <v>-309621</v>
      </c>
      <c r="L21" s="57">
        <f t="shared" si="18"/>
        <v>-289276</v>
      </c>
      <c r="M21" s="57">
        <f t="shared" si="18"/>
        <v>-399577</v>
      </c>
      <c r="N21" s="57">
        <f t="shared" si="18"/>
        <v>-1245181</v>
      </c>
      <c r="O21" s="57">
        <f t="shared" si="18"/>
        <v>-278651</v>
      </c>
      <c r="P21" s="57">
        <f t="shared" si="18"/>
        <v>-357068</v>
      </c>
      <c r="Q21" s="57">
        <f t="shared" si="18"/>
        <v>-381554</v>
      </c>
      <c r="R21" s="57">
        <f t="shared" si="18"/>
        <v>-455685</v>
      </c>
      <c r="S21" s="57">
        <f t="shared" si="18"/>
        <v>-1467733</v>
      </c>
      <c r="T21" s="57">
        <f t="shared" si="18"/>
        <v>-327461</v>
      </c>
      <c r="U21" s="57">
        <f t="shared" si="18"/>
        <v>-382374</v>
      </c>
      <c r="V21" s="57">
        <f t="shared" si="18"/>
        <v>-402398</v>
      </c>
      <c r="W21" s="58">
        <f t="shared" si="18"/>
        <v>-543275</v>
      </c>
      <c r="X21" s="58">
        <f t="shared" si="18"/>
        <v>-1644118</v>
      </c>
      <c r="Y21" s="57">
        <v>-364175.72669000004</v>
      </c>
      <c r="Z21" s="57">
        <v>-475239.10121999995</v>
      </c>
      <c r="AA21" s="57">
        <v>-473016.00792</v>
      </c>
      <c r="AB21" s="57">
        <v>-575996.17919000005</v>
      </c>
      <c r="AC21" s="57">
        <v>-1888427.01502</v>
      </c>
      <c r="AD21" s="57">
        <v>-365058</v>
      </c>
      <c r="AE21" s="57">
        <v>-455559</v>
      </c>
      <c r="AF21" s="57">
        <v>-436604</v>
      </c>
      <c r="AG21" s="57">
        <v>-530897</v>
      </c>
      <c r="AH21" s="57">
        <v>-1788118</v>
      </c>
      <c r="AI21" s="57">
        <v>-311838</v>
      </c>
      <c r="AJ21" s="57">
        <v>-448304</v>
      </c>
      <c r="AK21" s="57">
        <v>-339462</v>
      </c>
      <c r="AL21" s="57">
        <v>-440941</v>
      </c>
      <c r="AM21" s="57">
        <v>-1540545</v>
      </c>
      <c r="AN21" s="57">
        <v>-294954</v>
      </c>
      <c r="AO21" s="57">
        <v>-370253</v>
      </c>
      <c r="AP21" s="57">
        <v>-408660</v>
      </c>
      <c r="AQ21" s="57">
        <v>-426851</v>
      </c>
      <c r="AR21" s="57">
        <v>-1500718</v>
      </c>
      <c r="AS21" s="57">
        <v>-289493</v>
      </c>
      <c r="AT21" s="57">
        <v>-362286</v>
      </c>
      <c r="AU21" s="57">
        <v>-414034</v>
      </c>
      <c r="AV21" s="57">
        <v>-465629</v>
      </c>
      <c r="AW21" s="57">
        <v>-1531442</v>
      </c>
      <c r="AX21" s="57">
        <v>-299963.32002999994</v>
      </c>
      <c r="AY21" s="57">
        <v>-387252.24125000008</v>
      </c>
      <c r="AZ21" s="57">
        <v>-397552.61118000373</v>
      </c>
      <c r="BA21" s="57">
        <v>-466174.80893348483</v>
      </c>
      <c r="BB21" s="57">
        <v>-1550942.9813934886</v>
      </c>
      <c r="BC21" s="57">
        <v>-313466.81114000804</v>
      </c>
      <c r="BD21" s="57">
        <v>-224400.86113884451</v>
      </c>
      <c r="BE21" s="57">
        <v>-363075.1594021651</v>
      </c>
      <c r="BF21" s="57">
        <v>-441943.25283533003</v>
      </c>
      <c r="BG21" s="57">
        <v>-1342886.0845163476</v>
      </c>
      <c r="BH21" s="57">
        <v>-173386.16073366036</v>
      </c>
      <c r="BI21" s="57">
        <f>SUM(BI22:BI24)</f>
        <v>-355089.89205100015</v>
      </c>
      <c r="BJ21" s="57">
        <f>SUM(BJ22:BJ24)</f>
        <v>-358551.86853999982</v>
      </c>
      <c r="BK21" s="57">
        <f>SUM(BK22:BK24)</f>
        <v>-450246.77851899993</v>
      </c>
      <c r="BL21" s="57">
        <f>BL24+BL22</f>
        <v>-1337274.6998436602</v>
      </c>
      <c r="BM21" s="57">
        <f t="shared" ref="BM21:BV21" si="19">SUM(BM22:BM24)</f>
        <v>-329429.48234366038</v>
      </c>
      <c r="BN21" s="164">
        <f t="shared" si="19"/>
        <v>-421042.36811000004</v>
      </c>
      <c r="BO21" s="57">
        <f t="shared" si="19"/>
        <v>-363096.55540000013</v>
      </c>
      <c r="BP21" s="57">
        <f t="shared" si="19"/>
        <v>-383274.09559999988</v>
      </c>
      <c r="BQ21" s="164">
        <f t="shared" si="19"/>
        <v>-1260210.0556900003</v>
      </c>
      <c r="BR21" s="57">
        <f t="shared" si="19"/>
        <v>-270430.47762000002</v>
      </c>
      <c r="BS21" s="57">
        <f t="shared" si="19"/>
        <v>-262443.57355000003</v>
      </c>
      <c r="BT21" s="57">
        <f t="shared" si="19"/>
        <v>-130598.4789999999</v>
      </c>
      <c r="BU21" s="57">
        <f t="shared" si="19"/>
        <v>-194940.37897999992</v>
      </c>
      <c r="BV21" s="164">
        <f t="shared" si="19"/>
        <v>-858371.40223000001</v>
      </c>
      <c r="BW21" s="57">
        <f t="shared" ref="BW21:CD21" si="20">SUM(BW22:BW24)</f>
        <v>-133529.99915000002</v>
      </c>
      <c r="BX21" s="57">
        <f t="shared" si="20"/>
        <v>-157042.65768999993</v>
      </c>
      <c r="BY21" s="57">
        <f t="shared" si="20"/>
        <v>-187003.99999999994</v>
      </c>
      <c r="BZ21" s="57">
        <f t="shared" si="20"/>
        <v>-226881.88359999997</v>
      </c>
      <c r="CA21" s="57">
        <f t="shared" ref="CA21" si="21">SUM(CA22:CA24)</f>
        <v>-704458.5404399999</v>
      </c>
      <c r="CB21" s="57">
        <f t="shared" si="20"/>
        <v>-145690.20390000002</v>
      </c>
      <c r="CC21" s="57">
        <f t="shared" si="20"/>
        <v>-180764.93108999988</v>
      </c>
      <c r="CD21" s="57">
        <f t="shared" si="20"/>
        <v>-162273.61903</v>
      </c>
      <c r="CE21" s="57">
        <v>-209039</v>
      </c>
      <c r="CF21" s="57">
        <v>-697768</v>
      </c>
    </row>
    <row r="22" spans="3:90">
      <c r="C22" s="59" t="str">
        <f>IF('Índice - Index'!$D$14="Português","Varejo - CPV","Retail - CoGS")</f>
        <v>Varejo - CPV</v>
      </c>
      <c r="D22" s="61">
        <v>-681869</v>
      </c>
      <c r="E22" s="61">
        <v>-144596</v>
      </c>
      <c r="F22" s="61">
        <v>-188947</v>
      </c>
      <c r="G22" s="61">
        <v>-194945</v>
      </c>
      <c r="H22" s="61">
        <v>-279058</v>
      </c>
      <c r="I22" s="61">
        <v>-807546</v>
      </c>
      <c r="J22" s="61">
        <v>-187235</v>
      </c>
      <c r="K22" s="61">
        <v>-219752</v>
      </c>
      <c r="L22" s="61">
        <v>-220986</v>
      </c>
      <c r="M22" s="61">
        <v>-320377</v>
      </c>
      <c r="N22" s="61">
        <v>-947544</v>
      </c>
      <c r="O22" s="61">
        <v>-217854</v>
      </c>
      <c r="P22" s="61">
        <v>-285953</v>
      </c>
      <c r="Q22" s="61">
        <v>-314105</v>
      </c>
      <c r="R22" s="61">
        <v>-385019</v>
      </c>
      <c r="S22" s="61">
        <v>-1202931</v>
      </c>
      <c r="T22" s="61">
        <v>-247651</v>
      </c>
      <c r="U22" s="61">
        <v>-304284</v>
      </c>
      <c r="V22" s="61">
        <v>-325914</v>
      </c>
      <c r="W22" s="61">
        <v>-461709</v>
      </c>
      <c r="X22" s="61">
        <v>-1331437</v>
      </c>
      <c r="Y22" s="61">
        <v>-259489.87069000001</v>
      </c>
      <c r="Z22" s="61">
        <v>-322808.24521999998</v>
      </c>
      <c r="AA22" s="61">
        <v>-342112.15191999997</v>
      </c>
      <c r="AB22" s="61">
        <v>-443797.32318999991</v>
      </c>
      <c r="AC22" s="61">
        <v>-1368207.5910199999</v>
      </c>
      <c r="AD22" s="61">
        <v>-250520</v>
      </c>
      <c r="AE22" s="61">
        <v>-312927</v>
      </c>
      <c r="AF22" s="61">
        <v>-322312</v>
      </c>
      <c r="AG22" s="61">
        <v>-437747</v>
      </c>
      <c r="AH22" s="61">
        <v>-1323506</v>
      </c>
      <c r="AI22" s="61">
        <v>-215212</v>
      </c>
      <c r="AJ22" s="61">
        <v>-338452</v>
      </c>
      <c r="AK22" s="61">
        <v>-243479</v>
      </c>
      <c r="AL22" s="61">
        <v>-338617</v>
      </c>
      <c r="AM22" s="61">
        <v>-1135760</v>
      </c>
      <c r="AN22" s="61">
        <v>-219066</v>
      </c>
      <c r="AO22" s="61">
        <v>-254659</v>
      </c>
      <c r="AP22" s="61">
        <v>-312322</v>
      </c>
      <c r="AQ22" s="61">
        <v>-325987</v>
      </c>
      <c r="AR22" s="61">
        <v>-1112034</v>
      </c>
      <c r="AS22" s="61">
        <v>-221072</v>
      </c>
      <c r="AT22" s="61">
        <v>-255623</v>
      </c>
      <c r="AU22" s="61">
        <v>-311829</v>
      </c>
      <c r="AV22" s="61">
        <v>-364510</v>
      </c>
      <c r="AW22" s="61">
        <v>-1153034</v>
      </c>
      <c r="AX22" s="61">
        <v>-226457.35626</v>
      </c>
      <c r="AY22" s="61">
        <v>-295133.41963999998</v>
      </c>
      <c r="AZ22" s="61">
        <v>-315624.94244999974</v>
      </c>
      <c r="BA22" s="61">
        <v>-362667.39917000057</v>
      </c>
      <c r="BB22" s="61">
        <v>-1199883.1175200003</v>
      </c>
      <c r="BC22" s="61">
        <v>-230803.91979000001</v>
      </c>
      <c r="BD22" s="61">
        <v>-102662.95311999996</v>
      </c>
      <c r="BE22" s="61">
        <v>-296144.33305000007</v>
      </c>
      <c r="BF22" s="61">
        <v>-380239.82781999995</v>
      </c>
      <c r="BG22" s="61">
        <v>-1009851.0337799999</v>
      </c>
      <c r="BH22" s="61">
        <v>-158343.54456999997</v>
      </c>
      <c r="BI22" s="61">
        <v>-267064.43085000006</v>
      </c>
      <c r="BJ22" s="61">
        <v>-305644.61212999985</v>
      </c>
      <c r="BK22" s="61">
        <v>-370253.34216</v>
      </c>
      <c r="BL22" s="61">
        <v>-1101305.9297099998</v>
      </c>
      <c r="BM22" s="61">
        <v>-228848.43210999999</v>
      </c>
      <c r="BN22" s="168">
        <v>-297816.49999000004</v>
      </c>
      <c r="BO22" s="61">
        <v>-253748.11007000014</v>
      </c>
      <c r="BP22" s="61">
        <v>-335908.61698999989</v>
      </c>
      <c r="BQ22" s="168">
        <v>-1116321.6591600003</v>
      </c>
      <c r="BR22" s="61">
        <v>-222273.76694</v>
      </c>
      <c r="BS22" s="61">
        <v>-254781.75959</v>
      </c>
      <c r="BT22" s="61">
        <v>-132719.2419799999</v>
      </c>
      <c r="BU22" s="61">
        <v>-191238.89021999994</v>
      </c>
      <c r="BV22" s="168">
        <v>-800813.59979999997</v>
      </c>
      <c r="BW22" s="61">
        <v>-133155.82048000002</v>
      </c>
      <c r="BX22" s="61">
        <v>-157246.26247999995</v>
      </c>
      <c r="BY22" s="61">
        <v>-185945.42826999995</v>
      </c>
      <c r="BZ22" s="61">
        <v>-220896.92105999996</v>
      </c>
      <c r="CA22" s="61">
        <f t="shared" ref="CA22:CA23" si="22">SUM(BW22:BZ22)</f>
        <v>-697244.43228999991</v>
      </c>
      <c r="CB22" s="61">
        <v>-145331.73483</v>
      </c>
      <c r="CC22" s="61">
        <v>-180020.1164899999</v>
      </c>
      <c r="CD22" s="61">
        <v>-161672.89237999998</v>
      </c>
      <c r="CE22" s="61">
        <f>CE21-SUM(CE23:CE24)</f>
        <v>-203297.81505</v>
      </c>
      <c r="CF22" s="61">
        <f t="shared" ref="CF22:CF24" si="23">SUM(CB22:CE22)</f>
        <v>-690322.55874999985</v>
      </c>
    </row>
    <row r="23" spans="3:90">
      <c r="C23" s="59" t="str">
        <f>IF('Índice - Index'!$D$14="Português","Mserviços - CPV","Mserviços - CoGS")</f>
        <v>Mserviços - CPV</v>
      </c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  <c r="AT23" s="61"/>
      <c r="AU23" s="61"/>
      <c r="AV23" s="61"/>
      <c r="AW23" s="61"/>
      <c r="AX23" s="61"/>
      <c r="AY23" s="61"/>
      <c r="AZ23" s="61"/>
      <c r="BA23" s="61"/>
      <c r="BB23" s="61"/>
      <c r="BC23" s="61"/>
      <c r="BD23" s="61"/>
      <c r="BE23" s="61"/>
      <c r="BF23" s="61"/>
      <c r="BG23" s="61"/>
      <c r="BH23" s="61"/>
      <c r="BI23" s="61"/>
      <c r="BJ23" s="61"/>
      <c r="BK23" s="61"/>
      <c r="BL23" s="61"/>
      <c r="BM23" s="61"/>
      <c r="BN23" s="168"/>
      <c r="BO23" s="61">
        <v>-2664.8833199999995</v>
      </c>
      <c r="BP23" s="61">
        <v>-47365.478610000006</v>
      </c>
      <c r="BQ23" s="168">
        <v>-143888.39652999997</v>
      </c>
      <c r="BR23" s="61">
        <v>-48156.710680000004</v>
      </c>
      <c r="BS23" s="61">
        <v>-7661.8139600000013</v>
      </c>
      <c r="BT23" s="61">
        <v>2120.7629799999959</v>
      </c>
      <c r="BU23" s="61">
        <v>-3701.4887599999911</v>
      </c>
      <c r="BV23" s="168">
        <v>-57557.802430000003</v>
      </c>
      <c r="BW23" s="61">
        <v>-374.17867000000012</v>
      </c>
      <c r="BX23" s="61">
        <v>203.60479000000004</v>
      </c>
      <c r="BY23" s="61">
        <v>-1058.5717299999997</v>
      </c>
      <c r="BZ23" s="61">
        <v>-5984.9625399999986</v>
      </c>
      <c r="CA23" s="61">
        <f t="shared" si="22"/>
        <v>-7214.1081499999982</v>
      </c>
      <c r="CB23" s="61">
        <v>-608.58458999999993</v>
      </c>
      <c r="CC23" s="61">
        <v>-660.65217000000018</v>
      </c>
      <c r="CD23" s="61">
        <v>-597.87490999999977</v>
      </c>
      <c r="CE23" s="61">
        <v>-5741.1849500000008</v>
      </c>
      <c r="CF23" s="61">
        <f t="shared" si="23"/>
        <v>-7608.296620000001</v>
      </c>
    </row>
    <row r="24" spans="3:90">
      <c r="C24" s="59" t="str">
        <f>IF('Índice - Index'!$D$14="Português","Mpagamentos - CPV","Mpagamentos - CoGS")</f>
        <v>Mpagamentos - CPV</v>
      </c>
      <c r="D24" s="61">
        <v>-254187</v>
      </c>
      <c r="E24" s="61">
        <v>-43678</v>
      </c>
      <c r="F24" s="61">
        <v>-50080</v>
      </c>
      <c r="G24" s="61">
        <v>-72327</v>
      </c>
      <c r="H24" s="61">
        <v>-65860</v>
      </c>
      <c r="I24" s="61">
        <v>-231945</v>
      </c>
      <c r="J24" s="61">
        <v>-57849</v>
      </c>
      <c r="K24" s="61">
        <v>-89869</v>
      </c>
      <c r="L24" s="61">
        <v>-68290</v>
      </c>
      <c r="M24" s="61">
        <v>-79200</v>
      </c>
      <c r="N24" s="61">
        <v>-297637</v>
      </c>
      <c r="O24" s="61">
        <v>-60797</v>
      </c>
      <c r="P24" s="61">
        <v>-71115</v>
      </c>
      <c r="Q24" s="61">
        <v>-67449</v>
      </c>
      <c r="R24" s="61">
        <v>-70666</v>
      </c>
      <c r="S24" s="61">
        <v>-264802</v>
      </c>
      <c r="T24" s="61">
        <v>-79810</v>
      </c>
      <c r="U24" s="61">
        <v>-78090</v>
      </c>
      <c r="V24" s="61">
        <v>-76484</v>
      </c>
      <c r="W24" s="61">
        <v>-81566</v>
      </c>
      <c r="X24" s="61">
        <v>-312681</v>
      </c>
      <c r="Y24" s="61">
        <v>-104685.856</v>
      </c>
      <c r="Z24" s="61">
        <v>-152430.856</v>
      </c>
      <c r="AA24" s="61">
        <v>-130903.856</v>
      </c>
      <c r="AB24" s="61">
        <v>-132198.85600000009</v>
      </c>
      <c r="AC24" s="61">
        <v>-520219.42400000006</v>
      </c>
      <c r="AD24" s="61">
        <v>-114538</v>
      </c>
      <c r="AE24" s="61">
        <v>-142632</v>
      </c>
      <c r="AF24" s="61">
        <v>-114292</v>
      </c>
      <c r="AG24" s="61">
        <v>-93150</v>
      </c>
      <c r="AH24" s="61">
        <v>-464612</v>
      </c>
      <c r="AI24" s="61">
        <v>-96626</v>
      </c>
      <c r="AJ24" s="61">
        <v>-109852</v>
      </c>
      <c r="AK24" s="61">
        <v>-95983</v>
      </c>
      <c r="AL24" s="61">
        <v>-102324</v>
      </c>
      <c r="AM24" s="61">
        <v>-404785</v>
      </c>
      <c r="AN24" s="61">
        <v>-75888</v>
      </c>
      <c r="AO24" s="61">
        <v>-115594</v>
      </c>
      <c r="AP24" s="61">
        <v>-96338</v>
      </c>
      <c r="AQ24" s="61">
        <v>-100864</v>
      </c>
      <c r="AR24" s="61">
        <v>-388684</v>
      </c>
      <c r="AS24" s="61">
        <v>-68421</v>
      </c>
      <c r="AT24" s="61">
        <v>-106663</v>
      </c>
      <c r="AU24" s="61">
        <v>-102205</v>
      </c>
      <c r="AV24" s="61">
        <v>-101119</v>
      </c>
      <c r="AW24" s="61">
        <v>-378408</v>
      </c>
      <c r="AX24" s="61">
        <v>-73505.963769999944</v>
      </c>
      <c r="AY24" s="61">
        <v>-92118.821610000072</v>
      </c>
      <c r="AZ24" s="61">
        <v>-81927.668730003992</v>
      </c>
      <c r="BA24" s="61">
        <v>-103507.40976348426</v>
      </c>
      <c r="BB24" s="61">
        <v>-351059.86387348827</v>
      </c>
      <c r="BC24" s="61">
        <v>-82662.891350008023</v>
      </c>
      <c r="BD24" s="61">
        <v>-121737.90801884455</v>
      </c>
      <c r="BE24" s="61">
        <v>-66930.826352165022</v>
      </c>
      <c r="BF24" s="61">
        <v>-61703.425015330082</v>
      </c>
      <c r="BG24" s="61">
        <v>-333035.05073634768</v>
      </c>
      <c r="BH24" s="61">
        <v>-15042.616163660394</v>
      </c>
      <c r="BI24" s="61">
        <v>-88025.461201000056</v>
      </c>
      <c r="BJ24" s="61">
        <v>-52907.256409999973</v>
      </c>
      <c r="BK24" s="61">
        <v>-79993.436358999897</v>
      </c>
      <c r="BL24" s="61">
        <v>-235968.77013366032</v>
      </c>
      <c r="BM24" s="61">
        <v>-100581.05023366038</v>
      </c>
      <c r="BN24" s="168">
        <v>-123225.86812</v>
      </c>
      <c r="BO24" s="61">
        <v>-106683.56200999999</v>
      </c>
      <c r="BP24" s="61">
        <v>0</v>
      </c>
      <c r="BQ24" s="168">
        <v>0</v>
      </c>
      <c r="BR24" s="61">
        <v>0</v>
      </c>
      <c r="BS24" s="61">
        <v>0</v>
      </c>
      <c r="BT24" s="61">
        <v>0</v>
      </c>
      <c r="BU24" s="61">
        <v>0</v>
      </c>
      <c r="BV24" s="168">
        <v>0</v>
      </c>
      <c r="BW24" s="61">
        <v>0</v>
      </c>
      <c r="BX24" s="61">
        <v>0</v>
      </c>
      <c r="BY24" s="61">
        <v>0</v>
      </c>
      <c r="BZ24" s="61">
        <v>0</v>
      </c>
      <c r="CA24" s="61">
        <v>0</v>
      </c>
      <c r="CB24" s="61">
        <v>250.11552000000074</v>
      </c>
      <c r="CC24" s="61">
        <v>-84.162429999999489</v>
      </c>
      <c r="CD24" s="61">
        <v>-2.8517400000000066</v>
      </c>
      <c r="CE24" s="61">
        <v>0</v>
      </c>
      <c r="CF24" s="61">
        <f t="shared" si="23"/>
        <v>163.10135000000125</v>
      </c>
    </row>
    <row r="25" spans="3:90">
      <c r="C25" s="66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169"/>
      <c r="BO25" s="64"/>
      <c r="BP25" s="64"/>
      <c r="BQ25" s="169"/>
      <c r="BR25" s="64"/>
      <c r="BS25" s="64"/>
      <c r="BT25" s="64"/>
      <c r="BU25" s="64"/>
      <c r="BV25" s="169"/>
      <c r="BW25" s="64"/>
      <c r="BX25" s="64"/>
      <c r="BY25" s="64"/>
      <c r="BZ25" s="64"/>
      <c r="CA25" s="64"/>
      <c r="CB25" s="64"/>
      <c r="CC25" s="64"/>
      <c r="CD25" s="64"/>
    </row>
    <row r="26" spans="3:90">
      <c r="C26" s="56" t="str">
        <f>IF('Índice - Index'!$D$14="Português","LUCRO BRUTO","GROSS PROFIT")</f>
        <v>LUCRO BRUTO</v>
      </c>
      <c r="D26" s="57">
        <v>819687</v>
      </c>
      <c r="E26" s="57">
        <f>SUM(E27:E30)</f>
        <v>189723</v>
      </c>
      <c r="F26" s="57">
        <f>SUM(F27:F30)</f>
        <v>267729</v>
      </c>
      <c r="G26" s="57">
        <f>SUM(G27:G30)</f>
        <v>216406</v>
      </c>
      <c r="H26" s="57">
        <f>SUM(H27:H30)</f>
        <v>362334</v>
      </c>
      <c r="I26" s="57">
        <f>SUM(I27:I30)</f>
        <v>1036192</v>
      </c>
      <c r="J26" s="57">
        <f t="shared" ref="J26:X26" si="24">SUM(J27:J30)</f>
        <v>249009</v>
      </c>
      <c r="K26" s="57">
        <f t="shared" si="24"/>
        <v>323131</v>
      </c>
      <c r="L26" s="57">
        <f t="shared" si="24"/>
        <v>268998</v>
      </c>
      <c r="M26" s="57">
        <f t="shared" si="24"/>
        <v>365619</v>
      </c>
      <c r="N26" s="57">
        <f t="shared" si="24"/>
        <v>1205134</v>
      </c>
      <c r="O26" s="57">
        <f t="shared" si="24"/>
        <v>241284</v>
      </c>
      <c r="P26" s="57">
        <f t="shared" si="24"/>
        <v>341619</v>
      </c>
      <c r="Q26" s="57">
        <f t="shared" si="24"/>
        <v>348378</v>
      </c>
      <c r="R26" s="57">
        <f t="shared" si="24"/>
        <v>478374</v>
      </c>
      <c r="S26" s="57">
        <f t="shared" si="24"/>
        <v>1409655</v>
      </c>
      <c r="T26" s="57">
        <f t="shared" si="24"/>
        <v>301197</v>
      </c>
      <c r="U26" s="57">
        <f t="shared" si="24"/>
        <v>362236</v>
      </c>
      <c r="V26" s="57">
        <f t="shared" si="24"/>
        <v>320128</v>
      </c>
      <c r="W26" s="58">
        <f t="shared" si="24"/>
        <v>456321</v>
      </c>
      <c r="X26" s="58">
        <f t="shared" si="24"/>
        <v>1447893</v>
      </c>
      <c r="Y26" s="57">
        <v>333649.27330999996</v>
      </c>
      <c r="Z26" s="57">
        <v>337309.89878000005</v>
      </c>
      <c r="AA26" s="57">
        <v>303835.99208</v>
      </c>
      <c r="AB26" s="57">
        <v>481370.82081</v>
      </c>
      <c r="AC26" s="57">
        <v>1456165.98498</v>
      </c>
      <c r="AD26" s="57">
        <v>314860</v>
      </c>
      <c r="AE26" s="57">
        <v>333807</v>
      </c>
      <c r="AF26" s="57">
        <v>310621</v>
      </c>
      <c r="AG26" s="57">
        <v>417500</v>
      </c>
      <c r="AH26" s="57">
        <v>1376788</v>
      </c>
      <c r="AI26" s="57">
        <v>296649</v>
      </c>
      <c r="AJ26" s="57">
        <v>333100</v>
      </c>
      <c r="AK26" s="57">
        <v>289753</v>
      </c>
      <c r="AL26" s="57">
        <v>392738</v>
      </c>
      <c r="AM26" s="57">
        <v>1312240</v>
      </c>
      <c r="AN26" s="57">
        <v>320476</v>
      </c>
      <c r="AO26" s="57">
        <v>341436</v>
      </c>
      <c r="AP26" s="57">
        <v>304231</v>
      </c>
      <c r="AQ26" s="57">
        <v>408716</v>
      </c>
      <c r="AR26" s="57">
        <v>1374859</v>
      </c>
      <c r="AS26" s="57">
        <v>299152</v>
      </c>
      <c r="AT26" s="57">
        <v>327528</v>
      </c>
      <c r="AU26" s="57">
        <v>272772</v>
      </c>
      <c r="AV26" s="57">
        <v>335404.99999999977</v>
      </c>
      <c r="AW26" s="57">
        <v>1234857</v>
      </c>
      <c r="AX26" s="57">
        <v>304651.53674999985</v>
      </c>
      <c r="AY26" s="57">
        <v>302975.96322999964</v>
      </c>
      <c r="AZ26" s="57">
        <v>299927.18918999634</v>
      </c>
      <c r="BA26" s="57">
        <v>433602.59987651545</v>
      </c>
      <c r="BB26" s="57">
        <v>1341157.6697065118</v>
      </c>
      <c r="BC26" s="57">
        <v>258308.6848699922</v>
      </c>
      <c r="BD26" s="57">
        <v>57710.028851155424</v>
      </c>
      <c r="BE26" s="57">
        <v>177404.3741278348</v>
      </c>
      <c r="BF26" s="57">
        <f t="shared" ref="BF26:BG26" si="25">BF21+BF16</f>
        <v>327322.82816466986</v>
      </c>
      <c r="BG26" s="57">
        <f t="shared" si="25"/>
        <v>820745.91601365223</v>
      </c>
      <c r="BH26" s="57">
        <v>242047.70092633975</v>
      </c>
      <c r="BI26" s="57">
        <f t="shared" ref="BI26:BT29" si="26">BI16+BI21</f>
        <v>256011.50210899976</v>
      </c>
      <c r="BJ26" s="57">
        <f t="shared" si="26"/>
        <v>297323.74073000008</v>
      </c>
      <c r="BK26" s="57">
        <f t="shared" si="26"/>
        <v>393563.547701</v>
      </c>
      <c r="BL26" s="57">
        <f t="shared" si="26"/>
        <v>1188946.4914663394</v>
      </c>
      <c r="BM26" s="57">
        <f t="shared" si="26"/>
        <v>253178.20887633966</v>
      </c>
      <c r="BN26" s="164">
        <f>BN16+BN21</f>
        <v>319368.15622999985</v>
      </c>
      <c r="BO26" s="57">
        <f t="shared" si="26"/>
        <v>271688.09502000007</v>
      </c>
      <c r="BP26" s="57">
        <f t="shared" si="26"/>
        <v>355451.17379999987</v>
      </c>
      <c r="BQ26" s="164">
        <f t="shared" si="26"/>
        <v>1160304.7833299995</v>
      </c>
      <c r="BR26" s="57">
        <f t="shared" si="26"/>
        <v>219646.04668999999</v>
      </c>
      <c r="BS26" s="57">
        <f t="shared" si="26"/>
        <v>223279.6948800002</v>
      </c>
      <c r="BT26" s="57">
        <f t="shared" si="26"/>
        <v>95330</v>
      </c>
      <c r="BU26" s="57">
        <f t="shared" ref="BU26:BV26" si="27">BU16+BU21</f>
        <v>222473.03780000051</v>
      </c>
      <c r="BV26" s="164">
        <f t="shared" si="27"/>
        <v>798379.10226000042</v>
      </c>
      <c r="BW26" s="57">
        <f t="shared" ref="BW26:CC26" si="28">BW16+BW21</f>
        <v>119162.99559000001</v>
      </c>
      <c r="BX26" s="57">
        <f t="shared" si="28"/>
        <v>163485.63319000005</v>
      </c>
      <c r="BY26" s="57">
        <f t="shared" si="28"/>
        <v>162764</v>
      </c>
      <c r="BZ26" s="57">
        <f t="shared" si="28"/>
        <v>241478.11640000003</v>
      </c>
      <c r="CA26" s="57">
        <f t="shared" ref="CA26" si="29">CA16+CA21</f>
        <v>686881.20729999966</v>
      </c>
      <c r="CB26" s="57">
        <f t="shared" si="28"/>
        <v>152211.63293999986</v>
      </c>
      <c r="CC26" s="57">
        <f t="shared" si="28"/>
        <v>213716.70502000008</v>
      </c>
      <c r="CD26" s="57">
        <f t="shared" ref="CD26:CF26" si="30">CD16+CD21</f>
        <v>170478.03626999987</v>
      </c>
      <c r="CE26" s="57">
        <f t="shared" si="30"/>
        <v>249051</v>
      </c>
      <c r="CF26" s="57">
        <f t="shared" si="30"/>
        <v>785457</v>
      </c>
      <c r="CH26" s="144">
        <f>CF26-CA26</f>
        <v>98575.79270000034</v>
      </c>
      <c r="CI26" s="144">
        <f>CH26-CH27</f>
        <v>48658.777046222356</v>
      </c>
    </row>
    <row r="27" spans="3:90">
      <c r="C27" s="67" t="str">
        <f>IF('Índice - Index'!$D$14="Português"," Lucro Bruto - Varejo"," Retail - Gross Profit")</f>
        <v xml:space="preserve"> Lucro Bruto - Varejo</v>
      </c>
      <c r="D27" s="68">
        <v>752690</v>
      </c>
      <c r="E27" s="68">
        <f t="shared" ref="E27:X27" si="31">E17+E22</f>
        <v>151247</v>
      </c>
      <c r="F27" s="68">
        <f t="shared" si="31"/>
        <v>228175</v>
      </c>
      <c r="G27" s="68">
        <f t="shared" si="31"/>
        <v>193903</v>
      </c>
      <c r="H27" s="68">
        <f t="shared" si="31"/>
        <v>321892</v>
      </c>
      <c r="I27" s="68">
        <f t="shared" si="31"/>
        <v>895217</v>
      </c>
      <c r="J27" s="68">
        <f t="shared" si="31"/>
        <v>187142</v>
      </c>
      <c r="K27" s="68">
        <f t="shared" si="31"/>
        <v>291489</v>
      </c>
      <c r="L27" s="68">
        <f t="shared" si="31"/>
        <v>232603</v>
      </c>
      <c r="M27" s="68">
        <f t="shared" si="31"/>
        <v>330679</v>
      </c>
      <c r="N27" s="68">
        <f t="shared" si="31"/>
        <v>1042719</v>
      </c>
      <c r="O27" s="68">
        <f t="shared" si="31"/>
        <v>188079</v>
      </c>
      <c r="P27" s="68">
        <f t="shared" si="31"/>
        <v>295479</v>
      </c>
      <c r="Q27" s="68">
        <f t="shared" si="31"/>
        <v>298782</v>
      </c>
      <c r="R27" s="68">
        <f t="shared" si="31"/>
        <v>413665</v>
      </c>
      <c r="S27" s="68">
        <f t="shared" si="31"/>
        <v>1196005</v>
      </c>
      <c r="T27" s="68">
        <f t="shared" si="31"/>
        <v>236083</v>
      </c>
      <c r="U27" s="68">
        <f t="shared" si="31"/>
        <v>290242</v>
      </c>
      <c r="V27" s="68">
        <f t="shared" si="31"/>
        <v>251751</v>
      </c>
      <c r="W27" s="68">
        <f t="shared" si="31"/>
        <v>397376</v>
      </c>
      <c r="X27" s="68">
        <f t="shared" si="31"/>
        <v>1183573</v>
      </c>
      <c r="Y27" s="68">
        <v>250762.12930999999</v>
      </c>
      <c r="Z27" s="68">
        <v>306719.75478000002</v>
      </c>
      <c r="AA27" s="68">
        <v>250749.84808000003</v>
      </c>
      <c r="AB27" s="68">
        <v>426426.67681000009</v>
      </c>
      <c r="AC27" s="68">
        <v>1234658.4089800001</v>
      </c>
      <c r="AD27" s="68">
        <v>243683</v>
      </c>
      <c r="AE27" s="68">
        <v>300054</v>
      </c>
      <c r="AF27" s="68">
        <v>261970</v>
      </c>
      <c r="AG27" s="68">
        <v>353317</v>
      </c>
      <c r="AH27" s="68">
        <v>1159024</v>
      </c>
      <c r="AI27" s="68">
        <v>239026</v>
      </c>
      <c r="AJ27" s="68">
        <v>285643</v>
      </c>
      <c r="AK27" s="68">
        <v>228483</v>
      </c>
      <c r="AL27" s="68">
        <v>335182</v>
      </c>
      <c r="AM27" s="68">
        <v>1088334</v>
      </c>
      <c r="AN27" s="68">
        <v>230412</v>
      </c>
      <c r="AO27" s="68">
        <v>292666</v>
      </c>
      <c r="AP27" s="68">
        <v>243569</v>
      </c>
      <c r="AQ27" s="68">
        <v>350287</v>
      </c>
      <c r="AR27" s="68">
        <v>1116934</v>
      </c>
      <c r="AS27" s="68">
        <v>208261</v>
      </c>
      <c r="AT27" s="68">
        <v>276348</v>
      </c>
      <c r="AU27" s="68">
        <v>228479.47745631705</v>
      </c>
      <c r="AV27" s="68">
        <v>296879.86957039987</v>
      </c>
      <c r="AW27" s="68">
        <v>1009968.3470267169</v>
      </c>
      <c r="AX27" s="68">
        <v>228781.46920595001</v>
      </c>
      <c r="AY27" s="68">
        <v>246868.05255364953</v>
      </c>
      <c r="AZ27" s="68">
        <v>235075.58296890033</v>
      </c>
      <c r="BA27" s="68">
        <v>345243.7654279992</v>
      </c>
      <c r="BB27" s="68">
        <v>1055969.0470779995</v>
      </c>
      <c r="BC27" s="68">
        <v>186204.33502802509</v>
      </c>
      <c r="BD27" s="68">
        <v>46425.499526025204</v>
      </c>
      <c r="BE27" s="68">
        <v>150473.05994997453</v>
      </c>
      <c r="BF27" s="68">
        <v>276569.63875597512</v>
      </c>
      <c r="BG27" s="68">
        <v>659672.53325999994</v>
      </c>
      <c r="BH27" s="68">
        <v>131659.97611277516</v>
      </c>
      <c r="BI27" s="68">
        <v>225090.38148194982</v>
      </c>
      <c r="BJ27" s="68">
        <v>224464.34181115002</v>
      </c>
      <c r="BK27" s="68">
        <f>BK17+BK22</f>
        <v>331915.41988534993</v>
      </c>
      <c r="BL27" s="68">
        <f>BL17+BL22</f>
        <v>913130.11929122498</v>
      </c>
      <c r="BM27" s="68">
        <v>205924.63359672501</v>
      </c>
      <c r="BN27" s="165">
        <v>301441.04856739985</v>
      </c>
      <c r="BO27" s="68">
        <f t="shared" ref="BO27:BP29" si="32">BO17+BO22</f>
        <v>259605.84136999995</v>
      </c>
      <c r="BP27" s="68">
        <f t="shared" si="32"/>
        <v>362270.77909797488</v>
      </c>
      <c r="BQ27" s="165">
        <f t="shared" ref="BQ27:BR27" si="33">BQ17+BQ22</f>
        <v>1119064.2797836745</v>
      </c>
      <c r="BR27" s="68">
        <f t="shared" si="33"/>
        <v>224972.43206999998</v>
      </c>
      <c r="BS27" s="68">
        <f t="shared" si="26"/>
        <v>209770.60538000023</v>
      </c>
      <c r="BT27" s="68">
        <v>91176.855819999997</v>
      </c>
      <c r="BU27" s="68">
        <f t="shared" ref="BU27:BU29" si="34">BU17+BU22</f>
        <v>218145.50390000048</v>
      </c>
      <c r="BV27" s="165">
        <f t="shared" ref="BV27:BW27" si="35">BV17+BV22</f>
        <v>779165.20613000053</v>
      </c>
      <c r="BW27" s="68">
        <f t="shared" si="35"/>
        <v>115813.41779000001</v>
      </c>
      <c r="BX27" s="68">
        <f t="shared" ref="BX27" si="36">BX17+BX22</f>
        <v>159907.24859000006</v>
      </c>
      <c r="BY27" s="68">
        <v>160429.94122000001</v>
      </c>
      <c r="BZ27" s="68">
        <f>BZ17+BZ22</f>
        <v>247190.2324699997</v>
      </c>
      <c r="CA27" s="68">
        <f>CA17+CA22</f>
        <v>683331.45133999968</v>
      </c>
      <c r="CB27" s="68">
        <f>CB17+CB22</f>
        <v>148394.64117999989</v>
      </c>
      <c r="CC27" s="68">
        <f>CC17+CC22</f>
        <v>211156.53104000012</v>
      </c>
      <c r="CD27" s="68">
        <f>CD17+CD22</f>
        <v>167477.7036699999</v>
      </c>
      <c r="CE27" s="68">
        <f t="shared" ref="CE27:CF27" si="37">CE17+CE22</f>
        <v>250455.80665000001</v>
      </c>
      <c r="CF27" s="68">
        <f t="shared" si="37"/>
        <v>775687.91456000041</v>
      </c>
      <c r="CG27" s="144"/>
      <c r="CH27" s="144">
        <f>(CF26/CF16*CA16)-CA26</f>
        <v>49917.015653777984</v>
      </c>
    </row>
    <row r="28" spans="3:90">
      <c r="C28" s="67" t="str">
        <f>IF('Índice - Index'!$D$14="Português"," Lucro Bruto - Mserviços"," Mserviços - Gross Profit")</f>
        <v xml:space="preserve"> Lucro Bruto - Mserviços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165"/>
      <c r="BO28" s="68">
        <f t="shared" si="32"/>
        <v>31059.451690000002</v>
      </c>
      <c r="BP28" s="68">
        <f t="shared" si="32"/>
        <v>-6819.6052979750093</v>
      </c>
      <c r="BQ28" s="165">
        <f t="shared" ref="BQ28:BR28" si="38">BQ18+BQ23</f>
        <v>41240.503546325024</v>
      </c>
      <c r="BR28" s="68">
        <f t="shared" si="38"/>
        <v>-5326.385380000007</v>
      </c>
      <c r="BS28" s="68">
        <f t="shared" si="26"/>
        <v>13509.089499999996</v>
      </c>
      <c r="BT28" s="68">
        <v>4153.1441799999957</v>
      </c>
      <c r="BU28" s="68">
        <f t="shared" si="34"/>
        <v>4327.5339000000113</v>
      </c>
      <c r="BV28" s="165">
        <f t="shared" ref="BV28:BW28" si="39">BV18+BV23</f>
        <v>19213.896130000001</v>
      </c>
      <c r="BW28" s="68">
        <f t="shared" si="39"/>
        <v>3349.5778</v>
      </c>
      <c r="BX28" s="68">
        <f t="shared" ref="BX28" si="40">BX18+BX23</f>
        <v>3578.3846000000008</v>
      </c>
      <c r="BY28" s="68">
        <v>2334.0587800000008</v>
      </c>
      <c r="BZ28" s="68">
        <f t="shared" ref="BZ28:CB29" si="41">BZ18+BZ23</f>
        <v>-5711.9079399999991</v>
      </c>
      <c r="CA28" s="68">
        <f t="shared" ref="CA28" si="42">CA18+CA23</f>
        <v>3549.7559600000041</v>
      </c>
      <c r="CB28" s="68">
        <f t="shared" si="41"/>
        <v>3855.5610000000011</v>
      </c>
      <c r="CC28" s="68">
        <f>CC18+CC23</f>
        <v>2649.7575699999998</v>
      </c>
      <c r="CD28" s="68">
        <f>CD18+CD23</f>
        <v>3007.1927200000009</v>
      </c>
      <c r="CE28" s="68">
        <f t="shared" ref="CE28:CF28" si="43">CE18+CE23</f>
        <v>-1296.2190700000019</v>
      </c>
      <c r="CF28" s="68">
        <f t="shared" si="43"/>
        <v>9975.5719100000024</v>
      </c>
      <c r="CG28" s="144"/>
    </row>
    <row r="29" spans="3:90">
      <c r="C29" s="67" t="str">
        <f>IF('Índice - Index'!$D$14="Português"," Lucro Bruto - Mpagamentos"," Mpagamentos - Gross Profit")</f>
        <v xml:space="preserve"> Lucro Bruto - Mpagamentos</v>
      </c>
      <c r="D29" s="68">
        <v>66997</v>
      </c>
      <c r="E29" s="68">
        <f t="shared" ref="E29:I29" si="44">E19+E24</f>
        <v>38476</v>
      </c>
      <c r="F29" s="68">
        <f t="shared" si="44"/>
        <v>39554</v>
      </c>
      <c r="G29" s="68">
        <f t="shared" si="44"/>
        <v>22503</v>
      </c>
      <c r="H29" s="68">
        <f t="shared" si="44"/>
        <v>40442</v>
      </c>
      <c r="I29" s="68">
        <f t="shared" si="44"/>
        <v>140975</v>
      </c>
      <c r="J29" s="68">
        <f t="shared" ref="J29:X29" si="45">J19+J24</f>
        <v>61867</v>
      </c>
      <c r="K29" s="68">
        <f t="shared" si="45"/>
        <v>31642</v>
      </c>
      <c r="L29" s="68">
        <f t="shared" si="45"/>
        <v>36395</v>
      </c>
      <c r="M29" s="68">
        <f t="shared" si="45"/>
        <v>34940</v>
      </c>
      <c r="N29" s="68">
        <f t="shared" si="45"/>
        <v>162415</v>
      </c>
      <c r="O29" s="68">
        <f t="shared" si="45"/>
        <v>53205</v>
      </c>
      <c r="P29" s="68">
        <f t="shared" si="45"/>
        <v>46140</v>
      </c>
      <c r="Q29" s="68">
        <f t="shared" si="45"/>
        <v>49596</v>
      </c>
      <c r="R29" s="68">
        <f t="shared" si="45"/>
        <v>64709</v>
      </c>
      <c r="S29" s="68">
        <f t="shared" si="45"/>
        <v>213650</v>
      </c>
      <c r="T29" s="68">
        <f t="shared" si="45"/>
        <v>65114</v>
      </c>
      <c r="U29" s="68">
        <f t="shared" si="45"/>
        <v>71994</v>
      </c>
      <c r="V29" s="68">
        <f t="shared" si="45"/>
        <v>68377</v>
      </c>
      <c r="W29" s="68">
        <f t="shared" si="45"/>
        <v>58945</v>
      </c>
      <c r="X29" s="68">
        <f t="shared" si="45"/>
        <v>264320</v>
      </c>
      <c r="Y29" s="68">
        <v>82887.144</v>
      </c>
      <c r="Z29" s="68">
        <v>30590.144</v>
      </c>
      <c r="AA29" s="68">
        <v>53086.144</v>
      </c>
      <c r="AB29" s="68">
        <v>54944.143999999913</v>
      </c>
      <c r="AC29" s="68">
        <v>221507.57599999994</v>
      </c>
      <c r="AD29" s="68">
        <v>71177</v>
      </c>
      <c r="AE29" s="68">
        <v>33753</v>
      </c>
      <c r="AF29" s="68">
        <v>48651</v>
      </c>
      <c r="AG29" s="68">
        <v>64183</v>
      </c>
      <c r="AH29" s="68">
        <v>217764</v>
      </c>
      <c r="AI29" s="68">
        <v>57623</v>
      </c>
      <c r="AJ29" s="68">
        <v>47457</v>
      </c>
      <c r="AK29" s="68">
        <v>61270</v>
      </c>
      <c r="AL29" s="68">
        <v>57556</v>
      </c>
      <c r="AM29" s="68">
        <v>223906</v>
      </c>
      <c r="AN29" s="68">
        <v>90064</v>
      </c>
      <c r="AO29" s="68">
        <v>48770</v>
      </c>
      <c r="AP29" s="68">
        <v>60662</v>
      </c>
      <c r="AQ29" s="68">
        <v>58429</v>
      </c>
      <c r="AR29" s="68">
        <v>257925</v>
      </c>
      <c r="AS29" s="68">
        <v>90891</v>
      </c>
      <c r="AT29" s="68">
        <v>51180</v>
      </c>
      <c r="AU29" s="68">
        <v>44292.522543683008</v>
      </c>
      <c r="AV29" s="68">
        <v>38525.130429599842</v>
      </c>
      <c r="AW29" s="68">
        <v>224888.65297328285</v>
      </c>
      <c r="AX29" s="68">
        <v>75870.067544049962</v>
      </c>
      <c r="AY29" s="68">
        <v>56107.910676350089</v>
      </c>
      <c r="AZ29" s="68">
        <v>64851.606221096008</v>
      </c>
      <c r="BA29" s="68">
        <v>88359.076738515869</v>
      </c>
      <c r="BB29" s="68">
        <v>285188.62262851186</v>
      </c>
      <c r="BC29" s="68">
        <v>72104.349841967109</v>
      </c>
      <c r="BD29" s="68">
        <v>11284.529325130221</v>
      </c>
      <c r="BE29" s="68">
        <v>26931.314177860215</v>
      </c>
      <c r="BF29" s="68">
        <v>50753.189408694743</v>
      </c>
      <c r="BG29" s="68">
        <v>161073.38275365229</v>
      </c>
      <c r="BH29" s="68">
        <v>110387.72481356459</v>
      </c>
      <c r="BI29" s="68">
        <v>30921.120627050026</v>
      </c>
      <c r="BJ29" s="68">
        <v>72859.398918850056</v>
      </c>
      <c r="BK29" s="68">
        <f>BK19+BK24</f>
        <v>61648.127815650136</v>
      </c>
      <c r="BL29" s="68">
        <f>BL19+BL24</f>
        <v>275816.37217511481</v>
      </c>
      <c r="BM29" s="68">
        <v>47253.575279614626</v>
      </c>
      <c r="BN29" s="165">
        <v>17927.107662599999</v>
      </c>
      <c r="BO29" s="68">
        <f t="shared" si="32"/>
        <v>-18977.198039999974</v>
      </c>
      <c r="BP29" s="68">
        <f t="shared" si="32"/>
        <v>0</v>
      </c>
      <c r="BQ29" s="165">
        <f t="shared" ref="BQ29:BR29" si="46">BQ19+BQ24</f>
        <v>0</v>
      </c>
      <c r="BR29" s="68">
        <f t="shared" si="46"/>
        <v>0</v>
      </c>
      <c r="BS29" s="68">
        <f t="shared" si="26"/>
        <v>0</v>
      </c>
      <c r="BT29" s="68">
        <v>0</v>
      </c>
      <c r="BU29" s="68">
        <f t="shared" si="34"/>
        <v>0</v>
      </c>
      <c r="BV29" s="165">
        <f t="shared" ref="BV29:BW29" si="47">BV19+BV24</f>
        <v>-9.0949470177292824E-13</v>
      </c>
      <c r="BW29" s="68">
        <f t="shared" si="47"/>
        <v>0</v>
      </c>
      <c r="BX29" s="68">
        <f t="shared" ref="BX29" si="48">BX19+BX24</f>
        <v>0</v>
      </c>
      <c r="BY29" s="68">
        <v>0</v>
      </c>
      <c r="BZ29" s="68">
        <f t="shared" si="41"/>
        <v>0</v>
      </c>
      <c r="CA29" s="68">
        <f t="shared" ref="CA29" si="49">CA19+CA24</f>
        <v>0</v>
      </c>
      <c r="CB29" s="68">
        <f t="shared" si="41"/>
        <v>-38.569239999999297</v>
      </c>
      <c r="CC29" s="68">
        <f>CC19+CC24</f>
        <v>-89.583589999999489</v>
      </c>
      <c r="CD29" s="68">
        <f>CD19+CD24</f>
        <v>-6.8601200000000073</v>
      </c>
      <c r="CE29" s="68">
        <f t="shared" ref="CE29:CF29" si="50">CE19+CE24</f>
        <v>-108.58757999999999</v>
      </c>
      <c r="CF29" s="68">
        <f t="shared" si="50"/>
        <v>-206.2404899999988</v>
      </c>
      <c r="CG29" s="144"/>
    </row>
    <row r="30" spans="3:90">
      <c r="C30" s="69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136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136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3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169"/>
      <c r="BO30" s="64"/>
      <c r="BP30" s="64"/>
      <c r="BQ30" s="169"/>
      <c r="BR30" s="64"/>
      <c r="BS30" s="64"/>
      <c r="BT30" s="64"/>
      <c r="BU30" s="64"/>
      <c r="BV30" s="169"/>
      <c r="BW30" s="64"/>
      <c r="BX30" s="64"/>
      <c r="BY30" s="64"/>
      <c r="BZ30" s="64"/>
      <c r="CA30" s="64"/>
      <c r="CB30" s="64"/>
      <c r="CC30" s="64"/>
      <c r="CD30" s="64"/>
    </row>
    <row r="31" spans="3:90">
      <c r="C31" s="56" t="str">
        <f>IF('Índice - Index'!$D$14="Português"," Despesas Operacionais","OpEx")</f>
        <v xml:space="preserve"> Despesas Operacionais</v>
      </c>
      <c r="D31" s="57">
        <v>-563661</v>
      </c>
      <c r="E31" s="57">
        <f>SUM(E32:E36)</f>
        <v>-133232</v>
      </c>
      <c r="F31" s="57">
        <f>SUM(F32:F36)</f>
        <v>-142660</v>
      </c>
      <c r="G31" s="57">
        <f>SUM(G32:G36)</f>
        <v>-158445</v>
      </c>
      <c r="H31" s="57">
        <f>SUM(H32:H36)</f>
        <v>-221944</v>
      </c>
      <c r="I31" s="57">
        <f>SUM(I32:I36)</f>
        <v>-656281</v>
      </c>
      <c r="J31" s="57">
        <f t="shared" ref="J31:X31" si="51">SUM(J32:J36)</f>
        <v>-175398</v>
      </c>
      <c r="K31" s="57">
        <f t="shared" si="51"/>
        <v>-196562</v>
      </c>
      <c r="L31" s="57">
        <f t="shared" si="51"/>
        <v>-197953</v>
      </c>
      <c r="M31" s="57">
        <f t="shared" si="51"/>
        <v>-260694</v>
      </c>
      <c r="N31" s="57">
        <f t="shared" si="51"/>
        <v>-830242</v>
      </c>
      <c r="O31" s="57">
        <f t="shared" si="51"/>
        <v>-191174</v>
      </c>
      <c r="P31" s="57">
        <f t="shared" si="51"/>
        <v>-216575</v>
      </c>
      <c r="Q31" s="57">
        <f t="shared" si="51"/>
        <v>-219625</v>
      </c>
      <c r="R31" s="57">
        <f t="shared" si="51"/>
        <v>-291098</v>
      </c>
      <c r="S31" s="57">
        <f t="shared" si="51"/>
        <v>-918472</v>
      </c>
      <c r="T31" s="57">
        <f t="shared" si="51"/>
        <v>-230373</v>
      </c>
      <c r="U31" s="57">
        <f t="shared" si="51"/>
        <v>-242568</v>
      </c>
      <c r="V31" s="57">
        <f t="shared" si="51"/>
        <v>-238346</v>
      </c>
      <c r="W31" s="58">
        <f t="shared" si="51"/>
        <v>-362606</v>
      </c>
      <c r="X31" s="58">
        <f t="shared" si="51"/>
        <v>-1070860</v>
      </c>
      <c r="Y31" s="57">
        <v>-235760.51569999999</v>
      </c>
      <c r="Z31" s="57">
        <v>-244311.21771</v>
      </c>
      <c r="AA31" s="57">
        <v>-262401.05485999997</v>
      </c>
      <c r="AB31" s="57">
        <v>-325148.19670999993</v>
      </c>
      <c r="AC31" s="57">
        <v>-1171965</v>
      </c>
      <c r="AD31" s="57">
        <v>-253938</v>
      </c>
      <c r="AE31" s="57">
        <v>-265308</v>
      </c>
      <c r="AF31" s="57">
        <v>-259584</v>
      </c>
      <c r="AG31" s="57">
        <v>-304322</v>
      </c>
      <c r="AH31" s="57">
        <v>-1083152</v>
      </c>
      <c r="AI31" s="57">
        <v>-262418</v>
      </c>
      <c r="AJ31" s="57">
        <v>-275255</v>
      </c>
      <c r="AK31" s="57">
        <v>-281127</v>
      </c>
      <c r="AL31" s="57">
        <v>-327812</v>
      </c>
      <c r="AM31" s="57">
        <v>-1146612</v>
      </c>
      <c r="AN31" s="57">
        <v>-275899</v>
      </c>
      <c r="AO31" s="57">
        <v>-289880</v>
      </c>
      <c r="AP31" s="57">
        <v>-266704</v>
      </c>
      <c r="AQ31" s="57">
        <v>-308130</v>
      </c>
      <c r="AR31" s="57">
        <v>-1140130</v>
      </c>
      <c r="AS31" s="57">
        <v>-278082</v>
      </c>
      <c r="AT31" s="57">
        <v>-283683</v>
      </c>
      <c r="AU31" s="57">
        <v>-276338</v>
      </c>
      <c r="AV31" s="57">
        <v>-345559</v>
      </c>
      <c r="AW31" s="57">
        <v>-1183662</v>
      </c>
      <c r="AX31" s="57">
        <v>-205424.84041000015</v>
      </c>
      <c r="AY31" s="57">
        <v>-213463.88655999969</v>
      </c>
      <c r="AZ31" s="57">
        <v>-248669.41253999982</v>
      </c>
      <c r="BA31" s="57">
        <v>-270081.27776000055</v>
      </c>
      <c r="BB31" s="57">
        <v>-937639.41727000021</v>
      </c>
      <c r="BC31" s="57">
        <v>-239001.80056000003</v>
      </c>
      <c r="BD31" s="57">
        <v>-106263.50973999992</v>
      </c>
      <c r="BE31" s="57">
        <v>-200554.75550999999</v>
      </c>
      <c r="BF31" s="57">
        <f t="shared" ref="BF31:BT31" si="52">SUM(BF32:BF36)</f>
        <v>-231153.26477000205</v>
      </c>
      <c r="BG31" s="57">
        <f t="shared" si="52"/>
        <v>-776973.33058000193</v>
      </c>
      <c r="BH31" s="57">
        <f t="shared" si="52"/>
        <v>-184472.80655999994</v>
      </c>
      <c r="BI31" s="57">
        <f t="shared" si="52"/>
        <v>-200620.85683900019</v>
      </c>
      <c r="BJ31" s="57">
        <f t="shared" si="52"/>
        <v>-226643.66026999988</v>
      </c>
      <c r="BK31" s="57">
        <f t="shared" ref="BK31" si="53">SUM(BK32:BK36)</f>
        <v>-275001.19400099997</v>
      </c>
      <c r="BL31" s="164">
        <f>SUM(BL32:BL35)</f>
        <v>-886738.51767000009</v>
      </c>
      <c r="BM31" s="57">
        <f t="shared" ref="BM31:BN31" si="54">SUM(BM32:BM36)</f>
        <v>-221798.22118000002</v>
      </c>
      <c r="BN31" s="164">
        <f t="shared" si="54"/>
        <v>-225231.24569999988</v>
      </c>
      <c r="BO31" s="57">
        <f t="shared" si="52"/>
        <v>-219927.9133000001</v>
      </c>
      <c r="BP31" s="57">
        <f t="shared" si="52"/>
        <v>-242792.94651999988</v>
      </c>
      <c r="BQ31" s="164">
        <f t="shared" si="52"/>
        <v>-859363.26935000008</v>
      </c>
      <c r="BR31" s="57">
        <f t="shared" si="52"/>
        <v>-203782.88509</v>
      </c>
      <c r="BS31" s="57">
        <f t="shared" si="52"/>
        <v>-209708.9173182901</v>
      </c>
      <c r="BT31" s="57">
        <f t="shared" si="52"/>
        <v>-162212.26267000003</v>
      </c>
      <c r="BU31" s="57">
        <f t="shared" ref="BU31:BV31" si="55">SUM(BU32:BU36)</f>
        <v>-231776.60082000008</v>
      </c>
      <c r="BV31" s="164">
        <f t="shared" si="55"/>
        <v>-802236.01286000002</v>
      </c>
      <c r="BW31" s="57">
        <f t="shared" ref="BW31:CE31" si="56">SUM(BW32:BW36)</f>
        <v>-149366.15851999994</v>
      </c>
      <c r="BX31" s="57">
        <f t="shared" si="56"/>
        <v>-155862.25046000001</v>
      </c>
      <c r="BY31" s="57">
        <f t="shared" si="56"/>
        <v>-146245.07389</v>
      </c>
      <c r="BZ31" s="57">
        <f t="shared" si="56"/>
        <v>-165165.67153999992</v>
      </c>
      <c r="CA31" s="57">
        <f t="shared" ref="CA31" si="57">SUM(CA32:CA36)</f>
        <v>-616639.15440999996</v>
      </c>
      <c r="CB31" s="57">
        <f t="shared" si="56"/>
        <v>-145104.07965</v>
      </c>
      <c r="CC31" s="57">
        <f t="shared" si="56"/>
        <v>-151279.07407000003</v>
      </c>
      <c r="CD31" s="57">
        <f t="shared" si="56"/>
        <v>-140089</v>
      </c>
      <c r="CE31" s="57">
        <f t="shared" si="56"/>
        <v>-173626.85537999994</v>
      </c>
      <c r="CF31" s="57">
        <v>-610099</v>
      </c>
      <c r="CH31" s="144">
        <f>CF31-CA31</f>
        <v>6540.1544099999592</v>
      </c>
    </row>
    <row r="32" spans="3:90" ht="14.4">
      <c r="C32" s="70" t="str">
        <f>IF('Índice - Index'!$D$14="Português","Varejo - Despesas com Vendas","Retail - Sales Expenses")</f>
        <v>Varejo - Despesas com Vendas</v>
      </c>
      <c r="D32" s="63">
        <v>-468206</v>
      </c>
      <c r="E32" s="63">
        <v>-112076</v>
      </c>
      <c r="F32" s="63">
        <v>-113818</v>
      </c>
      <c r="G32" s="63">
        <v>-131492</v>
      </c>
      <c r="H32" s="63">
        <v>-177935</v>
      </c>
      <c r="I32" s="63">
        <v>-535321</v>
      </c>
      <c r="J32" s="63">
        <v>-146198</v>
      </c>
      <c r="K32" s="63">
        <v>-162254</v>
      </c>
      <c r="L32" s="63">
        <v>-160896</v>
      </c>
      <c r="M32" s="63">
        <v>-219944</v>
      </c>
      <c r="N32" s="63">
        <v>-689171</v>
      </c>
      <c r="O32" s="63">
        <v>-159604</v>
      </c>
      <c r="P32" s="63">
        <v>-187041</v>
      </c>
      <c r="Q32" s="63">
        <v>-188499</v>
      </c>
      <c r="R32" s="63">
        <v>-242153</v>
      </c>
      <c r="S32" s="63">
        <v>-777297</v>
      </c>
      <c r="T32" s="63">
        <v>-194041</v>
      </c>
      <c r="U32" s="63">
        <v>-208128</v>
      </c>
      <c r="V32" s="63">
        <v>-202464</v>
      </c>
      <c r="W32" s="63">
        <v>-310975</v>
      </c>
      <c r="X32" s="63">
        <v>-912564</v>
      </c>
      <c r="Y32" s="63">
        <v>-199546.51569999999</v>
      </c>
      <c r="Z32" s="63">
        <v>-204029.21771</v>
      </c>
      <c r="AA32" s="63">
        <v>-219794.05485999997</v>
      </c>
      <c r="AB32" s="63">
        <v>-275363.19670999993</v>
      </c>
      <c r="AC32" s="63">
        <v>-1003077</v>
      </c>
      <c r="AD32" s="63">
        <v>-209748</v>
      </c>
      <c r="AE32" s="63">
        <v>-221316</v>
      </c>
      <c r="AF32" s="63">
        <v>-210521</v>
      </c>
      <c r="AG32" s="63">
        <v>-257591</v>
      </c>
      <c r="AH32" s="63">
        <v>-899176</v>
      </c>
      <c r="AI32" s="63">
        <v>-214544</v>
      </c>
      <c r="AJ32" s="63">
        <v>-220348</v>
      </c>
      <c r="AK32" s="63">
        <v>-227488</v>
      </c>
      <c r="AL32" s="63">
        <v>-267120</v>
      </c>
      <c r="AM32" s="63">
        <v>-929500</v>
      </c>
      <c r="AN32" s="63">
        <v>-219121</v>
      </c>
      <c r="AO32" s="63">
        <v>-221752</v>
      </c>
      <c r="AP32" s="63">
        <v>-206747</v>
      </c>
      <c r="AQ32" s="63">
        <v>-232771</v>
      </c>
      <c r="AR32" s="63">
        <v>-880391</v>
      </c>
      <c r="AS32" s="63">
        <v>-217232</v>
      </c>
      <c r="AT32" s="63">
        <v>-227419</v>
      </c>
      <c r="AU32" s="63">
        <v>-220215</v>
      </c>
      <c r="AV32" s="63">
        <v>-261954</v>
      </c>
      <c r="AW32" s="63">
        <v>-926820</v>
      </c>
      <c r="AX32" s="63">
        <v>-156070.43120000014</v>
      </c>
      <c r="AY32" s="63">
        <v>-157526.66805999973</v>
      </c>
      <c r="AZ32" s="63">
        <v>-161756.14893000055</v>
      </c>
      <c r="BA32" s="63">
        <v>-181206.15098999988</v>
      </c>
      <c r="BB32" s="63">
        <v>-656559.3991800003</v>
      </c>
      <c r="BC32" s="63">
        <v>-160872.59613000005</v>
      </c>
      <c r="BD32" s="63">
        <v>-65608.636709999962</v>
      </c>
      <c r="BE32" s="63">
        <v>-144836.29462000006</v>
      </c>
      <c r="BF32" s="63">
        <v>-148895.73420000006</v>
      </c>
      <c r="BG32" s="63">
        <v>-520213.26166000013</v>
      </c>
      <c r="BH32" s="63">
        <v>-129447.18369999995</v>
      </c>
      <c r="BI32" s="63">
        <v>-140745.81300900003</v>
      </c>
      <c r="BJ32" s="63">
        <v>-158371.64645999996</v>
      </c>
      <c r="BK32" s="63">
        <v>-187288.53546000001</v>
      </c>
      <c r="BL32" s="169">
        <v>-615853.17862899997</v>
      </c>
      <c r="BM32" s="63">
        <v>-160142.52175000004</v>
      </c>
      <c r="BN32" s="169">
        <v>-157824.65079999992</v>
      </c>
      <c r="BO32" s="63">
        <v>-151679.80086000008</v>
      </c>
      <c r="BP32" s="63">
        <v>-173223.05779999992</v>
      </c>
      <c r="BQ32" s="169">
        <v>-643093.01604999998</v>
      </c>
      <c r="BR32" s="63">
        <v>-146257.74994000001</v>
      </c>
      <c r="BS32" s="63">
        <v>-143378.24664999999</v>
      </c>
      <c r="BT32" s="63">
        <v>-110934.61248000001</v>
      </c>
      <c r="BU32" s="63">
        <v>-149790.20897000004</v>
      </c>
      <c r="BV32" s="169">
        <v>-549427.77093999996</v>
      </c>
      <c r="BW32" s="63">
        <v>-104651.08602999995</v>
      </c>
      <c r="BX32" s="63">
        <v>-111547.67271000001</v>
      </c>
      <c r="BY32" s="63">
        <v>-103995.61432999998</v>
      </c>
      <c r="BZ32" s="63">
        <v>-118684.89642999995</v>
      </c>
      <c r="CA32" s="63">
        <f t="shared" ref="CA32:CA34" si="58">SUM(BW32:BZ32)</f>
        <v>-438879.26949999994</v>
      </c>
      <c r="CB32" s="63">
        <v>-104108.26041999999</v>
      </c>
      <c r="CC32" s="63">
        <v>-109965.08503000005</v>
      </c>
      <c r="CD32" s="63">
        <v>-105304</v>
      </c>
      <c r="CE32" s="144">
        <v>-129073.30719999992</v>
      </c>
      <c r="CF32" s="232">
        <f t="shared" ref="CF32:CF35" si="59">SUM(CB32:CE32)</f>
        <v>-448450.65264999995</v>
      </c>
      <c r="CH32" s="144">
        <f t="shared" ref="CH32:CH35" si="60">CF32-CA32</f>
        <v>-9571.3831500000088</v>
      </c>
    </row>
    <row r="33" spans="3:89">
      <c r="C33" s="70" t="str">
        <f>IF('Índice - Index'!$D$14="Português","Varejo - Despesas Administrativas","Retail - G&amp;A")</f>
        <v>Varejo - Despesas Administrativas</v>
      </c>
      <c r="D33" s="63">
        <v>-84634</v>
      </c>
      <c r="E33" s="64">
        <v>-18442</v>
      </c>
      <c r="F33" s="64">
        <v>-26014</v>
      </c>
      <c r="G33" s="64">
        <v>-23415</v>
      </c>
      <c r="H33" s="64">
        <v>-37565</v>
      </c>
      <c r="I33" s="63">
        <v>-105436</v>
      </c>
      <c r="J33" s="64">
        <v>-23034</v>
      </c>
      <c r="K33" s="63">
        <v>-27743</v>
      </c>
      <c r="L33" s="63">
        <v>-30903</v>
      </c>
      <c r="M33" s="63">
        <v>-34519</v>
      </c>
      <c r="N33" s="63">
        <v>-115954</v>
      </c>
      <c r="O33" s="63">
        <v>-25775</v>
      </c>
      <c r="P33" s="63">
        <v>-24015</v>
      </c>
      <c r="Q33" s="63">
        <v>-25025</v>
      </c>
      <c r="R33" s="63">
        <v>-40662</v>
      </c>
      <c r="S33" s="63">
        <v>-115477</v>
      </c>
      <c r="T33" s="63">
        <v>-29315</v>
      </c>
      <c r="U33" s="63">
        <v>-26986</v>
      </c>
      <c r="V33" s="63">
        <v>-29213</v>
      </c>
      <c r="W33" s="63">
        <v>-36032</v>
      </c>
      <c r="X33" s="63">
        <v>-108041</v>
      </c>
      <c r="Y33" s="63">
        <v>-23123.070530000001</v>
      </c>
      <c r="Z33" s="63">
        <v>-30049.307700000001</v>
      </c>
      <c r="AA33" s="63">
        <v>-32681.049440000003</v>
      </c>
      <c r="AB33" s="63">
        <v>-40518.362699999998</v>
      </c>
      <c r="AC33" s="63">
        <v>-126370.98835</v>
      </c>
      <c r="AD33" s="63">
        <v>-30812.85527</v>
      </c>
      <c r="AE33" s="63">
        <v>-32487.862050000003</v>
      </c>
      <c r="AF33" s="63">
        <v>-38857.693099999997</v>
      </c>
      <c r="AG33" s="63">
        <v>-32524.878800000006</v>
      </c>
      <c r="AH33" s="63">
        <v>-134683.28922000001</v>
      </c>
      <c r="AI33" s="63">
        <v>-36387</v>
      </c>
      <c r="AJ33" s="63">
        <v>-40738</v>
      </c>
      <c r="AK33" s="63">
        <v>-40725</v>
      </c>
      <c r="AL33" s="63">
        <v>-45044</v>
      </c>
      <c r="AM33" s="63">
        <v>-162894</v>
      </c>
      <c r="AN33" s="63">
        <v>-44957</v>
      </c>
      <c r="AO33" s="63">
        <v>-53800</v>
      </c>
      <c r="AP33" s="63">
        <v>-47933</v>
      </c>
      <c r="AQ33" s="63">
        <v>-59026</v>
      </c>
      <c r="AR33" s="63">
        <v>-205233</v>
      </c>
      <c r="AS33" s="63">
        <v>-46113</v>
      </c>
      <c r="AT33" s="63">
        <v>-43356</v>
      </c>
      <c r="AU33" s="63">
        <v>-43546</v>
      </c>
      <c r="AV33" s="63">
        <v>-67781</v>
      </c>
      <c r="AW33" s="63">
        <v>-200796</v>
      </c>
      <c r="AX33" s="63">
        <v>-34458.558659999988</v>
      </c>
      <c r="AY33" s="63">
        <v>-40030.099739999983</v>
      </c>
      <c r="AZ33" s="63">
        <v>-47756.302420000051</v>
      </c>
      <c r="BA33" s="63">
        <v>-58033.615440000009</v>
      </c>
      <c r="BB33" s="63">
        <v>-180278.57626000003</v>
      </c>
      <c r="BC33" s="63">
        <v>-48373.931309999985</v>
      </c>
      <c r="BD33" s="63">
        <v>-22419.41654000002</v>
      </c>
      <c r="BE33" s="63">
        <v>-30365.293510000003</v>
      </c>
      <c r="BF33" s="63">
        <v>-48949.81091000163</v>
      </c>
      <c r="BG33" s="63">
        <v>-150108.45227000164</v>
      </c>
      <c r="BH33" s="63">
        <v>-32075.799050000001</v>
      </c>
      <c r="BI33" s="63">
        <v>-33517.161300000022</v>
      </c>
      <c r="BJ33" s="63">
        <v>-41575.860739999975</v>
      </c>
      <c r="BK33" s="63">
        <v>-54959.643079999994</v>
      </c>
      <c r="BL33" s="169">
        <v>-162128.46416999999</v>
      </c>
      <c r="BM33" s="63">
        <v>-35940.841439999989</v>
      </c>
      <c r="BN33" s="169">
        <v>-40594.154369999989</v>
      </c>
      <c r="BO33" s="63">
        <v>-41287.956650000022</v>
      </c>
      <c r="BP33" s="63">
        <v>-58969.342619999996</v>
      </c>
      <c r="BQ33" s="169">
        <v>-176792.29508000001</v>
      </c>
      <c r="BR33" s="63">
        <v>-45235.878029999993</v>
      </c>
      <c r="BS33" s="63">
        <v>-61826.506949999995</v>
      </c>
      <c r="BT33" s="63">
        <v>-52610.643399999994</v>
      </c>
      <c r="BU33" s="63">
        <v>-78097.086150000017</v>
      </c>
      <c r="BV33" s="169">
        <v>-232469.28029999998</v>
      </c>
      <c r="BW33" s="63">
        <v>-42780.500149999978</v>
      </c>
      <c r="BX33" s="63">
        <v>-42117.152869999998</v>
      </c>
      <c r="BY33" s="63">
        <v>-41602.11464</v>
      </c>
      <c r="BZ33" s="63">
        <v>-44541.074959999984</v>
      </c>
      <c r="CA33" s="63">
        <f t="shared" si="58"/>
        <v>-171040.84261999995</v>
      </c>
      <c r="CB33" s="63">
        <v>-38984.178899999999</v>
      </c>
      <c r="CC33" s="63">
        <v>-40161.91678</v>
      </c>
      <c r="CD33" s="63">
        <v>-33959.016000000003</v>
      </c>
      <c r="CE33" s="144">
        <v>-35342.194349999998</v>
      </c>
      <c r="CF33" s="233">
        <v>-161649</v>
      </c>
      <c r="CH33" s="144">
        <f t="shared" si="60"/>
        <v>9391.8426199999521</v>
      </c>
    </row>
    <row r="34" spans="3:89">
      <c r="C34" s="70" t="str">
        <f>IF('Índice - Index'!$D$14="Português","Mserviços - Despesas Administrativas","Mserviços - G&amp;A")</f>
        <v>Mserviços - Despesas Administrativas</v>
      </c>
      <c r="D34" s="63"/>
      <c r="E34" s="64"/>
      <c r="F34" s="64"/>
      <c r="G34" s="64"/>
      <c r="H34" s="64"/>
      <c r="I34" s="63"/>
      <c r="J34" s="64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169"/>
      <c r="BM34" s="63"/>
      <c r="BN34" s="169"/>
      <c r="BO34" s="63">
        <v>-10453.368400000007</v>
      </c>
      <c r="BP34" s="63">
        <v>-10600.546099999992</v>
      </c>
      <c r="BQ34" s="169">
        <v>-39477.95822</v>
      </c>
      <c r="BR34" s="63">
        <v>-12289.257120000006</v>
      </c>
      <c r="BS34" s="63">
        <v>-4504.1637182901013</v>
      </c>
      <c r="BT34" s="63">
        <v>1332.9932100000001</v>
      </c>
      <c r="BU34" s="63">
        <v>-3882.8522800000064</v>
      </c>
      <c r="BV34" s="169">
        <v>-20307.107590000003</v>
      </c>
      <c r="BW34" s="63">
        <v>-1934.5723399999999</v>
      </c>
      <c r="BX34" s="63">
        <v>-2197.4248799999996</v>
      </c>
      <c r="BY34" s="63">
        <v>-647.34492</v>
      </c>
      <c r="BZ34" s="63">
        <v>-1939.7001500000001</v>
      </c>
      <c r="CA34" s="63">
        <f t="shared" si="58"/>
        <v>-6719.0422899999994</v>
      </c>
      <c r="CB34" s="63">
        <v>-499.38370999999995</v>
      </c>
      <c r="CC34" s="63">
        <v>-356.97797999999983</v>
      </c>
      <c r="CD34" s="63">
        <v>-455.93049000000019</v>
      </c>
      <c r="CE34" s="144">
        <v>-569.3875300000002</v>
      </c>
      <c r="CF34" s="233">
        <f t="shared" si="59"/>
        <v>-1881.6797100000001</v>
      </c>
      <c r="CH34" s="144">
        <f t="shared" si="60"/>
        <v>4837.3625799999991</v>
      </c>
    </row>
    <row r="35" spans="3:89">
      <c r="C35" s="70" t="str">
        <f>IF('Índice - Index'!$D$14="Português","Mpagamentos - Despesas Administrativas","Mpagamentos - G&amp;A")</f>
        <v>Mpagamentos - Despesas Administrativas</v>
      </c>
      <c r="D35" s="63">
        <v>-10821</v>
      </c>
      <c r="E35" s="64">
        <v>-2714</v>
      </c>
      <c r="F35" s="64">
        <v>-2828</v>
      </c>
      <c r="G35" s="64">
        <v>-3538</v>
      </c>
      <c r="H35" s="64">
        <v>-6444</v>
      </c>
      <c r="I35" s="63">
        <v>-15524</v>
      </c>
      <c r="J35" s="64">
        <v>-6166</v>
      </c>
      <c r="K35" s="63">
        <v>-6565</v>
      </c>
      <c r="L35" s="63">
        <v>-6154</v>
      </c>
      <c r="M35" s="63">
        <v>-6231</v>
      </c>
      <c r="N35" s="63">
        <v>-25117</v>
      </c>
      <c r="O35" s="63">
        <v>-5795</v>
      </c>
      <c r="P35" s="63">
        <v>-5519</v>
      </c>
      <c r="Q35" s="63">
        <v>-6101</v>
      </c>
      <c r="R35" s="63">
        <v>-8283</v>
      </c>
      <c r="S35" s="63">
        <v>-25698</v>
      </c>
      <c r="T35" s="63">
        <v>-7017</v>
      </c>
      <c r="U35" s="63">
        <v>-7454</v>
      </c>
      <c r="V35" s="63">
        <v>-6669</v>
      </c>
      <c r="W35" s="63">
        <v>-15599</v>
      </c>
      <c r="X35" s="63">
        <v>-50255</v>
      </c>
      <c r="Y35" s="63">
        <v>-13090.929469999999</v>
      </c>
      <c r="Z35" s="63">
        <v>-10232.692300000002</v>
      </c>
      <c r="AA35" s="63">
        <v>-9925.9505600000011</v>
      </c>
      <c r="AB35" s="63">
        <v>-9266.6373000000021</v>
      </c>
      <c r="AC35" s="63">
        <v>-42517.01165</v>
      </c>
      <c r="AD35" s="63">
        <v>-13377.14473</v>
      </c>
      <c r="AE35" s="63">
        <v>-11504.13795</v>
      </c>
      <c r="AF35" s="63">
        <v>-10205.3069</v>
      </c>
      <c r="AG35" s="63">
        <v>-14206.121200000001</v>
      </c>
      <c r="AH35" s="63">
        <v>-49292.710780000001</v>
      </c>
      <c r="AI35" s="63">
        <v>-11487</v>
      </c>
      <c r="AJ35" s="63">
        <v>-14169</v>
      </c>
      <c r="AK35" s="63">
        <v>-12914</v>
      </c>
      <c r="AL35" s="63">
        <v>-15648</v>
      </c>
      <c r="AM35" s="63">
        <v>-54218</v>
      </c>
      <c r="AN35" s="63">
        <v>-11821</v>
      </c>
      <c r="AO35" s="63">
        <v>-14328</v>
      </c>
      <c r="AP35" s="63">
        <v>-12024</v>
      </c>
      <c r="AQ35" s="63">
        <v>-16333</v>
      </c>
      <c r="AR35" s="63">
        <v>-54506</v>
      </c>
      <c r="AS35" s="63">
        <v>-14737</v>
      </c>
      <c r="AT35" s="63">
        <v>-12908</v>
      </c>
      <c r="AU35" s="63">
        <v>-12577</v>
      </c>
      <c r="AV35" s="63">
        <v>-15824</v>
      </c>
      <c r="AW35" s="63">
        <v>-56046</v>
      </c>
      <c r="AX35" s="63">
        <v>-14895.850550000025</v>
      </c>
      <c r="AY35" s="63">
        <v>-15907.118759999976</v>
      </c>
      <c r="AZ35" s="63">
        <v>-39156.961189999216</v>
      </c>
      <c r="BA35" s="63">
        <v>-30841.511330000663</v>
      </c>
      <c r="BB35" s="63">
        <v>-100801.44182999988</v>
      </c>
      <c r="BC35" s="63">
        <v>-29755.273119999998</v>
      </c>
      <c r="BD35" s="63">
        <v>-18235.456489999939</v>
      </c>
      <c r="BE35" s="63">
        <v>-25353.167379999926</v>
      </c>
      <c r="BF35" s="63">
        <v>-33307.719660000352</v>
      </c>
      <c r="BG35" s="63">
        <v>-106651.61665000021</v>
      </c>
      <c r="BH35" s="63">
        <v>-22949.823809999958</v>
      </c>
      <c r="BI35" s="63">
        <v>-26357.882530000119</v>
      </c>
      <c r="BJ35" s="63">
        <v>-26696.153069999942</v>
      </c>
      <c r="BK35" s="63">
        <v>-32753.015460999999</v>
      </c>
      <c r="BL35" s="169">
        <v>-108756.87487100002</v>
      </c>
      <c r="BM35" s="63">
        <v>-25714.85799</v>
      </c>
      <c r="BN35" s="169">
        <v>-26812.440529999993</v>
      </c>
      <c r="BO35" s="63">
        <v>-16506.787390000001</v>
      </c>
      <c r="BP35" s="63">
        <v>0</v>
      </c>
      <c r="BQ35" s="169">
        <v>0</v>
      </c>
      <c r="BR35" s="63">
        <v>0</v>
      </c>
      <c r="BS35" s="63">
        <v>0</v>
      </c>
      <c r="BT35" s="63">
        <v>0</v>
      </c>
      <c r="BU35" s="63">
        <v>-6.4534199999999995</v>
      </c>
      <c r="BV35" s="169">
        <v>-31.854030000000002</v>
      </c>
      <c r="BW35" s="63">
        <v>0</v>
      </c>
      <c r="BX35" s="63">
        <v>0</v>
      </c>
      <c r="BY35" s="63">
        <v>0</v>
      </c>
      <c r="BZ35" s="63">
        <v>0</v>
      </c>
      <c r="CA35" s="63">
        <v>0</v>
      </c>
      <c r="CB35" s="63">
        <v>-1512.2566200000001</v>
      </c>
      <c r="CC35" s="63">
        <v>-795.09428000000003</v>
      </c>
      <c r="CD35" s="63">
        <v>-370.0535099999999</v>
      </c>
      <c r="CE35" s="144">
        <v>-8641.9663</v>
      </c>
      <c r="CF35" s="233">
        <f t="shared" si="59"/>
        <v>-11319.370709999999</v>
      </c>
      <c r="CH35" s="144">
        <f t="shared" si="60"/>
        <v>-11319.370709999999</v>
      </c>
    </row>
    <row r="36" spans="3:89">
      <c r="C36" s="69"/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169"/>
      <c r="BO36" s="64"/>
      <c r="BP36" s="64"/>
      <c r="BQ36" s="169"/>
      <c r="BR36" s="64"/>
      <c r="BS36" s="64"/>
      <c r="BT36" s="64"/>
      <c r="BU36" s="64"/>
      <c r="BV36" s="169"/>
      <c r="BW36" s="64"/>
      <c r="BX36" s="64"/>
      <c r="BY36" s="64"/>
      <c r="BZ36" s="64"/>
      <c r="CA36" s="64"/>
      <c r="CB36" s="64"/>
      <c r="CC36" s="64"/>
      <c r="CD36" s="64"/>
    </row>
    <row r="37" spans="3:89">
      <c r="C37" s="56" t="str">
        <f>IF('Índice - Index'!$D$14="Português","Outras Despesas e Receitas Oper.","Other Operating Expenses/Revenues")</f>
        <v>Outras Despesas e Receitas Oper.</v>
      </c>
      <c r="D37" s="57">
        <v>25563</v>
      </c>
      <c r="E37" s="57">
        <f t="shared" ref="E37:X37" si="61">SUM(E38:E40)</f>
        <v>2354</v>
      </c>
      <c r="F37" s="57">
        <f t="shared" si="61"/>
        <v>-22624</v>
      </c>
      <c r="G37" s="57">
        <f t="shared" si="61"/>
        <v>15635</v>
      </c>
      <c r="H37" s="57">
        <f t="shared" si="61"/>
        <v>8225</v>
      </c>
      <c r="I37" s="57">
        <f t="shared" si="61"/>
        <v>3590</v>
      </c>
      <c r="J37" s="57">
        <f t="shared" si="61"/>
        <v>1490</v>
      </c>
      <c r="K37" s="57">
        <f t="shared" si="61"/>
        <v>5912</v>
      </c>
      <c r="L37" s="57">
        <f t="shared" si="61"/>
        <v>12639</v>
      </c>
      <c r="M37" s="57">
        <f t="shared" si="61"/>
        <v>6333</v>
      </c>
      <c r="N37" s="57">
        <f t="shared" si="61"/>
        <v>28437</v>
      </c>
      <c r="O37" s="57">
        <f t="shared" si="61"/>
        <v>3058</v>
      </c>
      <c r="P37" s="57">
        <f t="shared" si="61"/>
        <v>-4352</v>
      </c>
      <c r="Q37" s="57">
        <f t="shared" si="61"/>
        <v>-4144</v>
      </c>
      <c r="R37" s="57">
        <f t="shared" si="61"/>
        <v>13096</v>
      </c>
      <c r="S37" s="57">
        <f t="shared" si="61"/>
        <v>7658</v>
      </c>
      <c r="T37" s="57">
        <f t="shared" si="61"/>
        <v>393</v>
      </c>
      <c r="U37" s="57">
        <f t="shared" si="61"/>
        <v>2937</v>
      </c>
      <c r="V37" s="57">
        <f t="shared" si="61"/>
        <v>1385</v>
      </c>
      <c r="W37" s="58">
        <f t="shared" si="61"/>
        <v>118</v>
      </c>
      <c r="X37" s="58">
        <f t="shared" si="61"/>
        <v>-6211</v>
      </c>
      <c r="Y37" s="57">
        <v>5097.2423900000003</v>
      </c>
      <c r="Z37" s="57">
        <v>7607.3189299999995</v>
      </c>
      <c r="AA37" s="57">
        <v>-4199.9372199999998</v>
      </c>
      <c r="AB37" s="57">
        <v>-9811.6241000000009</v>
      </c>
      <c r="AC37" s="57">
        <v>-1307</v>
      </c>
      <c r="AD37" s="57">
        <v>4050</v>
      </c>
      <c r="AE37" s="57">
        <v>-11563</v>
      </c>
      <c r="AF37" s="57">
        <v>-5968</v>
      </c>
      <c r="AG37" s="57">
        <v>-4278</v>
      </c>
      <c r="AH37" s="57">
        <v>-17759</v>
      </c>
      <c r="AI37" s="57">
        <v>17099</v>
      </c>
      <c r="AJ37" s="57">
        <v>2831</v>
      </c>
      <c r="AK37" s="57">
        <v>-1495</v>
      </c>
      <c r="AL37" s="57">
        <v>-3328</v>
      </c>
      <c r="AM37" s="57">
        <v>15107</v>
      </c>
      <c r="AN37" s="57">
        <v>57039</v>
      </c>
      <c r="AO37" s="57">
        <v>-9395</v>
      </c>
      <c r="AP37" s="57">
        <v>-3420</v>
      </c>
      <c r="AQ37" s="57">
        <v>-12882</v>
      </c>
      <c r="AR37" s="57">
        <v>30860</v>
      </c>
      <c r="AS37" s="57">
        <v>19632</v>
      </c>
      <c r="AT37" s="57">
        <v>3948</v>
      </c>
      <c r="AU37" s="57">
        <v>27856</v>
      </c>
      <c r="AV37" s="57">
        <v>315274</v>
      </c>
      <c r="AW37" s="57">
        <v>366710</v>
      </c>
      <c r="AX37" s="57">
        <v>-6396.3659499999994</v>
      </c>
      <c r="AY37" s="57">
        <v>6196.6539000000039</v>
      </c>
      <c r="AZ37" s="57">
        <v>-3908.3371200000029</v>
      </c>
      <c r="BA37" s="57">
        <v>5190.4172399999916</v>
      </c>
      <c r="BB37" s="57">
        <v>1082.3680699999932</v>
      </c>
      <c r="BC37" s="57">
        <v>-3943.7829900000002</v>
      </c>
      <c r="BD37" s="57">
        <v>-22950.060520000003</v>
      </c>
      <c r="BE37" s="57">
        <v>-5142.8438600000009</v>
      </c>
      <c r="BF37" s="57">
        <v>16189.411869999996</v>
      </c>
      <c r="BG37" s="57">
        <v>-15847.275500000007</v>
      </c>
      <c r="BH37" s="57">
        <v>4007.9892800000016</v>
      </c>
      <c r="BI37" s="57">
        <v>-15335.084840000003</v>
      </c>
      <c r="BJ37" s="57">
        <f t="shared" ref="BJ37:BT37" si="62">SUM(BJ38:BJ40)</f>
        <v>1317.3555800000067</v>
      </c>
      <c r="BK37" s="57">
        <f t="shared" si="62"/>
        <v>-17303.087390000008</v>
      </c>
      <c r="BL37" s="57">
        <f t="shared" si="62"/>
        <v>-27312.827369999999</v>
      </c>
      <c r="BM37" s="57">
        <f t="shared" si="62"/>
        <v>-12694.05867633962</v>
      </c>
      <c r="BN37" s="164">
        <f t="shared" si="62"/>
        <v>-16750.240250000003</v>
      </c>
      <c r="BO37" s="57">
        <f t="shared" si="62"/>
        <v>-23015.446659999998</v>
      </c>
      <c r="BP37" s="57">
        <f t="shared" si="62"/>
        <v>-39673.136740000002</v>
      </c>
      <c r="BQ37" s="164">
        <f t="shared" si="62"/>
        <v>-93041.940279999995</v>
      </c>
      <c r="BR37" s="57">
        <f t="shared" si="62"/>
        <v>-28400.390160000006</v>
      </c>
      <c r="BS37" s="57">
        <f t="shared" si="62"/>
        <v>31770.346209999996</v>
      </c>
      <c r="BT37" s="57">
        <f t="shared" si="62"/>
        <v>10978.810590000012</v>
      </c>
      <c r="BU37" s="57">
        <f t="shared" ref="BU37:BV37" si="63">SUM(BU38:BU40)</f>
        <v>-45155.625000000007</v>
      </c>
      <c r="BV37" s="164">
        <f t="shared" si="63"/>
        <v>-60355.317250000007</v>
      </c>
      <c r="BW37" s="57">
        <f t="shared" ref="BW37:CD37" si="64">SUM(BW38:BW40)</f>
        <v>3599.7051700000029</v>
      </c>
      <c r="BX37" s="57">
        <f t="shared" si="64"/>
        <v>-1747.4477399999992</v>
      </c>
      <c r="BY37" s="57">
        <f t="shared" si="64"/>
        <v>18560.39069</v>
      </c>
      <c r="BZ37" s="57">
        <f t="shared" si="64"/>
        <v>43874.623140000011</v>
      </c>
      <c r="CA37" s="57">
        <f t="shared" ref="CA37" si="65">SUM(CA38:CA40)</f>
        <v>64287.271260000009</v>
      </c>
      <c r="CB37" s="57">
        <f t="shared" si="64"/>
        <v>79290.29200000003</v>
      </c>
      <c r="CC37" s="57">
        <f t="shared" si="64"/>
        <v>48751.020859999997</v>
      </c>
      <c r="CD37" s="57">
        <f t="shared" si="64"/>
        <v>71540</v>
      </c>
      <c r="CE37" s="57">
        <f>SUM(CE38:CE40)</f>
        <v>-8151</v>
      </c>
      <c r="CF37" s="57">
        <v>191429</v>
      </c>
      <c r="CH37" s="144">
        <f t="shared" ref="CH37" si="66">CF37-CA37</f>
        <v>127141.72873999999</v>
      </c>
    </row>
    <row r="38" spans="3:89">
      <c r="C38" s="59" t="str">
        <f>IF('Índice - Index'!$D$14="Português","Varejo - Outras Receitas e Despesas Oper.","Retail - Other Operating Expenses/Revenues")</f>
        <v>Varejo - Outras Receitas e Despesas Oper.</v>
      </c>
      <c r="D38" s="61">
        <v>13869</v>
      </c>
      <c r="E38" s="61">
        <v>449</v>
      </c>
      <c r="F38" s="61">
        <v>-58</v>
      </c>
      <c r="G38" s="61">
        <v>2058</v>
      </c>
      <c r="H38" s="61">
        <v>5262</v>
      </c>
      <c r="I38" s="61">
        <v>7711</v>
      </c>
      <c r="J38" s="61">
        <v>7388</v>
      </c>
      <c r="K38" s="61">
        <v>9526</v>
      </c>
      <c r="L38" s="61">
        <v>8692</v>
      </c>
      <c r="M38" s="61">
        <v>8676</v>
      </c>
      <c r="N38" s="61">
        <v>33916</v>
      </c>
      <c r="O38" s="61">
        <v>7574</v>
      </c>
      <c r="P38" s="61">
        <v>-2480</v>
      </c>
      <c r="Q38" s="61">
        <v>-485</v>
      </c>
      <c r="R38" s="61">
        <v>12306</v>
      </c>
      <c r="S38" s="61">
        <v>16915</v>
      </c>
      <c r="T38" s="61">
        <v>-1105</v>
      </c>
      <c r="U38" s="61">
        <v>5504</v>
      </c>
      <c r="V38" s="61">
        <v>3991</v>
      </c>
      <c r="W38" s="61">
        <v>61</v>
      </c>
      <c r="X38" s="61">
        <v>-2623</v>
      </c>
      <c r="Y38" s="61">
        <v>5281.2423900000003</v>
      </c>
      <c r="Z38" s="61">
        <v>3931.3189299999999</v>
      </c>
      <c r="AA38" s="61">
        <v>-1404.9372200000003</v>
      </c>
      <c r="AB38" s="61">
        <v>-12989.624100000001</v>
      </c>
      <c r="AC38" s="61">
        <v>-5182</v>
      </c>
      <c r="AD38" s="61">
        <v>3148</v>
      </c>
      <c r="AE38" s="61">
        <v>-5763</v>
      </c>
      <c r="AF38" s="61">
        <v>-2634</v>
      </c>
      <c r="AG38" s="61">
        <v>-7684</v>
      </c>
      <c r="AH38" s="61">
        <v>-12933</v>
      </c>
      <c r="AI38" s="61">
        <v>4138</v>
      </c>
      <c r="AJ38" s="61">
        <v>5528</v>
      </c>
      <c r="AK38" s="61">
        <v>301</v>
      </c>
      <c r="AL38" s="61">
        <v>-4135</v>
      </c>
      <c r="AM38" s="61">
        <v>5832</v>
      </c>
      <c r="AN38" s="61">
        <v>57811</v>
      </c>
      <c r="AO38" s="61">
        <v>-6430</v>
      </c>
      <c r="AP38" s="61">
        <v>-1294</v>
      </c>
      <c r="AQ38" s="61">
        <v>-11046</v>
      </c>
      <c r="AR38" s="61">
        <v>38559</v>
      </c>
      <c r="AS38" s="61">
        <v>22456</v>
      </c>
      <c r="AT38" s="61">
        <v>8032</v>
      </c>
      <c r="AU38" s="61">
        <v>30945</v>
      </c>
      <c r="AV38" s="61">
        <v>318123</v>
      </c>
      <c r="AW38" s="61">
        <v>379556</v>
      </c>
      <c r="AX38" s="61">
        <v>-423.39433000000196</v>
      </c>
      <c r="AY38" s="61">
        <v>6666.3943300000019</v>
      </c>
      <c r="AZ38" s="61">
        <v>-2655.8230900000035</v>
      </c>
      <c r="BA38" s="61">
        <v>8186.0580599999957</v>
      </c>
      <c r="BB38" s="61">
        <v>11773.234969999992</v>
      </c>
      <c r="BC38" s="61">
        <v>-2039.4363599999995</v>
      </c>
      <c r="BD38" s="61">
        <v>-22064.276810000003</v>
      </c>
      <c r="BE38" s="61">
        <v>-3367.0879999999997</v>
      </c>
      <c r="BF38" s="61">
        <v>15965.608600000001</v>
      </c>
      <c r="BG38" s="61">
        <f>SUM(BC38:BF38)</f>
        <v>-11505.192570000001</v>
      </c>
      <c r="BH38" s="61">
        <v>-8112.7379200000014</v>
      </c>
      <c r="BI38" s="61">
        <v>-9506.3862499999977</v>
      </c>
      <c r="BJ38" s="61">
        <v>5166.9893500000017</v>
      </c>
      <c r="BK38" s="61">
        <v>-3751.1830000000064</v>
      </c>
      <c r="BL38" s="168">
        <v>-16203.317820000004</v>
      </c>
      <c r="BM38" s="60">
        <v>-9083.8587763396208</v>
      </c>
      <c r="BN38" s="168">
        <v>-10962.646770000003</v>
      </c>
      <c r="BO38" s="61">
        <v>-18666.248119999997</v>
      </c>
      <c r="BP38" s="61">
        <v>-26917.491129999999</v>
      </c>
      <c r="BQ38" s="168">
        <v>-65695.062299999991</v>
      </c>
      <c r="BR38" s="61">
        <v>-23948.977770000005</v>
      </c>
      <c r="BS38" s="61">
        <v>35049.840559999997</v>
      </c>
      <c r="BT38" s="61">
        <v>19962.744730000013</v>
      </c>
      <c r="BU38" s="61">
        <v>-25490.387980000007</v>
      </c>
      <c r="BV38" s="168">
        <v>-22594.717660000009</v>
      </c>
      <c r="BW38" s="61">
        <v>-7094.9923299999991</v>
      </c>
      <c r="BX38" s="61">
        <v>3753.7987600000001</v>
      </c>
      <c r="BY38" s="61">
        <v>17931.412400000001</v>
      </c>
      <c r="BZ38" s="61">
        <v>27515.933170000004</v>
      </c>
      <c r="CA38" s="61">
        <f t="shared" ref="CA38:CA39" si="67">SUM(BW38:BZ38)</f>
        <v>42106.152000000002</v>
      </c>
      <c r="CB38" s="61">
        <v>79739.354790000027</v>
      </c>
      <c r="CC38" s="61">
        <v>34279.527799999996</v>
      </c>
      <c r="CD38" s="61">
        <v>68002.030690000014</v>
      </c>
      <c r="CE38" s="61">
        <f>-10782-129-10</f>
        <v>-10921</v>
      </c>
      <c r="CF38" s="233">
        <f>SUM(CB38:CE38)</f>
        <v>171099.91328000004</v>
      </c>
    </row>
    <row r="39" spans="3:89">
      <c r="C39" s="59" t="str">
        <f>IF('Índice - Index'!$D$14="Português","Mserviços - Outras Receitas e Despesas Oper.","Mserviços - Other Operating Expenses/Revenues")</f>
        <v>Mserviços - Outras Receitas e Despesas Oper.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1"/>
      <c r="AT39" s="61"/>
      <c r="AU39" s="61"/>
      <c r="AV39" s="61"/>
      <c r="AW39" s="61"/>
      <c r="AX39" s="61"/>
      <c r="AY39" s="61"/>
      <c r="AZ39" s="61"/>
      <c r="BA39" s="61"/>
      <c r="BB39" s="61"/>
      <c r="BC39" s="61"/>
      <c r="BD39" s="61"/>
      <c r="BE39" s="61"/>
      <c r="BF39" s="61"/>
      <c r="BG39" s="61"/>
      <c r="BH39" s="61"/>
      <c r="BI39" s="61"/>
      <c r="BJ39" s="61"/>
      <c r="BK39" s="61"/>
      <c r="BL39" s="168"/>
      <c r="BM39" s="60"/>
      <c r="BN39" s="168"/>
      <c r="BO39" s="61">
        <v>-5272.1820100000014</v>
      </c>
      <c r="BP39" s="61">
        <v>-12755.645610000001</v>
      </c>
      <c r="BQ39" s="168">
        <v>-27346.877980000005</v>
      </c>
      <c r="BR39" s="61">
        <v>-4451.4123900000004</v>
      </c>
      <c r="BS39" s="61">
        <v>-3279.494349999999</v>
      </c>
      <c r="BT39" s="61">
        <v>-8983.9341400000012</v>
      </c>
      <c r="BU39" s="61">
        <v>-19662.956699999999</v>
      </c>
      <c r="BV39" s="168">
        <v>-37759.002219999995</v>
      </c>
      <c r="BW39" s="61">
        <v>10694.697500000002</v>
      </c>
      <c r="BX39" s="61">
        <v>-5501.2464999999993</v>
      </c>
      <c r="BY39" s="61">
        <v>628.97828999999979</v>
      </c>
      <c r="BZ39" s="61">
        <v>16358.689970000005</v>
      </c>
      <c r="CA39" s="61">
        <f t="shared" si="67"/>
        <v>22181.119260000007</v>
      </c>
      <c r="CB39" s="61">
        <v>-626.74608999999998</v>
      </c>
      <c r="CC39" s="61">
        <v>14030.539680000002</v>
      </c>
      <c r="CD39" s="61">
        <v>3561.1113099999993</v>
      </c>
      <c r="CE39" s="61">
        <v>1090</v>
      </c>
      <c r="CF39" s="233">
        <f>SUM(CB39:CE39)</f>
        <v>18054.904900000001</v>
      </c>
    </row>
    <row r="40" spans="3:89">
      <c r="C40" s="59" t="str">
        <f>IF('Índice - Index'!$D$14="Português","Mpagamentos - Outras Receitas e Despesas Oper.","Mpagamentos - Other Operating Expenses/Revenues")</f>
        <v>Mpagamentos - Outras Receitas e Despesas Oper.</v>
      </c>
      <c r="D40" s="61">
        <v>11694</v>
      </c>
      <c r="E40" s="61">
        <v>1905</v>
      </c>
      <c r="F40" s="61">
        <v>-22566</v>
      </c>
      <c r="G40" s="61">
        <v>13577</v>
      </c>
      <c r="H40" s="61">
        <v>2963</v>
      </c>
      <c r="I40" s="61">
        <v>-4121</v>
      </c>
      <c r="J40" s="61">
        <v>-5898</v>
      </c>
      <c r="K40" s="61">
        <v>-3614</v>
      </c>
      <c r="L40" s="61">
        <v>3947</v>
      </c>
      <c r="M40" s="61">
        <v>-2343</v>
      </c>
      <c r="N40" s="61">
        <v>-5479</v>
      </c>
      <c r="O40" s="61">
        <v>-4516</v>
      </c>
      <c r="P40" s="61">
        <v>-1872</v>
      </c>
      <c r="Q40" s="61">
        <v>-3659</v>
      </c>
      <c r="R40" s="61">
        <v>790</v>
      </c>
      <c r="S40" s="61">
        <v>-9257</v>
      </c>
      <c r="T40" s="61">
        <v>1498</v>
      </c>
      <c r="U40" s="61">
        <v>-2567</v>
      </c>
      <c r="V40" s="61">
        <v>-2606</v>
      </c>
      <c r="W40" s="61">
        <v>57</v>
      </c>
      <c r="X40" s="61">
        <v>-3588</v>
      </c>
      <c r="Y40" s="61">
        <v>-184</v>
      </c>
      <c r="Z40" s="61">
        <v>3676</v>
      </c>
      <c r="AA40" s="61">
        <v>-2795</v>
      </c>
      <c r="AB40" s="61">
        <v>3178</v>
      </c>
      <c r="AC40" s="61">
        <v>3875</v>
      </c>
      <c r="AD40" s="61">
        <v>902</v>
      </c>
      <c r="AE40" s="61">
        <v>-5800</v>
      </c>
      <c r="AF40" s="61">
        <v>-3334</v>
      </c>
      <c r="AG40" s="61">
        <v>3406</v>
      </c>
      <c r="AH40" s="61">
        <v>-4826</v>
      </c>
      <c r="AI40" s="61">
        <v>12961</v>
      </c>
      <c r="AJ40" s="61">
        <v>-2697</v>
      </c>
      <c r="AK40" s="61">
        <v>-1796</v>
      </c>
      <c r="AL40" s="61">
        <v>807</v>
      </c>
      <c r="AM40" s="61">
        <v>9275</v>
      </c>
      <c r="AN40" s="61">
        <v>-772</v>
      </c>
      <c r="AO40" s="61">
        <v>-2965</v>
      </c>
      <c r="AP40" s="61">
        <v>-2126</v>
      </c>
      <c r="AQ40" s="61">
        <v>-1836</v>
      </c>
      <c r="AR40" s="61">
        <v>-7699</v>
      </c>
      <c r="AS40" s="61">
        <v>-2824</v>
      </c>
      <c r="AT40" s="61">
        <v>-4084</v>
      </c>
      <c r="AU40" s="61">
        <v>-3089</v>
      </c>
      <c r="AV40" s="61">
        <v>-2849</v>
      </c>
      <c r="AW40" s="61">
        <v>-12846</v>
      </c>
      <c r="AX40" s="61">
        <v>-5972.9716199999975</v>
      </c>
      <c r="AY40" s="61">
        <v>-469.74042999999801</v>
      </c>
      <c r="AZ40" s="61">
        <v>-1252.5140299999994</v>
      </c>
      <c r="BA40" s="61">
        <v>-2995.6408200000042</v>
      </c>
      <c r="BB40" s="61">
        <v>-10690.866899999999</v>
      </c>
      <c r="BC40" s="61">
        <v>-1904.3466300000007</v>
      </c>
      <c r="BD40" s="61">
        <v>-885.78370999999902</v>
      </c>
      <c r="BE40" s="61">
        <v>-1775.7558600000009</v>
      </c>
      <c r="BF40" s="61">
        <f>BF37-BF38</f>
        <v>223.80326999999488</v>
      </c>
      <c r="BG40" s="61">
        <f>SUM(BC40:BF40)</f>
        <v>-4342.0829300000059</v>
      </c>
      <c r="BH40" s="61">
        <v>12120.727200000003</v>
      </c>
      <c r="BI40" s="61">
        <v>-5828.6985900000054</v>
      </c>
      <c r="BJ40" s="61">
        <v>-3849.6337699999949</v>
      </c>
      <c r="BK40" s="61">
        <v>-13551.90439</v>
      </c>
      <c r="BL40" s="168">
        <v>-11109.509549999997</v>
      </c>
      <c r="BM40" s="61">
        <v>-3610.1998999999996</v>
      </c>
      <c r="BN40" s="168">
        <v>-5787.5934800000005</v>
      </c>
      <c r="BO40" s="61">
        <v>922.98347000000012</v>
      </c>
      <c r="BP40" s="61">
        <v>0</v>
      </c>
      <c r="BQ40" s="168">
        <v>0</v>
      </c>
      <c r="BR40" s="61">
        <v>0</v>
      </c>
      <c r="BS40" s="61">
        <v>0</v>
      </c>
      <c r="BT40" s="61">
        <v>0</v>
      </c>
      <c r="BU40" s="61">
        <v>-2.2803199999998469</v>
      </c>
      <c r="BV40" s="168">
        <v>-1.5973699999995006</v>
      </c>
      <c r="BW40" s="61">
        <v>0</v>
      </c>
      <c r="BX40" s="61">
        <v>0</v>
      </c>
      <c r="BY40" s="61">
        <v>0</v>
      </c>
      <c r="BZ40" s="61">
        <v>0</v>
      </c>
      <c r="CA40" s="61">
        <v>0</v>
      </c>
      <c r="CB40" s="61">
        <v>177.68329999999995</v>
      </c>
      <c r="CC40" s="61">
        <v>440.95337999999987</v>
      </c>
      <c r="CD40" s="61">
        <v>-23.141999999999996</v>
      </c>
      <c r="CE40" s="61">
        <v>1680</v>
      </c>
      <c r="CF40" s="233">
        <f>SUM(CB40:CE40)</f>
        <v>2275.4946799999998</v>
      </c>
    </row>
    <row r="41" spans="3:89">
      <c r="C41" s="74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39"/>
      <c r="O41" s="126"/>
      <c r="P41" s="126"/>
      <c r="Q41" s="126"/>
      <c r="R41" s="126"/>
      <c r="S41" s="140"/>
      <c r="T41" s="126"/>
      <c r="U41" s="126"/>
      <c r="V41" s="126"/>
      <c r="W41" s="75"/>
      <c r="X41" s="75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82"/>
      <c r="BM41" s="126"/>
      <c r="BN41" s="182"/>
      <c r="BO41" s="126"/>
      <c r="BP41" s="126"/>
      <c r="BQ41" s="182"/>
      <c r="BR41" s="126"/>
      <c r="BS41" s="126"/>
      <c r="BT41" s="126"/>
      <c r="BU41" s="126"/>
      <c r="BV41" s="182"/>
      <c r="BW41" s="126"/>
      <c r="BX41" s="126"/>
      <c r="BY41" s="126"/>
      <c r="BZ41" s="126"/>
      <c r="CA41" s="126"/>
      <c r="CB41" s="126"/>
      <c r="CC41" s="126"/>
      <c r="CD41" s="126"/>
    </row>
    <row r="42" spans="3:89">
      <c r="C42" s="56" t="s">
        <v>0</v>
      </c>
      <c r="D42" s="57">
        <v>281589</v>
      </c>
      <c r="E42" s="57">
        <v>58845</v>
      </c>
      <c r="F42" s="57">
        <v>102445</v>
      </c>
      <c r="G42" s="57">
        <v>73596</v>
      </c>
      <c r="H42" s="57">
        <v>148615</v>
      </c>
      <c r="I42" s="57">
        <v>383501</v>
      </c>
      <c r="J42" s="57">
        <v>75101</v>
      </c>
      <c r="K42" s="57">
        <v>132481</v>
      </c>
      <c r="L42" s="57">
        <v>83684</v>
      </c>
      <c r="M42" s="57">
        <v>111258</v>
      </c>
      <c r="N42" s="57">
        <v>403329</v>
      </c>
      <c r="O42" s="57">
        <v>53168</v>
      </c>
      <c r="P42" s="57">
        <v>120692</v>
      </c>
      <c r="Q42" s="57">
        <v>124609</v>
      </c>
      <c r="R42" s="57">
        <v>200372</v>
      </c>
      <c r="S42" s="57">
        <v>498841</v>
      </c>
      <c r="T42" s="57">
        <v>71217</v>
      </c>
      <c r="U42" s="57">
        <v>122605</v>
      </c>
      <c r="V42" s="57">
        <v>83167</v>
      </c>
      <c r="W42" s="58">
        <v>93833</v>
      </c>
      <c r="X42" s="58">
        <v>370822</v>
      </c>
      <c r="Y42" s="57">
        <v>102985.99999999997</v>
      </c>
      <c r="Z42" s="57">
        <v>100606.00000000004</v>
      </c>
      <c r="AA42" s="57">
        <v>37235.000000000022</v>
      </c>
      <c r="AB42" s="57">
        <v>146411.00000000006</v>
      </c>
      <c r="AC42" s="57">
        <v>387238</v>
      </c>
      <c r="AD42" s="57">
        <v>64972</v>
      </c>
      <c r="AE42" s="57">
        <v>56936</v>
      </c>
      <c r="AF42" s="57">
        <v>45069</v>
      </c>
      <c r="AG42" s="57">
        <v>108900</v>
      </c>
      <c r="AH42" s="57">
        <v>275877</v>
      </c>
      <c r="AI42" s="57">
        <v>51330</v>
      </c>
      <c r="AJ42" s="57">
        <v>60676</v>
      </c>
      <c r="AK42" s="57">
        <v>7131</v>
      </c>
      <c r="AL42" s="57">
        <v>61598</v>
      </c>
      <c r="AM42" s="57">
        <v>180735</v>
      </c>
      <c r="AN42" s="57">
        <v>101616</v>
      </c>
      <c r="AO42" s="57">
        <v>42161</v>
      </c>
      <c r="AP42" s="57">
        <v>34107</v>
      </c>
      <c r="AQ42" s="57">
        <v>87704</v>
      </c>
      <c r="AR42" s="57">
        <v>265589</v>
      </c>
      <c r="AS42" s="57">
        <v>40702</v>
      </c>
      <c r="AT42" s="57">
        <v>47793</v>
      </c>
      <c r="AU42" s="57">
        <v>24290</v>
      </c>
      <c r="AV42" s="57">
        <v>305119.99999999977</v>
      </c>
      <c r="AW42" s="57">
        <v>417905</v>
      </c>
      <c r="AX42" s="57">
        <v>92829.330389999814</v>
      </c>
      <c r="AY42" s="57">
        <v>95708.730570000102</v>
      </c>
      <c r="AZ42" s="57">
        <v>47349.439529996518</v>
      </c>
      <c r="BA42" s="57">
        <v>168711.9816465145</v>
      </c>
      <c r="BB42" s="57">
        <v>404600.620506512</v>
      </c>
      <c r="BC42" s="57">
        <v>15363.101319992165</v>
      </c>
      <c r="BD42" s="57">
        <v>-130421.49883884451</v>
      </c>
      <c r="BE42" s="57">
        <v>-28293.225242165245</v>
      </c>
      <c r="BF42" s="57">
        <f>BF37+BF31+BF26</f>
        <v>112358.97526466782</v>
      </c>
      <c r="BG42" s="57">
        <f>BG37+BG31+BG26</f>
        <v>27925.309933650307</v>
      </c>
      <c r="BH42" s="57">
        <v>61582.883646339818</v>
      </c>
      <c r="BI42" s="57">
        <f t="shared" ref="BI42:BW42" si="68">BI37+BI31+BI26</f>
        <v>40055.560429999576</v>
      </c>
      <c r="BJ42" s="57">
        <f t="shared" si="68"/>
        <v>71997.436040000204</v>
      </c>
      <c r="BK42" s="164">
        <f t="shared" si="68"/>
        <v>101259.26631000004</v>
      </c>
      <c r="BL42" s="164">
        <f t="shared" si="68"/>
        <v>274895.1464263394</v>
      </c>
      <c r="BM42" s="164">
        <f t="shared" si="68"/>
        <v>18685.92902000001</v>
      </c>
      <c r="BN42" s="164">
        <f t="shared" si="68"/>
        <v>77386.670279999962</v>
      </c>
      <c r="BO42" s="57">
        <f t="shared" si="68"/>
        <v>28744.735059999977</v>
      </c>
      <c r="BP42" s="57">
        <f t="shared" si="68"/>
        <v>72985.090540000005</v>
      </c>
      <c r="BQ42" s="164">
        <f t="shared" si="68"/>
        <v>207899.57369999948</v>
      </c>
      <c r="BR42" s="57">
        <f t="shared" si="68"/>
        <v>-12537.228560000018</v>
      </c>
      <c r="BS42" s="57">
        <f t="shared" si="68"/>
        <v>45341.123771710088</v>
      </c>
      <c r="BT42" s="57">
        <f t="shared" si="68"/>
        <v>-55903.452080000017</v>
      </c>
      <c r="BU42" s="57">
        <f t="shared" si="68"/>
        <v>-54459.188019999594</v>
      </c>
      <c r="BV42" s="164">
        <f t="shared" si="68"/>
        <v>-64212.227849999559</v>
      </c>
      <c r="BW42" s="57">
        <f t="shared" si="68"/>
        <v>-26603.457759999932</v>
      </c>
      <c r="BX42" s="57">
        <f t="shared" ref="BX42:CF42" si="69">BX37+BX31+BX26</f>
        <v>5875.9349900000379</v>
      </c>
      <c r="BY42" s="57">
        <f t="shared" si="69"/>
        <v>35079.316800000001</v>
      </c>
      <c r="BZ42" s="57">
        <f t="shared" si="69"/>
        <v>120187.06800000012</v>
      </c>
      <c r="CA42" s="57">
        <f t="shared" ref="CA42" si="70">CA37+CA31+CA26</f>
        <v>134529.32414999977</v>
      </c>
      <c r="CB42" s="57">
        <f t="shared" si="69"/>
        <v>86397.845289999896</v>
      </c>
      <c r="CC42" s="57">
        <f t="shared" si="69"/>
        <v>111188.65181000004</v>
      </c>
      <c r="CD42" s="57">
        <f t="shared" si="69"/>
        <v>101929.03626999987</v>
      </c>
      <c r="CE42" s="164">
        <f t="shared" si="69"/>
        <v>67273.144620000065</v>
      </c>
      <c r="CF42" s="164">
        <f t="shared" si="69"/>
        <v>366787</v>
      </c>
      <c r="CH42" s="144"/>
    </row>
    <row r="43" spans="3:89">
      <c r="C43" s="69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169"/>
      <c r="BO43" s="64"/>
      <c r="BP43" s="64"/>
      <c r="BQ43" s="169"/>
      <c r="BR43" s="64"/>
      <c r="BS43" s="64"/>
      <c r="BT43" s="64"/>
      <c r="BU43" s="64"/>
      <c r="BV43" s="169"/>
      <c r="BW43" s="64"/>
      <c r="BX43" s="64"/>
      <c r="BY43" s="64"/>
      <c r="BZ43" s="64"/>
      <c r="CA43" s="64"/>
      <c r="CB43" s="64"/>
      <c r="CC43" s="64"/>
      <c r="CD43" s="64"/>
      <c r="CJ43" s="172"/>
      <c r="CK43" s="174"/>
    </row>
    <row r="44" spans="3:89">
      <c r="C44" s="69" t="str">
        <f>IF('Índice - Index'!$D$14="Português","- Depreciação e Amortização","- D&amp;A")</f>
        <v>- Depreciação e Amortização</v>
      </c>
      <c r="D44" s="63">
        <v>-82350</v>
      </c>
      <c r="E44" s="63">
        <v>-24100</v>
      </c>
      <c r="F44" s="63">
        <v>-24610</v>
      </c>
      <c r="G44" s="63">
        <v>-23535</v>
      </c>
      <c r="H44" s="63">
        <v>-25302</v>
      </c>
      <c r="I44" s="63">
        <v>-97547</v>
      </c>
      <c r="J44" s="63">
        <v>-28453</v>
      </c>
      <c r="K44" s="63">
        <v>-27921</v>
      </c>
      <c r="L44" s="63">
        <v>-19268</v>
      </c>
      <c r="M44" s="63">
        <v>-39755</v>
      </c>
      <c r="N44" s="63">
        <v>-115397</v>
      </c>
      <c r="O44" s="63">
        <v>-31500</v>
      </c>
      <c r="P44" s="63">
        <v>-32422</v>
      </c>
      <c r="Q44" s="63">
        <v>-32533</v>
      </c>
      <c r="R44" s="63">
        <v>-46970</v>
      </c>
      <c r="S44" s="63">
        <v>-143425</v>
      </c>
      <c r="T44" s="63">
        <v>-39042</v>
      </c>
      <c r="U44" s="63">
        <v>-40122</v>
      </c>
      <c r="V44" s="63">
        <v>-41660</v>
      </c>
      <c r="W44" s="63">
        <v>-43540</v>
      </c>
      <c r="X44" s="63">
        <v>-164364</v>
      </c>
      <c r="Y44" s="63">
        <v>-46443.000699999997</v>
      </c>
      <c r="Z44" s="63">
        <v>-46976</v>
      </c>
      <c r="AA44" s="63">
        <v>-48119</v>
      </c>
      <c r="AB44" s="63">
        <v>-49034</v>
      </c>
      <c r="AC44" s="63">
        <v>-190572</v>
      </c>
      <c r="AD44" s="63">
        <v>-49096</v>
      </c>
      <c r="AE44" s="63">
        <v>-49025</v>
      </c>
      <c r="AF44" s="63">
        <v>-47123</v>
      </c>
      <c r="AG44" s="63">
        <v>-53561</v>
      </c>
      <c r="AH44" s="63">
        <v>-198805</v>
      </c>
      <c r="AI44" s="63">
        <v>-42737</v>
      </c>
      <c r="AJ44" s="63">
        <v>-43990</v>
      </c>
      <c r="AK44" s="63">
        <v>-42870</v>
      </c>
      <c r="AL44" s="63">
        <v>-41783</v>
      </c>
      <c r="AM44" s="63">
        <v>-171380</v>
      </c>
      <c r="AN44" s="63">
        <v>-39348</v>
      </c>
      <c r="AO44" s="63">
        <v>-38629</v>
      </c>
      <c r="AP44" s="63">
        <v>-38097</v>
      </c>
      <c r="AQ44" s="63">
        <v>-37605</v>
      </c>
      <c r="AR44" s="63">
        <v>-153679</v>
      </c>
      <c r="AS44" s="63">
        <v>-36402</v>
      </c>
      <c r="AT44" s="63">
        <v>-34972</v>
      </c>
      <c r="AU44" s="63">
        <v>-33967</v>
      </c>
      <c r="AV44" s="63">
        <v>-32565</v>
      </c>
      <c r="AW44" s="63">
        <v>-137906</v>
      </c>
      <c r="AX44" s="63">
        <v>-80698.605710000003</v>
      </c>
      <c r="AY44" s="63">
        <v>-85432.649579999998</v>
      </c>
      <c r="AZ44" s="63">
        <v>-80873.548920000001</v>
      </c>
      <c r="BA44" s="63">
        <v>-80985.281349999976</v>
      </c>
      <c r="BB44" s="63">
        <v>-327990.08555999998</v>
      </c>
      <c r="BC44" s="63">
        <v>-77802.21209999999</v>
      </c>
      <c r="BD44" s="63">
        <v>-72610.963229999979</v>
      </c>
      <c r="BE44" s="63">
        <v>-69881.456029999958</v>
      </c>
      <c r="BF44" s="63">
        <v>-78109.22830000009</v>
      </c>
      <c r="BG44" s="63">
        <v>-298403.85966000002</v>
      </c>
      <c r="BH44" s="63">
        <v>-69773.930429999993</v>
      </c>
      <c r="BI44" s="63">
        <v>-68512.060260000013</v>
      </c>
      <c r="BJ44" s="63">
        <v>-68772.492829999988</v>
      </c>
      <c r="BK44" s="63">
        <v>-69145.9731300001</v>
      </c>
      <c r="BL44" s="183">
        <v>-276204.45665000012</v>
      </c>
      <c r="BM44" s="63">
        <v>-68978.053209999998</v>
      </c>
      <c r="BN44" s="169">
        <v>-69031.051330000002</v>
      </c>
      <c r="BO44" s="63">
        <v>-63400.814539999999</v>
      </c>
      <c r="BP44" s="63">
        <v>-65917.161160000018</v>
      </c>
      <c r="BQ44" s="169">
        <v>-266157.29498000006</v>
      </c>
      <c r="BR44" s="63">
        <v>-61326.406209999994</v>
      </c>
      <c r="BS44" s="63">
        <v>-51467.85714</v>
      </c>
      <c r="BT44" s="63">
        <v>-45650.54791999999</v>
      </c>
      <c r="BU44" s="63">
        <v>-48169.243350000012</v>
      </c>
      <c r="BV44" s="169">
        <v>-206614.05461999998</v>
      </c>
      <c r="BW44" s="63">
        <v>-43418.461159999999</v>
      </c>
      <c r="BX44" s="63">
        <v>-41782.596570000002</v>
      </c>
      <c r="BY44" s="63">
        <v>-40973.316799999986</v>
      </c>
      <c r="BZ44" s="63">
        <v>-40208.46491000001</v>
      </c>
      <c r="CA44" s="63">
        <f t="shared" ref="CA44:CA46" si="71">SUM(BW44:BZ44)</f>
        <v>-166382.83944000001</v>
      </c>
      <c r="CB44" s="63">
        <v>-45179</v>
      </c>
      <c r="CC44" s="63">
        <v>-42856</v>
      </c>
      <c r="CD44" s="63">
        <v>-39514</v>
      </c>
      <c r="CE44" s="226">
        <v>-42173</v>
      </c>
      <c r="CF44" s="144">
        <v>-169722</v>
      </c>
      <c r="CJ44" s="179"/>
      <c r="CK44" s="180"/>
    </row>
    <row r="45" spans="3:89" ht="14.4">
      <c r="C45" s="69" t="str">
        <f>IF('Índice - Index'!$D$14="Português","- Equivalência Patrimonial","- Equity Results")</f>
        <v>- Equivalência Patrimonial</v>
      </c>
      <c r="D45" s="71">
        <v>0</v>
      </c>
      <c r="E45" s="71" t="s">
        <v>14</v>
      </c>
      <c r="F45" s="71" t="s">
        <v>14</v>
      </c>
      <c r="G45" s="71" t="s">
        <v>14</v>
      </c>
      <c r="H45" s="71" t="s">
        <v>14</v>
      </c>
      <c r="I45" s="71">
        <v>0</v>
      </c>
      <c r="J45" s="71">
        <v>0</v>
      </c>
      <c r="K45" s="71">
        <v>0</v>
      </c>
      <c r="L45" s="71">
        <v>0</v>
      </c>
      <c r="M45" s="71">
        <v>0</v>
      </c>
      <c r="N45" s="71">
        <v>0</v>
      </c>
      <c r="O45" s="71">
        <v>0</v>
      </c>
      <c r="P45" s="71">
        <v>0</v>
      </c>
      <c r="Q45" s="71">
        <v>0</v>
      </c>
      <c r="R45" s="71">
        <v>0</v>
      </c>
      <c r="S45" s="71">
        <v>0</v>
      </c>
      <c r="T45" s="71">
        <v>0</v>
      </c>
      <c r="U45" s="71">
        <v>0</v>
      </c>
      <c r="V45" s="71">
        <v>0</v>
      </c>
      <c r="W45" s="71">
        <v>0</v>
      </c>
      <c r="X45" s="71">
        <v>0</v>
      </c>
      <c r="Y45" s="71">
        <v>0</v>
      </c>
      <c r="Z45" s="71">
        <v>0</v>
      </c>
      <c r="AA45" s="71">
        <v>-1206</v>
      </c>
      <c r="AB45" s="71">
        <v>-773</v>
      </c>
      <c r="AC45" s="71">
        <v>-1979</v>
      </c>
      <c r="AD45" s="71">
        <v>-1983</v>
      </c>
      <c r="AE45" s="71">
        <v>-1841</v>
      </c>
      <c r="AF45" s="71">
        <v>-489</v>
      </c>
      <c r="AG45" s="71">
        <v>-2026</v>
      </c>
      <c r="AH45" s="71">
        <v>-6339</v>
      </c>
      <c r="AI45" s="71">
        <v>0</v>
      </c>
      <c r="AJ45" s="71">
        <v>0</v>
      </c>
      <c r="AK45" s="71">
        <v>0</v>
      </c>
      <c r="AL45" s="71">
        <v>0</v>
      </c>
      <c r="AM45" s="71">
        <v>0</v>
      </c>
      <c r="AN45" s="71">
        <v>0</v>
      </c>
      <c r="AO45" s="71">
        <v>0</v>
      </c>
      <c r="AP45" s="71">
        <v>0</v>
      </c>
      <c r="AQ45" s="71">
        <v>0</v>
      </c>
      <c r="AR45" s="71">
        <v>0</v>
      </c>
      <c r="AS45" s="71">
        <v>0</v>
      </c>
      <c r="AT45" s="71">
        <v>0</v>
      </c>
      <c r="AU45" s="71">
        <v>0</v>
      </c>
      <c r="AV45" s="71">
        <v>0</v>
      </c>
      <c r="AW45" s="71">
        <v>0</v>
      </c>
      <c r="AX45" s="71">
        <v>0</v>
      </c>
      <c r="AY45" s="71">
        <v>0</v>
      </c>
      <c r="AZ45" s="71">
        <v>0</v>
      </c>
      <c r="BA45" s="71">
        <v>0</v>
      </c>
      <c r="BB45" s="71">
        <v>0</v>
      </c>
      <c r="BC45" s="71">
        <v>0</v>
      </c>
      <c r="BD45" s="71">
        <v>0</v>
      </c>
      <c r="BE45" s="71">
        <v>0</v>
      </c>
      <c r="BF45" s="71">
        <v>0</v>
      </c>
      <c r="BG45" s="71">
        <v>0</v>
      </c>
      <c r="BH45" s="71">
        <v>0</v>
      </c>
      <c r="BI45" s="71">
        <v>0</v>
      </c>
      <c r="BJ45" s="71">
        <v>0</v>
      </c>
      <c r="BK45" s="71">
        <v>0</v>
      </c>
      <c r="BL45" s="183">
        <v>0</v>
      </c>
      <c r="BM45" s="71">
        <v>0</v>
      </c>
      <c r="BN45" s="183">
        <v>0</v>
      </c>
      <c r="BO45" s="71">
        <v>0</v>
      </c>
      <c r="BP45" s="71">
        <v>-140957.25031999988</v>
      </c>
      <c r="BQ45" s="183">
        <v>-140894.88097999987</v>
      </c>
      <c r="BR45" s="71">
        <v>-2190.1835056</v>
      </c>
      <c r="BS45" s="71">
        <v>-10530.578826680026</v>
      </c>
      <c r="BT45" s="71">
        <v>-36670.866487680389</v>
      </c>
      <c r="BU45" s="71">
        <v>-169764.65765000001</v>
      </c>
      <c r="BV45" s="183">
        <v>-169764.65764999998</v>
      </c>
      <c r="BW45" s="71">
        <v>-34021.020620000003</v>
      </c>
      <c r="BX45" s="71">
        <v>-2611.3242899999891</v>
      </c>
      <c r="BY45" s="71">
        <v>-4818.4326899999924</v>
      </c>
      <c r="BZ45" s="71">
        <v>-14865.246860000019</v>
      </c>
      <c r="CA45" s="71">
        <f t="shared" si="71"/>
        <v>-56316.024460000008</v>
      </c>
      <c r="CB45" s="71" t="s">
        <v>14</v>
      </c>
      <c r="CC45" s="71" t="s">
        <v>14</v>
      </c>
      <c r="CD45" s="71">
        <v>0</v>
      </c>
      <c r="CE45" s="227">
        <v>-22046.127189999999</v>
      </c>
      <c r="CF45" s="228" t="s">
        <v>14</v>
      </c>
      <c r="CJ45" s="172"/>
      <c r="CK45" s="174"/>
    </row>
    <row r="46" spans="3:89">
      <c r="C46" s="69" t="str">
        <f>IF('Índice - Index'!$D$14="Português","- Financeiras, Líquidas","- Financial Expenses, net")</f>
        <v>- Financeiras, Líquidas</v>
      </c>
      <c r="D46" s="63">
        <v>-16207</v>
      </c>
      <c r="E46" s="63">
        <v>-3141</v>
      </c>
      <c r="F46" s="63">
        <v>-2530</v>
      </c>
      <c r="G46" s="63">
        <v>-6542</v>
      </c>
      <c r="H46" s="63">
        <v>-8049</v>
      </c>
      <c r="I46" s="63">
        <v>-20262</v>
      </c>
      <c r="J46" s="63">
        <v>-8489</v>
      </c>
      <c r="K46" s="63">
        <v>-14140</v>
      </c>
      <c r="L46" s="63">
        <v>-18216</v>
      </c>
      <c r="M46" s="63">
        <v>-21354</v>
      </c>
      <c r="N46" s="63">
        <v>-63005</v>
      </c>
      <c r="O46" s="63">
        <v>-25906</v>
      </c>
      <c r="P46" s="63">
        <v>-19576</v>
      </c>
      <c r="Q46" s="63">
        <v>-13224</v>
      </c>
      <c r="R46" s="63">
        <v>-6415</v>
      </c>
      <c r="S46" s="63">
        <v>-65121</v>
      </c>
      <c r="T46" s="63">
        <v>-21631</v>
      </c>
      <c r="U46" s="63">
        <v>-28022</v>
      </c>
      <c r="V46" s="63">
        <v>-25194</v>
      </c>
      <c r="W46" s="63">
        <v>-12260</v>
      </c>
      <c r="X46" s="63">
        <v>-87107</v>
      </c>
      <c r="Y46" s="63">
        <v>-40693.209409999996</v>
      </c>
      <c r="Z46" s="63">
        <v>-43216</v>
      </c>
      <c r="AA46" s="63">
        <v>-26005</v>
      </c>
      <c r="AB46" s="63">
        <v>-28342</v>
      </c>
      <c r="AC46" s="63">
        <v>-138256</v>
      </c>
      <c r="AD46" s="63">
        <v>-29880</v>
      </c>
      <c r="AE46" s="63">
        <v>-39497</v>
      </c>
      <c r="AF46" s="63">
        <v>-36759</v>
      </c>
      <c r="AG46" s="63">
        <v>-40605</v>
      </c>
      <c r="AH46" s="63">
        <v>-146741</v>
      </c>
      <c r="AI46" s="63">
        <v>-35064</v>
      </c>
      <c r="AJ46" s="63">
        <v>-35771</v>
      </c>
      <c r="AK46" s="63">
        <v>-39924</v>
      </c>
      <c r="AL46" s="63">
        <v>-43511</v>
      </c>
      <c r="AM46" s="63">
        <v>-154270</v>
      </c>
      <c r="AN46" s="63">
        <v>-33781</v>
      </c>
      <c r="AO46" s="63">
        <v>-30682</v>
      </c>
      <c r="AP46" s="63">
        <v>-30929</v>
      </c>
      <c r="AQ46" s="63">
        <v>-25077</v>
      </c>
      <c r="AR46" s="63">
        <v>-120469</v>
      </c>
      <c r="AS46" s="63">
        <v>-17075</v>
      </c>
      <c r="AT46" s="63">
        <v>-27238</v>
      </c>
      <c r="AU46" s="63">
        <v>-14176</v>
      </c>
      <c r="AV46" s="63">
        <v>331738</v>
      </c>
      <c r="AW46" s="63">
        <v>273249</v>
      </c>
      <c r="AX46" s="63">
        <v>-34275.934290000005</v>
      </c>
      <c r="AY46" s="63">
        <v>-38886.102639999983</v>
      </c>
      <c r="AZ46" s="63">
        <v>-37915.956220000007</v>
      </c>
      <c r="BA46" s="63">
        <v>-45476.175620000024</v>
      </c>
      <c r="BB46" s="63">
        <v>-156554.16877000002</v>
      </c>
      <c r="BC46" s="63">
        <v>-33719.430070000002</v>
      </c>
      <c r="BD46" s="63">
        <v>-41226.11069999999</v>
      </c>
      <c r="BE46" s="63">
        <v>-35264.635050000012</v>
      </c>
      <c r="BF46" s="63">
        <v>-54403.427629999991</v>
      </c>
      <c r="BG46" s="63">
        <v>-164613.60345</v>
      </c>
      <c r="BH46" s="63">
        <v>-41106.190310000005</v>
      </c>
      <c r="BI46" s="63">
        <v>-39120.50933999999</v>
      </c>
      <c r="BJ46" s="63">
        <v>-37778.485769999999</v>
      </c>
      <c r="BK46" s="63">
        <v>-51777.239609999968</v>
      </c>
      <c r="BL46" s="169">
        <v>-169782.42502999995</v>
      </c>
      <c r="BM46" s="63">
        <v>-45489.779020000002</v>
      </c>
      <c r="BN46" s="169">
        <v>-70501.120490000001</v>
      </c>
      <c r="BO46" s="63">
        <v>-87603.869900000005</v>
      </c>
      <c r="BP46" s="63">
        <v>-79928.468219999995</v>
      </c>
      <c r="BQ46" s="169">
        <v>-251365.10424999997</v>
      </c>
      <c r="BR46" s="63">
        <v>-72735.046359999993</v>
      </c>
      <c r="BS46" s="63">
        <v>-46730.414320000054</v>
      </c>
      <c r="BT46" s="63">
        <v>-58155.457230000015</v>
      </c>
      <c r="BU46" s="63">
        <v>20399.058279999983</v>
      </c>
      <c r="BV46" s="169">
        <v>-162660.47084000002</v>
      </c>
      <c r="BW46" s="63">
        <v>-42731.029930000004</v>
      </c>
      <c r="BX46" s="63">
        <v>-50617.738939999981</v>
      </c>
      <c r="BY46" s="63">
        <v>-59984.356800000009</v>
      </c>
      <c r="BZ46" s="63">
        <v>-60080.798760000005</v>
      </c>
      <c r="CA46" s="63">
        <f t="shared" si="71"/>
        <v>-213413.92442999998</v>
      </c>
      <c r="CB46" s="63">
        <v>-38808.339190000035</v>
      </c>
      <c r="CC46" s="63">
        <v>-67419.811890000012</v>
      </c>
      <c r="CD46" s="63">
        <v>-49906</v>
      </c>
      <c r="CE46" s="144">
        <v>-95314</v>
      </c>
      <c r="CF46" s="144">
        <v>-251448</v>
      </c>
      <c r="CJ46" s="172"/>
      <c r="CK46" s="174"/>
    </row>
    <row r="47" spans="3:89">
      <c r="C47" s="69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169"/>
      <c r="BO47" s="63"/>
      <c r="BP47" s="63"/>
      <c r="BQ47" s="169"/>
      <c r="BR47" s="63"/>
      <c r="BS47" s="63"/>
      <c r="BT47" s="63"/>
      <c r="BU47" s="63"/>
      <c r="BV47" s="169"/>
      <c r="BW47" s="63"/>
      <c r="BX47" s="63"/>
      <c r="BY47" s="63"/>
      <c r="BZ47" s="63"/>
      <c r="CA47" s="63"/>
      <c r="CB47" s="63"/>
      <c r="CC47" s="63"/>
      <c r="CD47" s="63"/>
    </row>
    <row r="48" spans="3:89">
      <c r="C48" s="56" t="str">
        <f>IF('Índice - Index'!$D$14="Português","Lucro Antes do IR/CS","Net Profit before Taxes")</f>
        <v>Lucro Antes do IR/CS</v>
      </c>
      <c r="D48" s="57">
        <f t="shared" ref="D48:I48" si="72">SUM(D42,D44:D46)</f>
        <v>183032</v>
      </c>
      <c r="E48" s="57">
        <f t="shared" si="72"/>
        <v>31604</v>
      </c>
      <c r="F48" s="57">
        <f t="shared" si="72"/>
        <v>75305</v>
      </c>
      <c r="G48" s="57">
        <f t="shared" si="72"/>
        <v>43519</v>
      </c>
      <c r="H48" s="57">
        <f t="shared" si="72"/>
        <v>115264</v>
      </c>
      <c r="I48" s="57">
        <f t="shared" si="72"/>
        <v>265692</v>
      </c>
      <c r="J48" s="57">
        <f t="shared" ref="J48:X48" si="73">SUM(J42,J44:J46)</f>
        <v>38159</v>
      </c>
      <c r="K48" s="57">
        <f t="shared" si="73"/>
        <v>90420</v>
      </c>
      <c r="L48" s="57">
        <f t="shared" si="73"/>
        <v>46200</v>
      </c>
      <c r="M48" s="57">
        <f t="shared" si="73"/>
        <v>50149</v>
      </c>
      <c r="N48" s="57">
        <f t="shared" si="73"/>
        <v>224927</v>
      </c>
      <c r="O48" s="57">
        <f t="shared" si="73"/>
        <v>-4238</v>
      </c>
      <c r="P48" s="57">
        <f t="shared" si="73"/>
        <v>68694</v>
      </c>
      <c r="Q48" s="57">
        <f t="shared" si="73"/>
        <v>78852</v>
      </c>
      <c r="R48" s="57">
        <f t="shared" si="73"/>
        <v>146987</v>
      </c>
      <c r="S48" s="57">
        <f t="shared" si="73"/>
        <v>290295</v>
      </c>
      <c r="T48" s="57">
        <f t="shared" si="73"/>
        <v>10544</v>
      </c>
      <c r="U48" s="57">
        <f t="shared" si="73"/>
        <v>54461</v>
      </c>
      <c r="V48" s="57">
        <f t="shared" si="73"/>
        <v>16313</v>
      </c>
      <c r="W48" s="57">
        <f t="shared" si="73"/>
        <v>38033</v>
      </c>
      <c r="X48" s="57">
        <f t="shared" si="73"/>
        <v>119351</v>
      </c>
      <c r="Y48" s="57">
        <f>Y42+SUM(Y44:Y46)</f>
        <v>15849.789889999985</v>
      </c>
      <c r="Z48" s="57">
        <f>Z42+SUM(Z44:Z46)</f>
        <v>10414.000000000044</v>
      </c>
      <c r="AA48" s="57">
        <f>AA42+SUM(AA44:AA46)</f>
        <v>-38094.999999999978</v>
      </c>
      <c r="AB48" s="57">
        <f>AB42+SUM(AB44:AB46)</f>
        <v>68262.000000000058</v>
      </c>
      <c r="AC48" s="57">
        <v>56431</v>
      </c>
      <c r="AD48" s="57">
        <v>-15987</v>
      </c>
      <c r="AE48" s="57">
        <v>-33427</v>
      </c>
      <c r="AF48" s="57">
        <v>-39302</v>
      </c>
      <c r="AG48" s="57">
        <v>12708</v>
      </c>
      <c r="AH48" s="57">
        <v>-76008</v>
      </c>
      <c r="AI48" s="57">
        <v>-26471</v>
      </c>
      <c r="AJ48" s="57">
        <v>-19085</v>
      </c>
      <c r="AK48" s="57">
        <v>-75663</v>
      </c>
      <c r="AL48" s="57">
        <v>-23696</v>
      </c>
      <c r="AM48" s="57">
        <v>-144915</v>
      </c>
      <c r="AN48" s="57">
        <v>28487</v>
      </c>
      <c r="AO48" s="57">
        <v>-27150</v>
      </c>
      <c r="AP48" s="57">
        <v>-34919</v>
      </c>
      <c r="AQ48" s="57">
        <v>25022</v>
      </c>
      <c r="AR48" s="57">
        <v>-8559</v>
      </c>
      <c r="AS48" s="57">
        <v>-12775</v>
      </c>
      <c r="AT48" s="57">
        <v>-14417</v>
      </c>
      <c r="AU48" s="57">
        <v>-23853</v>
      </c>
      <c r="AV48" s="57">
        <v>604292.99999999977</v>
      </c>
      <c r="AW48" s="57">
        <v>553248</v>
      </c>
      <c r="AX48" s="57">
        <v>-22145.209610000195</v>
      </c>
      <c r="AY48" s="57">
        <v>-28610.021649999879</v>
      </c>
      <c r="AZ48" s="57">
        <v>-71440.065610003483</v>
      </c>
      <c r="BA48" s="57">
        <v>42250.524676514498</v>
      </c>
      <c r="BB48" s="57">
        <v>-79943.633823488461</v>
      </c>
      <c r="BC48" s="57">
        <v>-96158.540850007819</v>
      </c>
      <c r="BD48" s="57">
        <v>-185340.61533884445</v>
      </c>
      <c r="BE48" s="57">
        <v>-133439.31632216522</v>
      </c>
      <c r="BF48" s="57">
        <f>BF52-BF50</f>
        <v>-20153.680665332242</v>
      </c>
      <c r="BG48" s="57">
        <f>BG52-BG50</f>
        <v>-435092.15317634982</v>
      </c>
      <c r="BH48" s="57">
        <v>-49297.237093660187</v>
      </c>
      <c r="BI48" s="57">
        <v>-67579.009170000354</v>
      </c>
      <c r="BJ48" s="57">
        <v>-34553.542559999842</v>
      </c>
      <c r="BK48" s="57">
        <f t="shared" ref="BK48:BV48" si="74">SUM(BK44:BK46,BK42)</f>
        <v>-19663.94643000004</v>
      </c>
      <c r="BL48" s="57">
        <f t="shared" si="74"/>
        <v>-171091.73525366071</v>
      </c>
      <c r="BM48" s="57">
        <f t="shared" si="74"/>
        <v>-95781.903209999989</v>
      </c>
      <c r="BN48" s="164">
        <f t="shared" si="74"/>
        <v>-62145.501540000027</v>
      </c>
      <c r="BO48" s="57">
        <f t="shared" si="74"/>
        <v>-122259.94938000003</v>
      </c>
      <c r="BP48" s="57">
        <f t="shared" ref="BP48:BT48" si="75">SUM(BP44:BP46,BP42)</f>
        <v>-213817.78915999987</v>
      </c>
      <c r="BQ48" s="164">
        <f t="shared" si="75"/>
        <v>-450517.7065100004</v>
      </c>
      <c r="BR48" s="57">
        <f t="shared" si="75"/>
        <v>-148788.86463560001</v>
      </c>
      <c r="BS48" s="57">
        <f t="shared" si="75"/>
        <v>-63387.726514969996</v>
      </c>
      <c r="BT48" s="57">
        <f t="shared" si="75"/>
        <v>-196380.32371768041</v>
      </c>
      <c r="BU48" s="57">
        <f t="shared" si="74"/>
        <v>-251994.03073999961</v>
      </c>
      <c r="BV48" s="164">
        <f t="shared" si="74"/>
        <v>-603251.41095999954</v>
      </c>
      <c r="BW48" s="57">
        <f t="shared" ref="BW48:CF48" si="76">SUM(BW44:BW46,BW42)</f>
        <v>-146773.96946999995</v>
      </c>
      <c r="BX48" s="57">
        <f t="shared" si="76"/>
        <v>-89135.724809999927</v>
      </c>
      <c r="BY48" s="57">
        <f t="shared" si="76"/>
        <v>-70696.789489999996</v>
      </c>
      <c r="BZ48" s="57">
        <f t="shared" si="76"/>
        <v>5032.5574700000871</v>
      </c>
      <c r="CA48" s="57">
        <f t="shared" ref="CA48" si="77">SUM(CA44:CA46,CA42)</f>
        <v>-301583.46418000024</v>
      </c>
      <c r="CB48" s="57">
        <f t="shared" si="76"/>
        <v>2410.5060999998677</v>
      </c>
      <c r="CC48" s="57">
        <f t="shared" si="76"/>
        <v>912.83992000002763</v>
      </c>
      <c r="CD48" s="57">
        <f t="shared" si="76"/>
        <v>12509.036269999866</v>
      </c>
      <c r="CE48" s="164">
        <f t="shared" si="76"/>
        <v>-92259.982569999935</v>
      </c>
      <c r="CF48" s="164">
        <f t="shared" si="76"/>
        <v>-54383</v>
      </c>
    </row>
    <row r="49" spans="3:84">
      <c r="C49" s="69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169"/>
      <c r="BO49" s="63"/>
      <c r="BP49" s="63"/>
      <c r="BQ49" s="169"/>
      <c r="BR49" s="63"/>
      <c r="BS49" s="63"/>
      <c r="BT49" s="63"/>
      <c r="BU49" s="63"/>
      <c r="BV49" s="169"/>
      <c r="BW49" s="63"/>
      <c r="BX49" s="63"/>
      <c r="BY49" s="63"/>
      <c r="BZ49" s="63"/>
      <c r="CA49" s="63"/>
      <c r="CB49" s="63"/>
      <c r="CC49" s="63"/>
      <c r="CD49" s="63"/>
    </row>
    <row r="50" spans="3:84">
      <c r="C50" s="69" t="str">
        <f>IF('Índice - Index'!$D$14="Português","- IR e CSLL","- Income Tax")</f>
        <v>- IR e CSLL</v>
      </c>
      <c r="D50" s="63">
        <v>-41780</v>
      </c>
      <c r="E50" s="63">
        <v>-6133</v>
      </c>
      <c r="F50" s="63">
        <v>-21309</v>
      </c>
      <c r="G50" s="63">
        <v>-1901</v>
      </c>
      <c r="H50" s="63">
        <v>-27674</v>
      </c>
      <c r="I50" s="63">
        <v>-57017</v>
      </c>
      <c r="J50" s="63">
        <v>-2133</v>
      </c>
      <c r="K50" s="63">
        <v>-19250</v>
      </c>
      <c r="L50" s="63">
        <v>-12175</v>
      </c>
      <c r="M50" s="63">
        <v>-13876</v>
      </c>
      <c r="N50" s="63">
        <v>-47434</v>
      </c>
      <c r="O50" s="63">
        <v>4624</v>
      </c>
      <c r="P50" s="63">
        <v>-21100</v>
      </c>
      <c r="Q50" s="63">
        <v>-12520</v>
      </c>
      <c r="R50" s="63">
        <v>-31385</v>
      </c>
      <c r="S50" s="63">
        <v>-60381</v>
      </c>
      <c r="T50" s="63">
        <v>-1798</v>
      </c>
      <c r="U50" s="63">
        <v>-15664</v>
      </c>
      <c r="V50" s="63">
        <v>-4062</v>
      </c>
      <c r="W50" s="63">
        <v>-12328</v>
      </c>
      <c r="X50" s="63">
        <v>-33852</v>
      </c>
      <c r="Y50" s="63">
        <v>-2090.4767799999936</v>
      </c>
      <c r="Z50" s="63">
        <v>1451</v>
      </c>
      <c r="AA50" s="63">
        <v>19713</v>
      </c>
      <c r="AB50" s="63">
        <v>-24422</v>
      </c>
      <c r="AC50" s="63">
        <v>-5349</v>
      </c>
      <c r="AD50" s="63">
        <v>10699</v>
      </c>
      <c r="AE50" s="63">
        <v>13158</v>
      </c>
      <c r="AF50" s="63">
        <v>12351</v>
      </c>
      <c r="AG50" s="63">
        <v>4036</v>
      </c>
      <c r="AH50" s="63">
        <v>40244</v>
      </c>
      <c r="AI50" s="63">
        <v>9290</v>
      </c>
      <c r="AJ50" s="63">
        <v>680</v>
      </c>
      <c r="AK50" s="63">
        <v>29244</v>
      </c>
      <c r="AL50" s="63">
        <v>17695</v>
      </c>
      <c r="AM50" s="63">
        <v>56909</v>
      </c>
      <c r="AN50" s="63">
        <v>-13741</v>
      </c>
      <c r="AO50" s="63">
        <v>2771</v>
      </c>
      <c r="AP50" s="63">
        <v>-15561</v>
      </c>
      <c r="AQ50" s="63">
        <v>-25348</v>
      </c>
      <c r="AR50" s="63">
        <v>-51879</v>
      </c>
      <c r="AS50" s="63">
        <v>-28305</v>
      </c>
      <c r="AT50" s="63">
        <v>-22591</v>
      </c>
      <c r="AU50" s="63">
        <v>-29231</v>
      </c>
      <c r="AV50" s="63">
        <v>-444758</v>
      </c>
      <c r="AW50" s="63">
        <v>-524885</v>
      </c>
      <c r="AX50" s="63">
        <v>-18721.135149999998</v>
      </c>
      <c r="AY50" s="63">
        <v>327.54445999999734</v>
      </c>
      <c r="AZ50" s="63">
        <v>-4546.7523099999999</v>
      </c>
      <c r="BA50" s="63">
        <v>-9478.5199399999983</v>
      </c>
      <c r="BB50" s="63">
        <v>-32418.862939999999</v>
      </c>
      <c r="BC50" s="63">
        <v>-10954.14114</v>
      </c>
      <c r="BD50" s="63">
        <v>13638.36334</v>
      </c>
      <c r="BE50" s="63">
        <v>8961.5604200000016</v>
      </c>
      <c r="BF50" s="63">
        <v>-8749.8675600000024</v>
      </c>
      <c r="BG50" s="63">
        <v>2895.9150600000003</v>
      </c>
      <c r="BH50" s="63">
        <v>-4081.0354199999988</v>
      </c>
      <c r="BI50" s="63">
        <v>8073.617119999999</v>
      </c>
      <c r="BJ50" s="63">
        <v>78931.783469999995</v>
      </c>
      <c r="BK50" s="63">
        <v>-4867.7160099999901</v>
      </c>
      <c r="BL50" s="63">
        <v>78054.41492000001</v>
      </c>
      <c r="BM50" s="63">
        <v>5063.9032099999995</v>
      </c>
      <c r="BN50" s="169">
        <v>27326.136290000002</v>
      </c>
      <c r="BO50" s="63">
        <v>20210.703450000001</v>
      </c>
      <c r="BP50" s="63">
        <v>-77975.757759999993</v>
      </c>
      <c r="BQ50" s="169">
        <v>-68863.781959999993</v>
      </c>
      <c r="BR50" s="63">
        <v>-178.26558</v>
      </c>
      <c r="BS50" s="63">
        <v>-19.401840000020457</v>
      </c>
      <c r="BT50" s="63">
        <v>-9.6502899999999912</v>
      </c>
      <c r="BU50" s="63">
        <v>82706.331749999998</v>
      </c>
      <c r="BV50" s="169">
        <v>82499.01403999998</v>
      </c>
      <c r="BW50" s="63">
        <v>-1535.85537</v>
      </c>
      <c r="BX50" s="63">
        <v>-12894.668689999999</v>
      </c>
      <c r="BY50" s="63">
        <v>-525.36956000000089</v>
      </c>
      <c r="BZ50" s="63">
        <v>746.56413000000134</v>
      </c>
      <c r="CA50" s="63">
        <f t="shared" ref="CA50" si="78">SUM(BW50:BZ50)</f>
        <v>-14209.329489999998</v>
      </c>
      <c r="CB50" s="63">
        <v>-45.379370000000002</v>
      </c>
      <c r="CC50" s="63">
        <v>1193.07584</v>
      </c>
      <c r="CD50" s="63">
        <v>-6671</v>
      </c>
      <c r="CE50" s="144">
        <v>-76</v>
      </c>
      <c r="CF50" s="144">
        <v>-5599</v>
      </c>
    </row>
    <row r="51" spans="3:84">
      <c r="C51" s="69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169"/>
      <c r="BO51" s="64"/>
      <c r="BP51" s="64"/>
      <c r="BQ51" s="169"/>
      <c r="BR51" s="64"/>
      <c r="BS51" s="64"/>
      <c r="BT51" s="64"/>
      <c r="BU51" s="64"/>
      <c r="BV51" s="169"/>
      <c r="BW51" s="64"/>
      <c r="BX51" s="64"/>
      <c r="BY51" s="64"/>
      <c r="BZ51" s="64"/>
      <c r="CA51" s="64"/>
      <c r="CB51" s="64"/>
      <c r="CC51" s="64"/>
      <c r="CD51" s="64"/>
    </row>
    <row r="52" spans="3:84">
      <c r="C52" s="56" t="str">
        <f>IF('Índice - Index'!$D$14="Português","Lucro Líquido","Net Profit")</f>
        <v>Lucro Líquido</v>
      </c>
      <c r="D52" s="57">
        <f>SUM(D48:D51)</f>
        <v>141252</v>
      </c>
      <c r="E52" s="57">
        <f>SUM(E48:E51)</f>
        <v>25471</v>
      </c>
      <c r="F52" s="57">
        <f>SUM(F48:F51)</f>
        <v>53996</v>
      </c>
      <c r="G52" s="57">
        <f>SUM(G48:G51)</f>
        <v>41618</v>
      </c>
      <c r="H52" s="57">
        <f>SUM(H48:H51)</f>
        <v>87590</v>
      </c>
      <c r="I52" s="57">
        <f t="shared" ref="I52:X52" si="79">SUM(I48:I51)</f>
        <v>208675</v>
      </c>
      <c r="J52" s="57">
        <f t="shared" si="79"/>
        <v>36026</v>
      </c>
      <c r="K52" s="57">
        <f t="shared" si="79"/>
        <v>71170</v>
      </c>
      <c r="L52" s="57">
        <f t="shared" si="79"/>
        <v>34025</v>
      </c>
      <c r="M52" s="57">
        <f t="shared" si="79"/>
        <v>36273</v>
      </c>
      <c r="N52" s="57">
        <f t="shared" si="79"/>
        <v>177493</v>
      </c>
      <c r="O52" s="57">
        <f t="shared" si="79"/>
        <v>386</v>
      </c>
      <c r="P52" s="57">
        <f t="shared" si="79"/>
        <v>47594</v>
      </c>
      <c r="Q52" s="57">
        <f t="shared" si="79"/>
        <v>66332</v>
      </c>
      <c r="R52" s="57">
        <f t="shared" si="79"/>
        <v>115602</v>
      </c>
      <c r="S52" s="57">
        <f t="shared" si="79"/>
        <v>229914</v>
      </c>
      <c r="T52" s="57">
        <f t="shared" si="79"/>
        <v>8746</v>
      </c>
      <c r="U52" s="57">
        <f t="shared" si="79"/>
        <v>38797</v>
      </c>
      <c r="V52" s="57">
        <f t="shared" si="79"/>
        <v>12251</v>
      </c>
      <c r="W52" s="57">
        <f t="shared" si="79"/>
        <v>25705</v>
      </c>
      <c r="X52" s="57">
        <f t="shared" si="79"/>
        <v>85499</v>
      </c>
      <c r="Y52" s="57">
        <v>13759.125290000007</v>
      </c>
      <c r="Z52" s="57">
        <v>11865.000000000044</v>
      </c>
      <c r="AA52" s="57">
        <v>-18381.999999999978</v>
      </c>
      <c r="AB52" s="57">
        <v>43840.000000000058</v>
      </c>
      <c r="AC52" s="57">
        <v>51082</v>
      </c>
      <c r="AD52" s="57">
        <v>-5288</v>
      </c>
      <c r="AE52" s="57">
        <v>-20269</v>
      </c>
      <c r="AF52" s="57">
        <v>-26951</v>
      </c>
      <c r="AG52" s="57">
        <v>16744</v>
      </c>
      <c r="AH52" s="57">
        <v>-35764</v>
      </c>
      <c r="AI52" s="57">
        <v>-17181</v>
      </c>
      <c r="AJ52" s="57">
        <v>-18405</v>
      </c>
      <c r="AK52" s="57">
        <v>-46419</v>
      </c>
      <c r="AL52" s="57">
        <v>-6001</v>
      </c>
      <c r="AM52" s="57">
        <v>-88006</v>
      </c>
      <c r="AN52" s="57">
        <v>14746</v>
      </c>
      <c r="AO52" s="57">
        <v>-24379</v>
      </c>
      <c r="AP52" s="57">
        <v>-50480</v>
      </c>
      <c r="AQ52" s="57">
        <v>-326</v>
      </c>
      <c r="AR52" s="57">
        <v>-60438</v>
      </c>
      <c r="AS52" s="57">
        <v>-41080</v>
      </c>
      <c r="AT52" s="57">
        <v>-37008</v>
      </c>
      <c r="AU52" s="57">
        <v>-53084</v>
      </c>
      <c r="AV52" s="57">
        <v>159534.99999999977</v>
      </c>
      <c r="AW52" s="57">
        <v>28363</v>
      </c>
      <c r="AX52" s="57">
        <v>-40865.344760000196</v>
      </c>
      <c r="AY52" s="57">
        <v>-28282.477189999881</v>
      </c>
      <c r="AZ52" s="57">
        <v>-75986.817920003479</v>
      </c>
      <c r="BA52" s="57">
        <v>32772.0047365145</v>
      </c>
      <c r="BB52" s="57">
        <v>-112362.49676348845</v>
      </c>
      <c r="BC52" s="57">
        <v>-107112.68199000781</v>
      </c>
      <c r="BD52" s="57">
        <v>-171702.25199884444</v>
      </c>
      <c r="BE52" s="57">
        <v>-124477.75590216523</v>
      </c>
      <c r="BF52" s="57">
        <v>-28903.548225332244</v>
      </c>
      <c r="BG52" s="57">
        <v>-432196.23811634979</v>
      </c>
      <c r="BH52" s="57">
        <v>-53378.272513660188</v>
      </c>
      <c r="BI52" s="57">
        <f>BI48+BI50</f>
        <v>-59505.392050000359</v>
      </c>
      <c r="BJ52" s="57">
        <f>BJ48+BJ50</f>
        <v>44378.240910000153</v>
      </c>
      <c r="BK52" s="57">
        <f t="shared" ref="BK52:BT52" si="80">SUM(BK48:BK50)</f>
        <v>-24531.662440000029</v>
      </c>
      <c r="BL52" s="57">
        <f t="shared" si="80"/>
        <v>-93037.320333660697</v>
      </c>
      <c r="BM52" s="57">
        <f t="shared" si="80"/>
        <v>-90717.999999999985</v>
      </c>
      <c r="BN52" s="164">
        <f t="shared" si="80"/>
        <v>-34819.365250000024</v>
      </c>
      <c r="BO52" s="57">
        <f t="shared" si="80"/>
        <v>-102049.24593000003</v>
      </c>
      <c r="BP52" s="57">
        <f t="shared" si="80"/>
        <v>-291793.54691999988</v>
      </c>
      <c r="BQ52" s="164">
        <f t="shared" si="80"/>
        <v>-519381.48847000039</v>
      </c>
      <c r="BR52" s="57">
        <f t="shared" si="80"/>
        <v>-148967.13021560002</v>
      </c>
      <c r="BS52" s="57">
        <f t="shared" si="80"/>
        <v>-63407.128354970017</v>
      </c>
      <c r="BT52" s="57">
        <f t="shared" si="80"/>
        <v>-196389.9740076804</v>
      </c>
      <c r="BU52" s="57">
        <f t="shared" ref="BU52:BV52" si="81">SUM(BU48:BU50)</f>
        <v>-169287.6989899996</v>
      </c>
      <c r="BV52" s="164">
        <f t="shared" si="81"/>
        <v>-520752.39691999956</v>
      </c>
      <c r="BW52" s="57">
        <f t="shared" ref="BW52:CF52" si="82">SUM(BW48:BW50)</f>
        <v>-148309.82483999996</v>
      </c>
      <c r="BX52" s="57">
        <f t="shared" si="82"/>
        <v>-102030.39349999992</v>
      </c>
      <c r="BY52" s="57">
        <f t="shared" si="82"/>
        <v>-71222.159050000002</v>
      </c>
      <c r="BZ52" s="57">
        <f t="shared" si="82"/>
        <v>5779.1216000000886</v>
      </c>
      <c r="CA52" s="57">
        <f t="shared" ref="CA52" si="83">SUM(CA48:CA50)</f>
        <v>-315792.79367000022</v>
      </c>
      <c r="CB52" s="57">
        <f t="shared" si="82"/>
        <v>2365.1267299998676</v>
      </c>
      <c r="CC52" s="57">
        <f t="shared" si="82"/>
        <v>2105.9157600000276</v>
      </c>
      <c r="CD52" s="57">
        <f t="shared" si="82"/>
        <v>5838.0362699998659</v>
      </c>
      <c r="CE52" s="164">
        <f t="shared" si="82"/>
        <v>-92335.982569999935</v>
      </c>
      <c r="CF52" s="164">
        <f t="shared" si="82"/>
        <v>-59982</v>
      </c>
    </row>
    <row r="53" spans="3:84">
      <c r="C53" s="72"/>
      <c r="AE53" s="73"/>
    </row>
    <row r="54" spans="3:84" ht="13.05" customHeight="1">
      <c r="C54" s="56" t="str">
        <f>IF('Índice - Index'!$D$14="Português","EBITDA Ajustado* - Varejo IFRS 16"," Retail - Adjusted EBITDA IFRS16")</f>
        <v>EBITDA Ajustado* - Varejo IFRS 16</v>
      </c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8"/>
      <c r="X54" s="58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>
        <v>53438.000000000007</v>
      </c>
      <c r="AR54" s="57">
        <f t="shared" ref="AR54:CB54" si="84">AR42</f>
        <v>265589</v>
      </c>
      <c r="AS54" s="57">
        <f t="shared" si="84"/>
        <v>40702</v>
      </c>
      <c r="AT54" s="57">
        <f t="shared" si="84"/>
        <v>47793</v>
      </c>
      <c r="AU54" s="57">
        <f t="shared" si="84"/>
        <v>24290</v>
      </c>
      <c r="AV54" s="57">
        <f t="shared" si="84"/>
        <v>305119.99999999977</v>
      </c>
      <c r="AW54" s="57">
        <f t="shared" si="84"/>
        <v>417905</v>
      </c>
      <c r="AX54" s="57">
        <f t="shared" si="84"/>
        <v>92829.330389999814</v>
      </c>
      <c r="AY54" s="57">
        <f t="shared" si="84"/>
        <v>95708.730570000102</v>
      </c>
      <c r="AZ54" s="57">
        <f t="shared" si="84"/>
        <v>47349.439529996518</v>
      </c>
      <c r="BA54" s="57">
        <f t="shared" si="84"/>
        <v>168711.9816465145</v>
      </c>
      <c r="BB54" s="57">
        <f t="shared" si="84"/>
        <v>404600.620506512</v>
      </c>
      <c r="BC54" s="57">
        <f t="shared" si="84"/>
        <v>15363.101319992165</v>
      </c>
      <c r="BD54" s="57">
        <f t="shared" si="84"/>
        <v>-130421.49883884451</v>
      </c>
      <c r="BE54" s="57">
        <f t="shared" si="84"/>
        <v>-28293.225242165245</v>
      </c>
      <c r="BF54" s="57">
        <f t="shared" si="84"/>
        <v>112358.97526466782</v>
      </c>
      <c r="BG54" s="57">
        <f t="shared" si="84"/>
        <v>27925.309933650307</v>
      </c>
      <c r="BH54" s="57">
        <f t="shared" si="84"/>
        <v>61582.883646339818</v>
      </c>
      <c r="BI54" s="57">
        <f t="shared" si="84"/>
        <v>40055.560429999576</v>
      </c>
      <c r="BJ54" s="57">
        <f t="shared" si="84"/>
        <v>71997.436040000204</v>
      </c>
      <c r="BK54" s="57">
        <f t="shared" si="84"/>
        <v>101259.26631000004</v>
      </c>
      <c r="BL54" s="57">
        <f t="shared" si="84"/>
        <v>274895.1464263394</v>
      </c>
      <c r="BM54" s="57">
        <f t="shared" si="84"/>
        <v>18685.92902000001</v>
      </c>
      <c r="BN54" s="57">
        <f t="shared" si="84"/>
        <v>77386.670279999962</v>
      </c>
      <c r="BO54" s="57">
        <f t="shared" si="84"/>
        <v>28744.735059999977</v>
      </c>
      <c r="BP54" s="57">
        <f t="shared" si="84"/>
        <v>72985.090540000005</v>
      </c>
      <c r="BQ54" s="57">
        <f t="shared" si="84"/>
        <v>207899.57369999948</v>
      </c>
      <c r="BR54" s="57">
        <f t="shared" si="84"/>
        <v>-12537.228560000018</v>
      </c>
      <c r="BS54" s="57">
        <f t="shared" si="84"/>
        <v>45341.123771710088</v>
      </c>
      <c r="BT54" s="57">
        <f t="shared" si="84"/>
        <v>-55903.452080000017</v>
      </c>
      <c r="BU54" s="57">
        <f t="shared" si="84"/>
        <v>-54459.188019999594</v>
      </c>
      <c r="BV54" s="57">
        <f t="shared" si="84"/>
        <v>-64212.227849999559</v>
      </c>
      <c r="BW54" s="57">
        <f t="shared" si="84"/>
        <v>-26603.457759999932</v>
      </c>
      <c r="BX54" s="57">
        <f t="shared" si="84"/>
        <v>5875.9349900000379</v>
      </c>
      <c r="BY54" s="57">
        <f t="shared" si="84"/>
        <v>35079.316800000001</v>
      </c>
      <c r="BZ54" s="57">
        <f t="shared" si="84"/>
        <v>120187.06800000012</v>
      </c>
      <c r="CA54" s="57">
        <f t="shared" ref="CA54" si="85">CA42</f>
        <v>134529.32414999977</v>
      </c>
      <c r="CB54" s="57">
        <f t="shared" si="84"/>
        <v>86397.845289999896</v>
      </c>
      <c r="CC54" s="57">
        <f>CC42</f>
        <v>111188.65181000004</v>
      </c>
      <c r="CD54" s="57">
        <f>CD42</f>
        <v>101929.03626999987</v>
      </c>
      <c r="CE54" s="225">
        <f t="shared" ref="CE54:CF54" si="86">CE42</f>
        <v>67273.144620000065</v>
      </c>
      <c r="CF54" s="225">
        <f t="shared" si="86"/>
        <v>366787</v>
      </c>
    </row>
    <row r="55" spans="3:84">
      <c r="C55" s="56" t="str">
        <f>IF('Índice - Index'!$D$14="Português","EBITDA Ajustado* - Varejo Ex-IFRS 16"," Retail - Adjusted EBITDA Ex-IFRS16")</f>
        <v>EBITDA Ajustado* - Varejo Ex-IFRS 16</v>
      </c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8"/>
      <c r="X55" s="58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>
        <v>-10987.289544050118</v>
      </c>
      <c r="AY55" s="57">
        <v>-544.61702635005429</v>
      </c>
      <c r="AZ55" s="57">
        <v>-25183.192771100734</v>
      </c>
      <c r="BA55" s="57">
        <v>54406.705257999885</v>
      </c>
      <c r="BB55" s="57">
        <f>SUM(AX55:BA55)</f>
        <v>17691.605916498978</v>
      </c>
      <c r="BC55" s="57">
        <v>-70997.424931974994</v>
      </c>
      <c r="BD55" s="57">
        <v>-154166.32796397482</v>
      </c>
      <c r="BE55" s="57">
        <v>-80778.95840002544</v>
      </c>
      <c r="BF55" s="57">
        <v>11546.917785973053</v>
      </c>
      <c r="BG55" s="57">
        <f>SUM(BC55:BF55)</f>
        <v>-294395.7935100022</v>
      </c>
      <c r="BH55" s="57">
        <v>-90799.792647224764</v>
      </c>
      <c r="BI55" s="57">
        <v>-18412.617262775275</v>
      </c>
      <c r="BJ55" s="57">
        <v>-29524.7802331251</v>
      </c>
      <c r="BK55" s="164">
        <v>14191.829134349902</v>
      </c>
      <c r="BL55" s="164">
        <v>-124545.36100877513</v>
      </c>
      <c r="BM55" s="164">
        <v>-64308.739159614684</v>
      </c>
      <c r="BN55" s="164">
        <v>25571.244667399915</v>
      </c>
      <c r="BO55" s="57">
        <v>-29906.031788424982</v>
      </c>
      <c r="BP55" s="164">
        <v>23833.718027974945</v>
      </c>
      <c r="BQ55" s="164">
        <v>-44216.9355963259</v>
      </c>
      <c r="BR55" s="164">
        <v>-82791.988859999838</v>
      </c>
      <c r="BS55" s="164">
        <v>-20874.504439999844</v>
      </c>
      <c r="BT55" s="164">
        <v>-120940.35141</v>
      </c>
      <c r="BU55" s="164">
        <v>-78790.125139999756</v>
      </c>
      <c r="BV55" s="164">
        <f>SUM(BR55:BU55)</f>
        <v>-303396.96984999941</v>
      </c>
      <c r="BW55" s="164">
        <v>-74328.119499999942</v>
      </c>
      <c r="BX55" s="164">
        <v>-45777.208179999951</v>
      </c>
      <c r="BY55" s="164">
        <v>-7490.7263500000627</v>
      </c>
      <c r="BZ55" s="164">
        <v>57443.129459999749</v>
      </c>
      <c r="CA55" s="164">
        <f t="shared" ref="CA55" si="87">SUM(BW55:BZ55)</f>
        <v>-70152.924570000221</v>
      </c>
      <c r="CB55" s="164">
        <v>39656.908369999888</v>
      </c>
      <c r="CC55" s="164">
        <v>64663.040740000062</v>
      </c>
      <c r="CD55" s="164">
        <v>55330</v>
      </c>
      <c r="CE55" s="164">
        <v>17661.141819999873</v>
      </c>
      <c r="CF55" s="164">
        <f>SUM(CB55:CE55)</f>
        <v>177311.09092999983</v>
      </c>
    </row>
    <row r="56" spans="3:84">
      <c r="C56" s="181" t="str">
        <f>IF('Índice - Index'!$D$14="Português","*ajustes não operacionais","* Adjusted for non-operating items")</f>
        <v>*ajustes não operacionais</v>
      </c>
      <c r="AE56" s="64"/>
      <c r="AS56" s="135"/>
      <c r="BD56" s="144"/>
    </row>
    <row r="57" spans="3:84">
      <c r="C57" s="181" t="str">
        <f>IF('Índice - Index'!$D$14="Português","**A partir de junho de 2023 houve uma cisão separando Mserviços e Mpagamentos","**In June 2023 there was a split, separating Mserviços and Mpagamentos")</f>
        <v>**A partir de junho de 2023 houve uma cisão separando Mserviços e Mpagamentos</v>
      </c>
      <c r="AE57" s="73"/>
      <c r="BH57" s="144"/>
      <c r="BI57" s="144"/>
      <c r="BJ57" s="144"/>
      <c r="BK57" s="144"/>
      <c r="BL57" s="144"/>
      <c r="BM57" s="144"/>
      <c r="BN57" s="144"/>
      <c r="BO57" s="144"/>
      <c r="BP57" s="144"/>
      <c r="BQ57" s="144"/>
      <c r="BR57" s="144"/>
      <c r="BS57" s="144"/>
      <c r="BT57" s="144"/>
      <c r="BU57" s="144"/>
      <c r="BV57" s="144"/>
      <c r="BW57" s="144"/>
      <c r="BX57" s="144"/>
      <c r="BY57" s="144"/>
      <c r="BZ57" s="144"/>
      <c r="CA57" s="144"/>
      <c r="CB57" s="144"/>
      <c r="CC57" s="144"/>
      <c r="CD57" s="144"/>
      <c r="CE57" s="144"/>
      <c r="CF57" s="144"/>
    </row>
    <row r="58" spans="3:84">
      <c r="C58" s="181" t="str">
        <f>IF('Índice - Index'!$D$14="Português","*** Resultado 2023 e 2022 difere da soma dos trimestres devido às alterações na divulgação de resultados da Mpagamentos (antigo Mbank)","*** 2023 results differ from the sum of the quarters due to changes in the release of Mpagamentos (former Mbank) results")</f>
        <v>*** Resultado 2023 e 2022 difere da soma dos trimestres devido às alterações na divulgação de resultados da Mpagamentos (antigo Mbank)</v>
      </c>
      <c r="BH58" s="144"/>
      <c r="BI58" s="144"/>
      <c r="BJ58" s="144"/>
      <c r="BK58" s="144"/>
    </row>
    <row r="59" spans="3:84">
      <c r="C59" s="181" t="str">
        <f>IF('Índice - Index'!$D$14="Português","**** A companhia não divulgou resultados ex-IFRS a partir do 2T24, e reapresentação do 2T23","**** The company did not disclose ex-IFRS results for 2Q24, and restatement of 2Q23 and beyond")</f>
        <v>**** A companhia não divulgou resultados ex-IFRS a partir do 2T24, e reapresentação do 2T23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&amp;R_x000D_&amp;1#&amp;"Calibri"&amp;10&amp;K000000 Classificação Interna</oddFooter>
  </headerFooter>
  <ignoredErrors>
    <ignoredError sqref="J5 L9 H29 G29 Q9 G27 H27" formula="1"/>
    <ignoredError sqref="D3" numberStoredAsText="1"/>
    <ignoredError sqref="CE3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4">
    <tabColor rgb="FFFFCCFF"/>
  </sheetPr>
  <dimension ref="A1:BE44"/>
  <sheetViews>
    <sheetView showGridLines="0" topLeftCell="C1" zoomScale="115" zoomScaleNormal="115" workbookViewId="0">
      <pane xSplit="1" ySplit="3" topLeftCell="BB4" activePane="bottomRight" state="frozen"/>
      <selection activeCell="B1" sqref="B1"/>
      <selection pane="topRight" activeCell="B1" sqref="B1"/>
      <selection pane="bottomLeft" activeCell="B1" sqref="B1"/>
      <selection pane="bottomRight" activeCell="BE3" sqref="BE3"/>
    </sheetView>
  </sheetViews>
  <sheetFormatPr defaultColWidth="9.21875" defaultRowHeight="13.2" outlineLevelCol="1"/>
  <cols>
    <col min="1" max="2" width="2.21875" style="25" bestFit="1" customWidth="1"/>
    <col min="3" max="3" width="47.44140625" style="25" customWidth="1"/>
    <col min="4" max="4" width="12.44140625" style="27" hidden="1" customWidth="1" outlineLevel="1"/>
    <col min="5" max="7" width="11.5546875" style="27" hidden="1" customWidth="1" outlineLevel="1"/>
    <col min="8" max="8" width="11.5546875" style="27" bestFit="1" customWidth="1" collapsed="1"/>
    <col min="9" max="9" width="12.44140625" style="27" hidden="1" customWidth="1" outlineLevel="1"/>
    <col min="10" max="12" width="11.5546875" style="27" hidden="1" customWidth="1" outlineLevel="1"/>
    <col min="13" max="13" width="11.5546875" style="27" bestFit="1" customWidth="1" collapsed="1"/>
    <col min="14" max="14" width="12.44140625" style="27" hidden="1" customWidth="1" outlineLevel="1"/>
    <col min="15" max="17" width="11.5546875" style="27" hidden="1" customWidth="1" outlineLevel="1"/>
    <col min="18" max="18" width="12.44140625" style="27" bestFit="1" customWidth="1" collapsed="1"/>
    <col min="19" max="22" width="11.44140625" style="27" hidden="1" customWidth="1" outlineLevel="1"/>
    <col min="23" max="23" width="11.44140625" style="27" customWidth="1" collapsed="1"/>
    <col min="24" max="27" width="11.44140625" style="27" hidden="1" customWidth="1" outlineLevel="1"/>
    <col min="28" max="28" width="11.44140625" style="27" customWidth="1" collapsed="1"/>
    <col min="29" max="31" width="11.44140625" style="27" hidden="1" customWidth="1" outlineLevel="1" collapsed="1"/>
    <col min="32" max="32" width="11.44140625" style="27" customWidth="1" collapsed="1"/>
    <col min="33" max="35" width="11.44140625" style="27" hidden="1" customWidth="1" outlineLevel="1" collapsed="1"/>
    <col min="36" max="36" width="11.44140625" style="27" customWidth="1" collapsed="1"/>
    <col min="37" max="37" width="11.44140625" style="27" hidden="1" customWidth="1" outlineLevel="1"/>
    <col min="38" max="38" width="9.77734375" style="27" hidden="1" customWidth="1" outlineLevel="1"/>
    <col min="39" max="39" width="9.5546875" style="27" hidden="1" customWidth="1" outlineLevel="1"/>
    <col min="40" max="40" width="15.21875" style="27" customWidth="1" collapsed="1"/>
    <col min="41" max="42" width="15.44140625" style="27" hidden="1" customWidth="1" outlineLevel="1"/>
    <col min="43" max="43" width="18.44140625" style="27" hidden="1" customWidth="1" outlineLevel="1"/>
    <col min="44" max="44" width="15.21875" style="27" customWidth="1" collapsed="1"/>
    <col min="45" max="47" width="11.44140625" style="27" hidden="1" customWidth="1" outlineLevel="1" collapsed="1"/>
    <col min="48" max="48" width="11.44140625" style="27" customWidth="1" collapsed="1"/>
    <col min="49" max="51" width="11.44140625" style="27" hidden="1" customWidth="1" outlineLevel="1" collapsed="1"/>
    <col min="52" max="52" width="11.44140625" style="27" customWidth="1" collapsed="1"/>
    <col min="53" max="55" width="12.77734375" style="27" customWidth="1" collapsed="1"/>
    <col min="56" max="56" width="12.77734375" style="27" customWidth="1"/>
    <col min="57" max="57" width="13.21875" style="27" bestFit="1" customWidth="1"/>
    <col min="58" max="16384" width="9.21875" style="27"/>
  </cols>
  <sheetData>
    <row r="1" spans="3:57">
      <c r="C1" s="53"/>
    </row>
    <row r="3" spans="3:57" ht="28.05" customHeight="1">
      <c r="C3" s="76" t="str">
        <f>IF('Índice - Index'!$D$14="Português","FLUXO DE CAIXA (R$ Milhares)","CASH FLOW (R$ million)")</f>
        <v>FLUXO DE CAIXA (R$ Milhares)</v>
      </c>
      <c r="D3" s="28" t="str">
        <f>IF('Índice - Index'!$D$14="Português","1T14","1Q14")</f>
        <v>1T14</v>
      </c>
      <c r="E3" s="28" t="str">
        <f>IF('Índice - Index'!$D$14="Português","2T14","2Q14")</f>
        <v>2T14</v>
      </c>
      <c r="F3" s="28" t="str">
        <f>IF('Índice - Index'!$D$14="Português","3T14","3Q14")</f>
        <v>3T14</v>
      </c>
      <c r="G3" s="28" t="str">
        <f>IF('Índice - Index'!$D$14="Português","4T14","4Q14")</f>
        <v>4T14</v>
      </c>
      <c r="H3" s="28" t="str">
        <f>IF('Índice - Index'!$D$14="Português","2014","2014")</f>
        <v>2014</v>
      </c>
      <c r="I3" s="28" t="str">
        <f>IF('Índice - Index'!$D$14="Português","1T15","1Q15")</f>
        <v>1T15</v>
      </c>
      <c r="J3" s="28" t="str">
        <f>IF('Índice - Index'!$D$14="Português","2T15","2Q15")</f>
        <v>2T15</v>
      </c>
      <c r="K3" s="28" t="str">
        <f>IF('Índice - Index'!$D$14="Português","3T15","3Q15")</f>
        <v>3T15</v>
      </c>
      <c r="L3" s="28" t="str">
        <f>IF('Índice - Index'!$D$14="Português","4T15","4Q15")</f>
        <v>4T15</v>
      </c>
      <c r="M3" s="28" t="str">
        <f>IF('Índice - Index'!$D$14="Português","2015","2015")</f>
        <v>2015</v>
      </c>
      <c r="N3" s="28" t="str">
        <f>IF('Índice - Index'!$D$14="Português","1T16","1Q16")</f>
        <v>1T16</v>
      </c>
      <c r="O3" s="28" t="str">
        <f>IF('Índice - Index'!$D$14="Português","2T16","2Q16")</f>
        <v>2T16</v>
      </c>
      <c r="P3" s="28" t="str">
        <f>IF('Índice - Index'!$D$14="Português","3T16","3Q16")</f>
        <v>3T16</v>
      </c>
      <c r="Q3" s="28" t="str">
        <f>IF('Índice - Index'!$D$14="Português","4T16","4Q16")</f>
        <v>4T16</v>
      </c>
      <c r="R3" s="28" t="str">
        <f>IF('Índice - Index'!$D$14="Português","2016","2016")</f>
        <v>2016</v>
      </c>
      <c r="S3" s="28" t="str">
        <f>IF('Índice - Index'!$D$14="Português","1T17","1Q17")</f>
        <v>1T17</v>
      </c>
      <c r="T3" s="28" t="str">
        <f>IF('Índice - Index'!$D$14="Português","2T17","2Q17")</f>
        <v>2T17</v>
      </c>
      <c r="U3" s="28" t="str">
        <f>IF('Índice - Index'!$D$14="Português","3T17","3Q17")</f>
        <v>3T17</v>
      </c>
      <c r="V3" s="28" t="str">
        <f>IF('Índice - Index'!$D$14="Português","4T17","4Q17")</f>
        <v>4T17</v>
      </c>
      <c r="W3" s="28">
        <v>2017</v>
      </c>
      <c r="X3" s="28" t="str">
        <f>IF('Índice - Index'!$D$14="Português","1T18","1Q18")</f>
        <v>1T18</v>
      </c>
      <c r="Y3" s="28" t="str">
        <f>IF('Índice - Index'!$D$14="Português","2T18","2Q18")</f>
        <v>2T18</v>
      </c>
      <c r="Z3" s="28" t="str">
        <f>IF('Índice - Index'!$D$14="Português","3T18","3Q18")</f>
        <v>3T18</v>
      </c>
      <c r="AA3" s="28" t="str">
        <f>IF('Índice - Index'!$D$14="Português","4T18","4Q18")</f>
        <v>4T18</v>
      </c>
      <c r="AB3" s="79" t="str">
        <f>IF('Índice - Index'!$D$14="Português","2018","2018")</f>
        <v>2018</v>
      </c>
      <c r="AC3" s="79" t="str">
        <f>IF('Índice - Index'!$D$14="Português","1T19","1Q19")</f>
        <v>1T19</v>
      </c>
      <c r="AD3" s="79" t="str">
        <f>IF('Índice - Index'!$D$14="Português","6M19","6M19")</f>
        <v>6M19</v>
      </c>
      <c r="AE3" s="79" t="s">
        <v>20</v>
      </c>
      <c r="AF3" s="79">
        <v>2019</v>
      </c>
      <c r="AG3" s="79" t="str">
        <f>IF('Índice - Index'!$D$14="Português","1T20","1Q20")</f>
        <v>1T20</v>
      </c>
      <c r="AH3" s="79" t="s">
        <v>21</v>
      </c>
      <c r="AI3" s="79" t="s">
        <v>22</v>
      </c>
      <c r="AJ3" s="79">
        <v>2020</v>
      </c>
      <c r="AK3" s="79" t="str">
        <f>IF('Índice - Index'!$D$14="Português","1T21","1Q21")</f>
        <v>1T21</v>
      </c>
      <c r="AL3" s="79" t="s">
        <v>31</v>
      </c>
      <c r="AM3" s="79" t="s">
        <v>32</v>
      </c>
      <c r="AN3" s="201" t="str">
        <f>IF('Índice - Index'!$D$14="Português","2021 (reapresentado)","2021 (restated)")</f>
        <v>2021 (reapresentado)</v>
      </c>
      <c r="AO3" s="201" t="str">
        <f>IF('Índice - Index'!$D$14="Português","1T22 (reapresentado)","1Q22 (restated)")</f>
        <v>1T22 (reapresentado)</v>
      </c>
      <c r="AP3" s="201" t="str">
        <f>IF('Índice - Index'!$D$14="Português","6M22 (reapresentado)","6M22 (restated)")</f>
        <v>6M22 (reapresentado)</v>
      </c>
      <c r="AQ3" s="201" t="str">
        <f>IF('Índice - Index'!$D$14="Português","9M22 (reapresentado)","9M22 (restated)")</f>
        <v>9M22 (reapresentado)</v>
      </c>
      <c r="AR3" s="201" t="str">
        <f>IF('Índice - Index'!$D$14="Português","2022 (reapresentado)","2022 (restated)")</f>
        <v>2022 (reapresentado)</v>
      </c>
      <c r="AS3" s="26" t="str">
        <f>IF('Índice - Index'!$D$14="Português","1T23","1Q23")</f>
        <v>1T23</v>
      </c>
      <c r="AT3" s="26" t="str">
        <f>IF('Índice - Index'!$D$14="Português","6M23","6M23")</f>
        <v>6M23</v>
      </c>
      <c r="AU3" s="26" t="str">
        <f>IF('Índice - Index'!$D$14="Português","9M23","9M23")</f>
        <v>9M23</v>
      </c>
      <c r="AV3" s="26" t="str">
        <f>IF('Índice - Index'!$D$14="Português","2023**","2023**")</f>
        <v>2023**</v>
      </c>
      <c r="AW3" s="26" t="str">
        <f>IF('Índice - Index'!$D$14="Português","1T24","1Q24")</f>
        <v>1T24</v>
      </c>
      <c r="AX3" s="26" t="s">
        <v>47</v>
      </c>
      <c r="AY3" s="26" t="s">
        <v>48</v>
      </c>
      <c r="AZ3" s="213" t="s">
        <v>49</v>
      </c>
      <c r="BA3" s="26" t="str">
        <f>IF('Índice - Index'!$D$14="Português","1T25","1Q25")</f>
        <v>1T25</v>
      </c>
      <c r="BB3" s="26" t="s">
        <v>46</v>
      </c>
      <c r="BC3" s="26" t="s">
        <v>51</v>
      </c>
      <c r="BD3" s="26">
        <v>2025</v>
      </c>
    </row>
    <row r="4" spans="3:57">
      <c r="C4" s="10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BD4" s="242"/>
    </row>
    <row r="5" spans="3:57">
      <c r="C5" s="56" t="str">
        <f>IF('Índice - Index'!$D$14="Português","EBITDA","EBITDA")</f>
        <v>EBITDA</v>
      </c>
      <c r="D5" s="107">
        <v>102986</v>
      </c>
      <c r="E5" s="107">
        <v>100606</v>
      </c>
      <c r="F5" s="107">
        <v>37235</v>
      </c>
      <c r="G5" s="107">
        <v>146411</v>
      </c>
      <c r="H5" s="107">
        <v>387236.17488999985</v>
      </c>
      <c r="I5" s="107">
        <v>64972</v>
      </c>
      <c r="J5" s="107">
        <v>56936</v>
      </c>
      <c r="K5" s="107">
        <v>45069</v>
      </c>
      <c r="L5" s="107">
        <v>108900</v>
      </c>
      <c r="M5" s="107">
        <v>275877</v>
      </c>
      <c r="N5" s="107">
        <v>51330</v>
      </c>
      <c r="O5" s="107">
        <v>60676</v>
      </c>
      <c r="P5" s="107">
        <v>7131</v>
      </c>
      <c r="Q5" s="107">
        <v>61598</v>
      </c>
      <c r="R5" s="107">
        <v>180735</v>
      </c>
      <c r="S5" s="107">
        <v>101616</v>
      </c>
      <c r="T5" s="107">
        <v>42161</v>
      </c>
      <c r="U5" s="107">
        <v>34107</v>
      </c>
      <c r="V5" s="107" t="s">
        <v>14</v>
      </c>
      <c r="W5" s="107" t="s">
        <v>14</v>
      </c>
      <c r="X5" s="107" t="s">
        <v>14</v>
      </c>
      <c r="Y5" s="107" t="s">
        <v>14</v>
      </c>
      <c r="Z5" s="107" t="s">
        <v>14</v>
      </c>
      <c r="AA5" s="107" t="s">
        <v>14</v>
      </c>
      <c r="AB5" s="107" t="s">
        <v>14</v>
      </c>
      <c r="AC5" s="107" t="s">
        <v>14</v>
      </c>
      <c r="AD5" s="107" t="s">
        <v>14</v>
      </c>
      <c r="AE5" s="107" t="s">
        <v>14</v>
      </c>
      <c r="AF5" s="107" t="s">
        <v>14</v>
      </c>
      <c r="AG5" s="107" t="s">
        <v>14</v>
      </c>
      <c r="AH5" s="107" t="s">
        <v>14</v>
      </c>
      <c r="AI5" s="107" t="s">
        <v>14</v>
      </c>
      <c r="AJ5" s="107" t="s">
        <v>14</v>
      </c>
      <c r="AK5" s="107" t="s">
        <v>14</v>
      </c>
      <c r="AL5" s="107" t="s">
        <v>14</v>
      </c>
      <c r="AM5" s="107" t="s">
        <v>14</v>
      </c>
      <c r="AN5" s="107" t="s">
        <v>14</v>
      </c>
      <c r="AO5" s="107" t="s">
        <v>14</v>
      </c>
      <c r="AP5" s="188"/>
      <c r="AQ5" s="107"/>
      <c r="AR5" s="107"/>
      <c r="AS5" s="107"/>
      <c r="AT5" s="188"/>
      <c r="AU5" s="188"/>
      <c r="AV5" s="188"/>
      <c r="AW5" s="188"/>
      <c r="AX5" s="188"/>
      <c r="AY5" s="188"/>
      <c r="AZ5" s="188"/>
      <c r="BA5" s="188"/>
      <c r="BB5" s="188"/>
      <c r="BC5" s="188"/>
      <c r="BD5" s="241"/>
    </row>
    <row r="6" spans="3:57">
      <c r="C6" s="56" t="str">
        <f>IF('Índice - Index'!$D$14="Português","EBITDA AJUSTADO","ADJUSTED EBITDA")</f>
        <v>EBITDA AJUSTADO</v>
      </c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>
        <v>93673</v>
      </c>
      <c r="W6" s="107">
        <v>282930</v>
      </c>
      <c r="X6" s="107">
        <v>40589</v>
      </c>
      <c r="Y6" s="107">
        <v>48780</v>
      </c>
      <c r="Z6" s="107">
        <v>37807</v>
      </c>
      <c r="AA6" s="107">
        <v>320552.98400000005</v>
      </c>
      <c r="AB6" s="107">
        <v>447729.37390000001</v>
      </c>
      <c r="AC6" s="107">
        <v>97765.413359999817</v>
      </c>
      <c r="AD6" s="107">
        <v>83200.390289999748</v>
      </c>
      <c r="AE6" s="107">
        <v>82501.328519995979</v>
      </c>
      <c r="AF6" s="107">
        <v>190852.84306651112</v>
      </c>
      <c r="AG6" s="107">
        <v>13877.321319992185</v>
      </c>
      <c r="AH6" s="143">
        <v>-49906.20008885234</v>
      </c>
      <c r="AI6" s="143">
        <v>-76073.155331017522</v>
      </c>
      <c r="AJ6" s="143">
        <v>-226493.59383634973</v>
      </c>
      <c r="AK6" s="143">
        <v>8758.8355563398363</v>
      </c>
      <c r="AL6" s="143">
        <v>-2160.8946773206771</v>
      </c>
      <c r="AM6" s="143">
        <v>1869.5896463396871</v>
      </c>
      <c r="AN6" s="143">
        <v>25747.55415006512</v>
      </c>
      <c r="AO6" s="143">
        <v>-45592.810530000032</v>
      </c>
      <c r="AP6" s="143">
        <v>-16488.973243660635</v>
      </c>
      <c r="AQ6" s="207" t="e">
        <f>#REF!</f>
        <v>#REF!</v>
      </c>
      <c r="AR6" s="143">
        <v>-201489.4278236613</v>
      </c>
      <c r="AS6" s="143">
        <v>-80667.218705599997</v>
      </c>
      <c r="AT6" s="143">
        <v>-118372.69093231915</v>
      </c>
      <c r="AU6" s="143">
        <v>-245982.70011999947</v>
      </c>
      <c r="AV6" s="143">
        <v>-285473.32396999921</v>
      </c>
      <c r="AW6" s="143">
        <v>-74751.094030000022</v>
      </c>
      <c r="AX6" s="143">
        <v>-115235.98475999992</v>
      </c>
      <c r="AY6" s="143">
        <v>-37010.468289999975</v>
      </c>
      <c r="AZ6" s="143">
        <v>68536.54302000007</v>
      </c>
      <c r="BA6" s="143">
        <v>86397.843950000009</v>
      </c>
      <c r="BB6" s="143">
        <v>197586.55380000008</v>
      </c>
      <c r="BC6" s="143">
        <f>SUM('DRE Consolidado | P&amp;L '!CB42:CD42)</f>
        <v>299515.53336999979</v>
      </c>
      <c r="BD6" s="234">
        <f>SUM('DRE Consolidado | P&amp;L '!CB42:CE42)</f>
        <v>366788.67798999988</v>
      </c>
      <c r="BE6" s="53"/>
    </row>
    <row r="7" spans="3:57">
      <c r="C7" s="108" t="str">
        <f>IF('Índice - Index'!$D$14="Português","- IR e CSLL","- Income Tax")</f>
        <v>- IR e CSLL</v>
      </c>
      <c r="D7" s="53">
        <v>-2091</v>
      </c>
      <c r="E7" s="53">
        <v>1451</v>
      </c>
      <c r="F7" s="53">
        <v>19713</v>
      </c>
      <c r="G7" s="53">
        <v>-24422</v>
      </c>
      <c r="H7" s="53">
        <v>-5349</v>
      </c>
      <c r="I7" s="53">
        <v>10699</v>
      </c>
      <c r="J7" s="109">
        <v>13158</v>
      </c>
      <c r="K7" s="53">
        <v>12351</v>
      </c>
      <c r="L7" s="53">
        <v>4036</v>
      </c>
      <c r="M7" s="53">
        <v>40244</v>
      </c>
      <c r="N7" s="53">
        <v>9290</v>
      </c>
      <c r="O7" s="53">
        <v>680</v>
      </c>
      <c r="P7" s="53">
        <v>29244</v>
      </c>
      <c r="Q7" s="53">
        <v>17695</v>
      </c>
      <c r="R7" s="53">
        <v>56909</v>
      </c>
      <c r="S7" s="53">
        <v>-13741</v>
      </c>
      <c r="T7" s="53">
        <v>2771</v>
      </c>
      <c r="U7" s="53">
        <v>-15561</v>
      </c>
      <c r="V7" s="53">
        <v>-25348</v>
      </c>
      <c r="W7" s="53">
        <v>-51879</v>
      </c>
      <c r="X7" s="53">
        <v>-28305</v>
      </c>
      <c r="Y7" s="53">
        <v>-22591</v>
      </c>
      <c r="Z7" s="53">
        <v>-29229</v>
      </c>
      <c r="AA7" s="53">
        <v>-444760</v>
      </c>
      <c r="AB7" s="53">
        <v>-524885</v>
      </c>
      <c r="AC7" s="53">
        <v>-18721.135149999998</v>
      </c>
      <c r="AD7" s="53">
        <v>-18393.590690000001</v>
      </c>
      <c r="AE7" s="53">
        <v>-22940.343000000001</v>
      </c>
      <c r="AF7" s="53">
        <v>-32418.862939999999</v>
      </c>
      <c r="AG7" s="53">
        <v>-10954.14114</v>
      </c>
      <c r="AH7" s="53">
        <v>2684.2221999999992</v>
      </c>
      <c r="AI7" s="53">
        <v>11645.782620000002</v>
      </c>
      <c r="AJ7" s="53">
        <v>2895.9150600000003</v>
      </c>
      <c r="AK7" s="53">
        <v>-4081.0354199999988</v>
      </c>
      <c r="AL7" s="53">
        <v>-89.009810000000925</v>
      </c>
      <c r="AM7" s="53">
        <v>-7314.2506860400163</v>
      </c>
      <c r="AN7" s="53">
        <v>78054.6486</v>
      </c>
      <c r="AO7" s="53">
        <v>5063.9032099999995</v>
      </c>
      <c r="AP7" s="53">
        <v>32390.039500000006</v>
      </c>
      <c r="AQ7" s="203" t="e">
        <f>#REF!</f>
        <v>#REF!</v>
      </c>
      <c r="AR7" s="53">
        <v>-25570.474920000008</v>
      </c>
      <c r="AS7" s="53">
        <v>8570.22919</v>
      </c>
      <c r="AT7" s="53">
        <v>25727.406789999994</v>
      </c>
      <c r="AU7" s="53">
        <v>36629.953699999998</v>
      </c>
      <c r="AV7" s="53">
        <v>82499.014039999995</v>
      </c>
      <c r="AW7" s="53">
        <v>-1535.85537</v>
      </c>
      <c r="AX7" s="53">
        <v>-14430.52406</v>
      </c>
      <c r="AY7" s="53">
        <v>-14955.893619999999</v>
      </c>
      <c r="AZ7" s="53">
        <v>-14209.32949</v>
      </c>
      <c r="BA7" s="53">
        <v>-45.379369999999994</v>
      </c>
      <c r="BB7" s="53">
        <v>1147.6964700000001</v>
      </c>
      <c r="BC7" s="53">
        <f>SUM('DRE Consolidado | P&amp;L '!$CB$50:CD50)</f>
        <v>-5523.3035300000001</v>
      </c>
      <c r="BD7" s="235">
        <f>SUM('DRE Consolidado | P&amp;L '!$CB$50:CE50)</f>
        <v>-5599.3035300000001</v>
      </c>
      <c r="BE7" s="53"/>
    </row>
    <row r="8" spans="3:57">
      <c r="C8" s="108" t="str">
        <f>IF('Índice - Index'!$D$14="Português","- Resultado Equivalência","- Equivalence")</f>
        <v>- Resultado Equivalência</v>
      </c>
      <c r="D8" s="53"/>
      <c r="E8" s="53"/>
      <c r="F8" s="53"/>
      <c r="G8" s="53"/>
      <c r="H8" s="53"/>
      <c r="I8" s="53"/>
      <c r="J8" s="109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203"/>
      <c r="AR8" s="53"/>
      <c r="AS8" s="53"/>
      <c r="AT8" s="53"/>
      <c r="AU8" s="53"/>
      <c r="AV8" s="53">
        <v>-169764.65765000001</v>
      </c>
      <c r="AW8" s="53">
        <v>0</v>
      </c>
      <c r="AX8" s="53">
        <v>0</v>
      </c>
      <c r="AY8" s="53">
        <v>0</v>
      </c>
      <c r="AZ8" s="53">
        <v>0</v>
      </c>
      <c r="BA8" s="53">
        <v>0</v>
      </c>
      <c r="BB8" s="53" t="s">
        <v>14</v>
      </c>
      <c r="BC8" s="53">
        <v>0</v>
      </c>
      <c r="BD8" s="235">
        <v>0</v>
      </c>
      <c r="BE8" s="53"/>
    </row>
    <row r="9" spans="3:57">
      <c r="C9" s="108" t="str">
        <f>IF('Índice - Index'!$D$14="Português","- Financeiras, Liq (exceto dívida), e outros","- Financial Expenses, net (excluding debts), and others")</f>
        <v>- Financeiras, Liq (exceto dívida), e outros</v>
      </c>
      <c r="D9" s="110">
        <v>731</v>
      </c>
      <c r="E9" s="110">
        <v>1664</v>
      </c>
      <c r="F9" s="110">
        <v>3863</v>
      </c>
      <c r="G9" s="110">
        <v>7123</v>
      </c>
      <c r="H9" s="110">
        <v>13381</v>
      </c>
      <c r="I9" s="110">
        <v>-7302</v>
      </c>
      <c r="J9" s="111">
        <v>10516</v>
      </c>
      <c r="K9" s="110">
        <v>13915</v>
      </c>
      <c r="L9" s="110">
        <v>13448</v>
      </c>
      <c r="M9" s="110">
        <v>50043</v>
      </c>
      <c r="N9" s="110">
        <v>719</v>
      </c>
      <c r="O9" s="110">
        <v>1415</v>
      </c>
      <c r="P9" s="110">
        <v>-1989</v>
      </c>
      <c r="Q9" s="110">
        <v>-9078</v>
      </c>
      <c r="R9" s="110">
        <v>-8933</v>
      </c>
      <c r="S9" s="110">
        <v>-8537</v>
      </c>
      <c r="T9" s="110">
        <v>-8808</v>
      </c>
      <c r="U9" s="110">
        <v>-9550</v>
      </c>
      <c r="V9" s="110">
        <v>-7484</v>
      </c>
      <c r="W9" s="110">
        <v>-34379</v>
      </c>
      <c r="X9" s="110">
        <v>-3442</v>
      </c>
      <c r="Y9" s="110">
        <v>-8805</v>
      </c>
      <c r="Z9" s="110">
        <v>60869</v>
      </c>
      <c r="AA9" s="110">
        <v>328966.84833000001</v>
      </c>
      <c r="AB9" s="110">
        <v>377589</v>
      </c>
      <c r="AC9" s="110">
        <v>-23287.292520000006</v>
      </c>
      <c r="AD9" s="110">
        <v>-29100.460439999988</v>
      </c>
      <c r="AE9" s="110">
        <v>-44567.193339999991</v>
      </c>
      <c r="AF9" s="110">
        <v>-71616.704700000031</v>
      </c>
      <c r="AG9" s="110">
        <v>-27937.502870000004</v>
      </c>
      <c r="AH9" s="110">
        <v>-66205.399309999993</v>
      </c>
      <c r="AI9" s="110">
        <v>-98266.762610000005</v>
      </c>
      <c r="AJ9" s="110">
        <v>-72418.548190000001</v>
      </c>
      <c r="AK9" s="110">
        <v>-21397.958120000003</v>
      </c>
      <c r="AL9" s="53">
        <v>-59704.739010000012</v>
      </c>
      <c r="AM9" s="53">
        <v>-53781.16171</v>
      </c>
      <c r="AN9" s="110">
        <v>-72531.217468999996</v>
      </c>
      <c r="AO9" s="149">
        <v>-7764.5826399999787</v>
      </c>
      <c r="AP9" s="149">
        <v>-64682.452139999994</v>
      </c>
      <c r="AQ9" s="206" t="e">
        <f>#REF!</f>
        <v>#REF!</v>
      </c>
      <c r="AR9" s="110">
        <v>-178296.24684999994</v>
      </c>
      <c r="AS9" s="149">
        <v>-52050.699939999962</v>
      </c>
      <c r="AT9" s="149">
        <v>-71775.126679999972</v>
      </c>
      <c r="AU9" s="149">
        <v>-127435.78802999995</v>
      </c>
      <c r="AV9" s="149">
        <v>-69138.831839999999</v>
      </c>
      <c r="AW9" s="149">
        <v>-17846.318049999987</v>
      </c>
      <c r="AX9" s="149">
        <v>-46533.372880000003</v>
      </c>
      <c r="AY9" s="149">
        <v>-93928.652800000011</v>
      </c>
      <c r="AZ9" s="149">
        <v>-147333.83248000004</v>
      </c>
      <c r="BA9" s="149">
        <v>-29451.203899999986</v>
      </c>
      <c r="BB9" s="149">
        <v>-83706.47504999995</v>
      </c>
      <c r="BC9" s="149">
        <v>-154012.41148000001</v>
      </c>
      <c r="BD9" s="236">
        <v>-96371.057140000019</v>
      </c>
      <c r="BE9" s="53"/>
    </row>
    <row r="10" spans="3:57">
      <c r="C10" s="112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85"/>
      <c r="AQ10" s="204"/>
      <c r="AR10" s="113"/>
      <c r="AS10" s="113"/>
      <c r="AT10" s="185"/>
      <c r="AU10" s="185"/>
      <c r="AV10" s="185"/>
      <c r="AW10" s="185"/>
      <c r="AX10" s="185"/>
      <c r="AY10" s="185"/>
      <c r="AZ10" s="185"/>
      <c r="BA10" s="185"/>
      <c r="BB10" s="185"/>
      <c r="BC10" s="185"/>
      <c r="BD10" s="113"/>
      <c r="BE10" s="53"/>
    </row>
    <row r="11" spans="3:57">
      <c r="C11" s="56" t="str">
        <f>IF('Índice - Index'!$D$14="Português","GERAÇÃO BRUTA DE CAIXA","GROSS CASH FLOW")</f>
        <v>GERAÇÃO BRUTA DE CAIXA</v>
      </c>
      <c r="D11" s="107">
        <v>101626</v>
      </c>
      <c r="E11" s="107">
        <v>103721</v>
      </c>
      <c r="F11" s="107">
        <v>60811</v>
      </c>
      <c r="G11" s="107">
        <v>129112</v>
      </c>
      <c r="H11" s="107">
        <v>395268.17488999985</v>
      </c>
      <c r="I11" s="107">
        <v>68368.995210000081</v>
      </c>
      <c r="J11" s="107">
        <v>80610</v>
      </c>
      <c r="K11" s="107">
        <v>71335</v>
      </c>
      <c r="L11" s="107">
        <v>126384</v>
      </c>
      <c r="M11" s="107">
        <v>366164</v>
      </c>
      <c r="N11" s="107">
        <v>61339</v>
      </c>
      <c r="O11" s="107">
        <v>62771</v>
      </c>
      <c r="P11" s="107">
        <v>34386</v>
      </c>
      <c r="Q11" s="107">
        <v>70215</v>
      </c>
      <c r="R11" s="107">
        <v>228711</v>
      </c>
      <c r="S11" s="107">
        <v>79338</v>
      </c>
      <c r="T11" s="107">
        <v>36124</v>
      </c>
      <c r="U11" s="107">
        <v>8996</v>
      </c>
      <c r="V11" s="107">
        <v>60841</v>
      </c>
      <c r="W11" s="107">
        <v>196672</v>
      </c>
      <c r="X11" s="107">
        <v>8842</v>
      </c>
      <c r="Y11" s="107">
        <v>17384</v>
      </c>
      <c r="Z11" s="107">
        <v>69447</v>
      </c>
      <c r="AA11" s="107">
        <v>204759.83233000006</v>
      </c>
      <c r="AB11" s="107">
        <v>300433.37390000001</v>
      </c>
      <c r="AC11" s="107">
        <v>55756.985689999812</v>
      </c>
      <c r="AD11" s="107">
        <v>35706.339159999756</v>
      </c>
      <c r="AE11" s="107">
        <v>14993.792179995988</v>
      </c>
      <c r="AF11" s="107">
        <v>86817.2754265111</v>
      </c>
      <c r="AG11" s="143">
        <v>-25014.322690007819</v>
      </c>
      <c r="AH11" s="143">
        <v>-113427.37719885234</v>
      </c>
      <c r="AI11" s="143">
        <v>-162694.13532101753</v>
      </c>
      <c r="AJ11" s="143">
        <v>-296016.22696634976</v>
      </c>
      <c r="AK11" s="143">
        <v>-16720.157983660167</v>
      </c>
      <c r="AL11" s="143">
        <v>-61954.643497320692</v>
      </c>
      <c r="AM11" s="143">
        <v>-59225.822749700332</v>
      </c>
      <c r="AN11" s="143">
        <f>SUM(AN6:AN9)</f>
        <v>31270.985281065121</v>
      </c>
      <c r="AO11" s="143">
        <v>-48293.864023660295</v>
      </c>
      <c r="AP11" s="143">
        <f t="shared" ref="AP11:AV11" si="0">SUM(AP6:AP9)</f>
        <v>-48781.385883660623</v>
      </c>
      <c r="AQ11" s="207" t="e">
        <f t="shared" si="0"/>
        <v>#REF!</v>
      </c>
      <c r="AR11" s="143">
        <f t="shared" si="0"/>
        <v>-405356.14959366125</v>
      </c>
      <c r="AS11" s="143">
        <f t="shared" si="0"/>
        <v>-124147.68945559996</v>
      </c>
      <c r="AT11" s="143">
        <f t="shared" si="0"/>
        <v>-164420.41082231913</v>
      </c>
      <c r="AU11" s="143">
        <f t="shared" si="0"/>
        <v>-336788.5344499994</v>
      </c>
      <c r="AV11" s="143">
        <f t="shared" si="0"/>
        <v>-441877.79941999924</v>
      </c>
      <c r="AW11" s="143">
        <f t="shared" ref="AW11:BC11" si="1">SUM(AW6:AW9)</f>
        <v>-94133.267450000014</v>
      </c>
      <c r="AX11" s="143">
        <f t="shared" si="1"/>
        <v>-176199.88169999991</v>
      </c>
      <c r="AY11" s="143">
        <f t="shared" si="1"/>
        <v>-145895.01470999999</v>
      </c>
      <c r="AZ11" s="143">
        <f t="shared" si="1"/>
        <v>-93006.618949999975</v>
      </c>
      <c r="BA11" s="143">
        <f t="shared" si="1"/>
        <v>56901.260680000029</v>
      </c>
      <c r="BB11" s="143">
        <f t="shared" si="1"/>
        <v>115027.77522000013</v>
      </c>
      <c r="BC11" s="143">
        <f t="shared" si="1"/>
        <v>139979.8183599998</v>
      </c>
      <c r="BD11" s="237">
        <f>SUM(BD6:BD9)</f>
        <v>264818.31731999991</v>
      </c>
      <c r="BE11" s="53"/>
    </row>
    <row r="12" spans="3:57">
      <c r="C12" s="112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85"/>
      <c r="AQ12" s="204"/>
      <c r="AR12" s="114"/>
      <c r="AS12" s="114"/>
      <c r="AT12" s="185"/>
      <c r="AU12" s="185"/>
      <c r="AV12" s="185"/>
      <c r="AW12" s="185"/>
      <c r="AX12" s="185"/>
      <c r="AY12" s="185"/>
      <c r="AZ12" s="185"/>
      <c r="BA12" s="185"/>
      <c r="BB12" s="185"/>
      <c r="BC12" s="185"/>
      <c r="BD12" s="243"/>
      <c r="BE12" s="53"/>
    </row>
    <row r="13" spans="3:57">
      <c r="C13" s="56" t="str">
        <f>IF('Índice - Index'!$D$14="Português","Capital de Giro*","Working Capital*")</f>
        <v>Capital de Giro*</v>
      </c>
      <c r="D13" s="115">
        <v>-265005.43846000027</v>
      </c>
      <c r="E13" s="115">
        <v>-33490.018270000037</v>
      </c>
      <c r="F13" s="115">
        <v>91848.222110000002</v>
      </c>
      <c r="G13" s="115">
        <v>118901.66158000001</v>
      </c>
      <c r="H13" s="115">
        <v>-87745.573040000279</v>
      </c>
      <c r="I13" s="115">
        <v>-187051.792254</v>
      </c>
      <c r="J13" s="115">
        <v>54877.145065800294</v>
      </c>
      <c r="K13" s="115">
        <v>32875.017418000003</v>
      </c>
      <c r="L13" s="115">
        <v>135443.87809109554</v>
      </c>
      <c r="M13" s="115">
        <v>37523.925790895533</v>
      </c>
      <c r="N13" s="115">
        <v>-70982.925790895533</v>
      </c>
      <c r="O13" s="115">
        <v>40615.000000000029</v>
      </c>
      <c r="P13" s="115">
        <v>45720.999999999971</v>
      </c>
      <c r="Q13" s="115">
        <v>160453.66999999998</v>
      </c>
      <c r="R13" s="115">
        <v>175808.74420910445</v>
      </c>
      <c r="S13" s="115">
        <v>-15727.669999999998</v>
      </c>
      <c r="T13" s="115">
        <v>-153787</v>
      </c>
      <c r="U13" s="115">
        <v>27128</v>
      </c>
      <c r="V13" s="115">
        <v>-48886</v>
      </c>
      <c r="W13" s="115">
        <v>-201240.66999999998</v>
      </c>
      <c r="X13" s="115">
        <v>49124</v>
      </c>
      <c r="Y13" s="115">
        <v>-69380</v>
      </c>
      <c r="Z13" s="115">
        <v>11643</v>
      </c>
      <c r="AA13" s="115">
        <v>-96244.489519999945</v>
      </c>
      <c r="AB13" s="115">
        <v>-104858.37390000006</v>
      </c>
      <c r="AC13" s="115">
        <v>-174875.59022999991</v>
      </c>
      <c r="AD13" s="115">
        <v>-183005</v>
      </c>
      <c r="AE13" s="115">
        <v>-137605.19072999968</v>
      </c>
      <c r="AF13" s="115">
        <v>-143891.54149</v>
      </c>
      <c r="AG13" s="115">
        <v>-159125.97476000001</v>
      </c>
      <c r="AH13" s="115">
        <v>-145586.77867</v>
      </c>
      <c r="AI13" s="115">
        <v>-41950.062390000006</v>
      </c>
      <c r="AJ13" s="115">
        <v>247844.72</v>
      </c>
      <c r="AK13" s="115">
        <v>-115169.54</v>
      </c>
      <c r="AL13" s="115">
        <v>-253733.40126634069</v>
      </c>
      <c r="AM13" s="115">
        <v>-194825.64976634042</v>
      </c>
      <c r="AN13" s="115">
        <f t="shared" ref="AN13:AV13" si="2">SUM(AN14:AN18)</f>
        <v>-231445.85987633909</v>
      </c>
      <c r="AO13" s="115">
        <f t="shared" si="2"/>
        <v>-179158.39872999978</v>
      </c>
      <c r="AP13" s="148">
        <f t="shared" ref="AP13:AQ13" si="3">SUM(AP14:AP18)</f>
        <v>21331.042269999936</v>
      </c>
      <c r="AQ13" s="202" t="e">
        <f t="shared" si="3"/>
        <v>#REF!</v>
      </c>
      <c r="AR13" s="115">
        <f t="shared" si="2"/>
        <v>448185.70253000001</v>
      </c>
      <c r="AS13" s="115">
        <f t="shared" si="2"/>
        <v>162524.7116355999</v>
      </c>
      <c r="AT13" s="148">
        <f t="shared" si="2"/>
        <v>321391.91728241619</v>
      </c>
      <c r="AU13" s="148">
        <f t="shared" si="2"/>
        <v>472611.99009165936</v>
      </c>
      <c r="AV13" s="148">
        <f t="shared" si="2"/>
        <v>503804.84492000035</v>
      </c>
      <c r="AW13" s="148">
        <f t="shared" ref="AW13:BD13" si="4">SUM(AW14:AW18)</f>
        <v>-167203.83741000012</v>
      </c>
      <c r="AX13" s="148">
        <f t="shared" si="4"/>
        <v>-17816.915449189866</v>
      </c>
      <c r="AY13" s="148">
        <f t="shared" si="4"/>
        <v>9774.2894708094827</v>
      </c>
      <c r="AZ13" s="148">
        <f t="shared" si="4"/>
        <v>116593.87181080942</v>
      </c>
      <c r="BA13" s="148">
        <f t="shared" si="4"/>
        <v>-99184.16788999975</v>
      </c>
      <c r="BB13" s="148">
        <f t="shared" si="4"/>
        <v>-114342.09973999957</v>
      </c>
      <c r="BC13" s="148">
        <f t="shared" si="4"/>
        <v>-278446.4322099993</v>
      </c>
      <c r="BD13" s="238">
        <f t="shared" si="4"/>
        <v>-252394.85360000003</v>
      </c>
      <c r="BE13" s="53"/>
    </row>
    <row r="14" spans="3:57">
      <c r="C14" s="112" t="str">
        <f>IF('Índice - Index'!$D$14="Português","Contas a Receber","Accounts Receivables")</f>
        <v>Contas a Receber</v>
      </c>
      <c r="D14" s="152">
        <v>141180</v>
      </c>
      <c r="E14" s="152">
        <v>-19281</v>
      </c>
      <c r="F14" s="152">
        <v>74488</v>
      </c>
      <c r="G14" s="152">
        <v>-195124</v>
      </c>
      <c r="H14" s="152">
        <v>1263</v>
      </c>
      <c r="I14" s="152">
        <v>172002</v>
      </c>
      <c r="J14" s="152">
        <v>17908</v>
      </c>
      <c r="K14" s="152">
        <v>63674</v>
      </c>
      <c r="L14" s="152">
        <v>-104461</v>
      </c>
      <c r="M14" s="152">
        <v>149123</v>
      </c>
      <c r="N14" s="152">
        <v>173829</v>
      </c>
      <c r="O14" s="152">
        <v>-92476</v>
      </c>
      <c r="P14" s="152">
        <v>86166</v>
      </c>
      <c r="Q14" s="152">
        <v>-12135</v>
      </c>
      <c r="R14" s="152">
        <v>155384</v>
      </c>
      <c r="S14" s="152">
        <v>56146</v>
      </c>
      <c r="T14" s="152">
        <v>-26648</v>
      </c>
      <c r="U14" s="152">
        <v>-50927</v>
      </c>
      <c r="V14" s="152">
        <v>-103511</v>
      </c>
      <c r="W14" s="152">
        <v>-124940</v>
      </c>
      <c r="X14" s="152">
        <v>205478</v>
      </c>
      <c r="Y14" s="152">
        <v>-79760</v>
      </c>
      <c r="Z14" s="152">
        <v>17089</v>
      </c>
      <c r="AA14" s="152">
        <v>-94954.743799999967</v>
      </c>
      <c r="AB14" s="152">
        <v>47852.999999999942</v>
      </c>
      <c r="AC14" s="152">
        <v>69677.360899999971</v>
      </c>
      <c r="AD14" s="152">
        <v>1786</v>
      </c>
      <c r="AE14" s="152">
        <v>-10475</v>
      </c>
      <c r="AF14" s="152">
        <v>-121594</v>
      </c>
      <c r="AG14" s="152">
        <v>189221</v>
      </c>
      <c r="AH14" s="152">
        <v>406918</v>
      </c>
      <c r="AI14" s="116">
        <v>334119</v>
      </c>
      <c r="AJ14" s="116">
        <v>167316</v>
      </c>
      <c r="AK14" s="116">
        <v>142878</v>
      </c>
      <c r="AL14" s="116">
        <v>156960</v>
      </c>
      <c r="AM14" s="152">
        <v>-44861.649196339502</v>
      </c>
      <c r="AN14" s="53">
        <v>-148517.391496339</v>
      </c>
      <c r="AO14" s="53">
        <v>92784.756060000043</v>
      </c>
      <c r="AP14" s="53">
        <v>40275.504820000031</v>
      </c>
      <c r="AQ14" s="203" t="e">
        <f>#REF!</f>
        <v>#REF!</v>
      </c>
      <c r="AR14" s="53">
        <v>225491.57118000009</v>
      </c>
      <c r="AS14" s="53">
        <v>226193.47960559992</v>
      </c>
      <c r="AT14" s="53">
        <v>263981.92221241619</v>
      </c>
      <c r="AU14" s="53">
        <v>411070.6377416593</v>
      </c>
      <c r="AV14" s="53">
        <v>285473.34486000007</v>
      </c>
      <c r="AW14" s="53">
        <v>9848.0146800000002</v>
      </c>
      <c r="AX14" s="53">
        <v>272838</v>
      </c>
      <c r="AY14" s="53">
        <v>388164.52813980426</v>
      </c>
      <c r="AZ14" s="53">
        <v>391394.17967980425</v>
      </c>
      <c r="BA14" s="53">
        <v>4043.4690200000041</v>
      </c>
      <c r="BB14" s="53">
        <v>-9346.0868300000002</v>
      </c>
      <c r="BC14" s="53">
        <v>6117</v>
      </c>
      <c r="BD14" s="235">
        <v>-28640.333869999999</v>
      </c>
      <c r="BE14" s="53"/>
    </row>
    <row r="15" spans="3:57">
      <c r="C15" s="112" t="str">
        <f>IF('Índice - Index'!$D$14="Português","Estoques","Inventories")</f>
        <v>Estoques</v>
      </c>
      <c r="D15" s="116">
        <v>-253978.12226</v>
      </c>
      <c r="E15" s="116">
        <v>88518.122260000004</v>
      </c>
      <c r="F15" s="116">
        <v>23733</v>
      </c>
      <c r="G15" s="116">
        <v>111412</v>
      </c>
      <c r="H15" s="152">
        <v>-30315</v>
      </c>
      <c r="I15" s="152">
        <v>-197885.12979000001</v>
      </c>
      <c r="J15" s="152">
        <v>89507.129790000006</v>
      </c>
      <c r="K15" s="152">
        <v>21473</v>
      </c>
      <c r="L15" s="152">
        <v>129889</v>
      </c>
      <c r="M15" s="152">
        <v>42984</v>
      </c>
      <c r="N15" s="152">
        <v>-100031</v>
      </c>
      <c r="O15" s="152">
        <v>96257</v>
      </c>
      <c r="P15" s="152">
        <v>-53634</v>
      </c>
      <c r="Q15" s="152">
        <v>48777</v>
      </c>
      <c r="R15" s="152">
        <v>-8631</v>
      </c>
      <c r="S15" s="152">
        <v>-74315</v>
      </c>
      <c r="T15" s="152">
        <v>-25011</v>
      </c>
      <c r="U15" s="152">
        <v>-12255</v>
      </c>
      <c r="V15" s="152">
        <v>31435</v>
      </c>
      <c r="W15" s="152">
        <v>-80146</v>
      </c>
      <c r="X15" s="152">
        <v>-63781</v>
      </c>
      <c r="Y15" s="152">
        <v>53397</v>
      </c>
      <c r="Z15" s="152">
        <v>53250</v>
      </c>
      <c r="AA15" s="152">
        <v>15454</v>
      </c>
      <c r="AB15" s="152">
        <v>58320</v>
      </c>
      <c r="AC15" s="152">
        <v>-96026.743569999991</v>
      </c>
      <c r="AD15" s="152">
        <v>-76193</v>
      </c>
      <c r="AE15" s="152">
        <v>-87674</v>
      </c>
      <c r="AF15" s="152">
        <v>-80371</v>
      </c>
      <c r="AG15" s="152">
        <v>-95401</v>
      </c>
      <c r="AH15" s="152">
        <v>-41145</v>
      </c>
      <c r="AI15" s="152">
        <v>88852</v>
      </c>
      <c r="AJ15" s="152">
        <v>166793</v>
      </c>
      <c r="AK15" s="152">
        <v>-188810</v>
      </c>
      <c r="AL15" s="152">
        <v>-320647</v>
      </c>
      <c r="AM15" s="152">
        <v>-156494.57342</v>
      </c>
      <c r="AN15" s="53">
        <v>-94452.169130000111</v>
      </c>
      <c r="AO15" s="53">
        <v>-72004.239520000003</v>
      </c>
      <c r="AP15" s="53">
        <v>-5756.2159299999475</v>
      </c>
      <c r="AQ15" s="203" t="e">
        <f>#REF!</f>
        <v>#REF!</v>
      </c>
      <c r="AR15" s="53">
        <v>-15227.728600000031</v>
      </c>
      <c r="AS15" s="53">
        <v>-3701.1735699999845</v>
      </c>
      <c r="AT15" s="53">
        <v>194334.74617</v>
      </c>
      <c r="AU15" s="53">
        <v>225737.10871</v>
      </c>
      <c r="AV15" s="53">
        <v>238957.01627000002</v>
      </c>
      <c r="AW15" s="53">
        <v>-53182.032670000015</v>
      </c>
      <c r="AX15" s="53">
        <v>-67817.987369999988</v>
      </c>
      <c r="AY15" s="53">
        <v>-142784.46661</v>
      </c>
      <c r="AZ15" s="53">
        <v>-114501.16676000002</v>
      </c>
      <c r="BA15" s="53">
        <v>-113146.74792999998</v>
      </c>
      <c r="BB15" s="53">
        <v>-42949.108940000035</v>
      </c>
      <c r="BC15" s="53">
        <v>-86923</v>
      </c>
      <c r="BD15" s="235">
        <v>368.97572000001674</v>
      </c>
      <c r="BE15" s="53"/>
    </row>
    <row r="16" spans="3:57">
      <c r="C16" s="112" t="str">
        <f>IF('Índice - Index'!$D$14="Português","Fornecedor","Suppliers")</f>
        <v>Fornecedor</v>
      </c>
      <c r="D16" s="116">
        <v>26782.122259999975</v>
      </c>
      <c r="E16" s="116">
        <v>-107081.12225999997</v>
      </c>
      <c r="F16" s="116">
        <v>25915</v>
      </c>
      <c r="G16" s="116">
        <v>44655</v>
      </c>
      <c r="H16" s="152">
        <v>-9729</v>
      </c>
      <c r="I16" s="152">
        <v>-2692.8702099999937</v>
      </c>
      <c r="J16" s="152">
        <v>-43040.129790000006</v>
      </c>
      <c r="K16" s="152">
        <v>9519</v>
      </c>
      <c r="L16" s="152">
        <v>-3595</v>
      </c>
      <c r="M16" s="152">
        <v>-39809</v>
      </c>
      <c r="N16" s="152">
        <v>-16949</v>
      </c>
      <c r="O16" s="152">
        <v>52153</v>
      </c>
      <c r="P16" s="152">
        <v>45177</v>
      </c>
      <c r="Q16" s="152">
        <v>23684</v>
      </c>
      <c r="R16" s="152">
        <v>104065</v>
      </c>
      <c r="S16" s="152">
        <v>116164</v>
      </c>
      <c r="T16" s="152">
        <v>-91090</v>
      </c>
      <c r="U16" s="152">
        <v>85540</v>
      </c>
      <c r="V16" s="152">
        <v>-66529</v>
      </c>
      <c r="W16" s="152">
        <v>44085</v>
      </c>
      <c r="X16" s="152">
        <v>59714</v>
      </c>
      <c r="Y16" s="152">
        <v>-25116</v>
      </c>
      <c r="Z16" s="152">
        <v>6913</v>
      </c>
      <c r="AA16" s="152">
        <v>95122.23828000002</v>
      </c>
      <c r="AB16" s="152">
        <v>136634</v>
      </c>
      <c r="AC16" s="152">
        <v>-10531.453959999955</v>
      </c>
      <c r="AD16" s="152">
        <v>-15580</v>
      </c>
      <c r="AE16" s="152">
        <v>3234</v>
      </c>
      <c r="AF16" s="152">
        <v>45075</v>
      </c>
      <c r="AG16" s="152">
        <v>-155678</v>
      </c>
      <c r="AH16" s="152">
        <v>-360174</v>
      </c>
      <c r="AI16" s="152">
        <v>-290520</v>
      </c>
      <c r="AJ16" s="152">
        <v>-61368</v>
      </c>
      <c r="AK16" s="152">
        <v>-5964</v>
      </c>
      <c r="AL16" s="152">
        <v>-53770</v>
      </c>
      <c r="AM16" s="152">
        <v>45326.283219999998</v>
      </c>
      <c r="AN16" s="53">
        <v>7221.1295700000483</v>
      </c>
      <c r="AO16" s="53">
        <v>-75041.485159999924</v>
      </c>
      <c r="AP16" s="53">
        <v>-709.35006000008434</v>
      </c>
      <c r="AQ16" s="203" t="e">
        <f>#REF!</f>
        <v>#REF!</v>
      </c>
      <c r="AR16" s="53">
        <v>65213.52476999996</v>
      </c>
      <c r="AS16" s="53">
        <v>46960.138300000108</v>
      </c>
      <c r="AT16" s="53">
        <v>-89640.079749999975</v>
      </c>
      <c r="AU16" s="53">
        <v>-72705.145979999972</v>
      </c>
      <c r="AV16" s="53">
        <v>-30889.892139999953</v>
      </c>
      <c r="AW16" s="53">
        <v>4029.784570000018</v>
      </c>
      <c r="AX16" s="53">
        <v>-196960.93472999998</v>
      </c>
      <c r="AY16" s="53">
        <v>-125623.58294999995</v>
      </c>
      <c r="AZ16" s="53">
        <v>-204176.39533999999</v>
      </c>
      <c r="BA16" s="53">
        <v>103465.03244000004</v>
      </c>
      <c r="BB16" s="53">
        <v>24484.48371</v>
      </c>
      <c r="BC16" s="53">
        <v>-25641</v>
      </c>
      <c r="BD16" s="235">
        <v>10252.235420000041</v>
      </c>
      <c r="BE16" s="53"/>
    </row>
    <row r="17" spans="3:57">
      <c r="C17" s="112" t="str">
        <f>IF('Índice - Index'!$D$14="Português","Impostos","Taxes")</f>
        <v>Impostos</v>
      </c>
      <c r="D17" s="116">
        <v>-139017</v>
      </c>
      <c r="E17" s="116">
        <v>1619</v>
      </c>
      <c r="F17" s="116">
        <v>-36349</v>
      </c>
      <c r="G17" s="116">
        <v>102142</v>
      </c>
      <c r="H17" s="152">
        <v>-71605</v>
      </c>
      <c r="I17" s="152">
        <v>-126002.792254</v>
      </c>
      <c r="J17" s="152">
        <v>-12925.177464200009</v>
      </c>
      <c r="K17" s="152">
        <v>-21610.982581999997</v>
      </c>
      <c r="L17" s="152">
        <v>24596.878091095539</v>
      </c>
      <c r="M17" s="152">
        <v>-135942.07420910447</v>
      </c>
      <c r="N17" s="152">
        <v>-129928.98424069554</v>
      </c>
      <c r="O17" s="152">
        <v>12804.975023200037</v>
      </c>
      <c r="P17" s="152">
        <v>-73348.916573400027</v>
      </c>
      <c r="Q17" s="152">
        <v>47379</v>
      </c>
      <c r="R17" s="152">
        <v>-143093.92579089553</v>
      </c>
      <c r="S17" s="152">
        <v>-66648</v>
      </c>
      <c r="T17" s="152">
        <v>-24657</v>
      </c>
      <c r="U17" s="152">
        <v>-2386</v>
      </c>
      <c r="V17" s="152">
        <v>80989</v>
      </c>
      <c r="W17" s="152">
        <v>-12702</v>
      </c>
      <c r="X17" s="152">
        <v>-80490</v>
      </c>
      <c r="Y17" s="152">
        <v>-4859</v>
      </c>
      <c r="Z17" s="152">
        <v>-62907</v>
      </c>
      <c r="AA17" s="152">
        <v>-276286</v>
      </c>
      <c r="AB17" s="152">
        <v>-424542</v>
      </c>
      <c r="AC17" s="152">
        <v>-47243.69544000004</v>
      </c>
      <c r="AD17" s="152">
        <v>-32335</v>
      </c>
      <c r="AE17" s="152">
        <v>-48966</v>
      </c>
      <c r="AF17" s="152">
        <v>-8471</v>
      </c>
      <c r="AG17" s="152">
        <v>-30984</v>
      </c>
      <c r="AH17" s="152">
        <v>11070</v>
      </c>
      <c r="AI17" s="152">
        <v>21154</v>
      </c>
      <c r="AJ17" s="152">
        <v>76503</v>
      </c>
      <c r="AK17" s="152">
        <v>-51503</v>
      </c>
      <c r="AL17" s="152">
        <v>-71323</v>
      </c>
      <c r="AM17" s="152">
        <v>-115611.78075999999</v>
      </c>
      <c r="AN17" s="53">
        <v>-60197.159089999899</v>
      </c>
      <c r="AO17" s="53">
        <v>-54726.731439999814</v>
      </c>
      <c r="AP17" s="53">
        <v>-31329.538460000098</v>
      </c>
      <c r="AQ17" s="203" t="e">
        <f>#REF!</f>
        <v>#REF!</v>
      </c>
      <c r="AR17" s="53">
        <v>77526.727899999969</v>
      </c>
      <c r="AS17" s="53">
        <v>-6021.2018699999171</v>
      </c>
      <c r="AT17" s="53">
        <v>-47450.437549999915</v>
      </c>
      <c r="AU17" s="53">
        <v>-87260.900419999845</v>
      </c>
      <c r="AV17" s="53">
        <v>-105985.12959000008</v>
      </c>
      <c r="AW17" s="53">
        <v>33776.121730000101</v>
      </c>
      <c r="AX17" s="53">
        <v>29527.36637000012</v>
      </c>
      <c r="AY17" s="53">
        <v>43274.355330000035</v>
      </c>
      <c r="AZ17" s="53">
        <v>99814.836460000035</v>
      </c>
      <c r="BA17" s="53">
        <v>-135216.05950000012</v>
      </c>
      <c r="BB17" s="53">
        <v>-120021.95914000008</v>
      </c>
      <c r="BC17" s="53">
        <v>-190107.480379999</v>
      </c>
      <c r="BD17" s="235">
        <v>-257514.98707999999</v>
      </c>
      <c r="BE17" s="53"/>
    </row>
    <row r="18" spans="3:57">
      <c r="C18" s="112" t="str">
        <f>IF('Índice - Index'!$D$14="Português","Outros","Others")</f>
        <v>Outros</v>
      </c>
      <c r="D18" s="116">
        <v>-39972.43846000023</v>
      </c>
      <c r="E18" s="116">
        <v>2734.981729999934</v>
      </c>
      <c r="F18" s="116">
        <v>4061.2221100000024</v>
      </c>
      <c r="G18" s="116">
        <v>55816.661580000015</v>
      </c>
      <c r="H18" s="152">
        <v>22640.426959999721</v>
      </c>
      <c r="I18" s="152">
        <v>-32473</v>
      </c>
      <c r="J18" s="152">
        <v>3427.3225300003032</v>
      </c>
      <c r="K18" s="152">
        <v>-40180</v>
      </c>
      <c r="L18" s="152">
        <v>89014</v>
      </c>
      <c r="M18" s="152">
        <v>21168</v>
      </c>
      <c r="N18" s="152">
        <v>2097.0584498000098</v>
      </c>
      <c r="O18" s="152">
        <v>-28123.975023200008</v>
      </c>
      <c r="P18" s="152">
        <v>41360.916573399998</v>
      </c>
      <c r="Q18" s="152">
        <v>52748.67</v>
      </c>
      <c r="R18" s="152">
        <v>68084.67</v>
      </c>
      <c r="S18" s="152">
        <v>-47981.67</v>
      </c>
      <c r="T18" s="152">
        <v>13619</v>
      </c>
      <c r="U18" s="152">
        <v>7156</v>
      </c>
      <c r="V18" s="152">
        <v>8730</v>
      </c>
      <c r="W18" s="152">
        <v>-27537.67</v>
      </c>
      <c r="X18" s="152">
        <v>-71797</v>
      </c>
      <c r="Y18" s="152">
        <v>-13042</v>
      </c>
      <c r="Z18" s="152">
        <v>-2702</v>
      </c>
      <c r="AA18" s="152">
        <v>164420.016</v>
      </c>
      <c r="AB18" s="152">
        <v>76876.626099999994</v>
      </c>
      <c r="AC18" s="152">
        <v>-90751.058159999899</v>
      </c>
      <c r="AD18" s="152">
        <v>-60683</v>
      </c>
      <c r="AE18" s="152">
        <v>6275.8092700003181</v>
      </c>
      <c r="AF18" s="152">
        <v>21469.458509999997</v>
      </c>
      <c r="AG18" s="152">
        <v>-66283.974759999997</v>
      </c>
      <c r="AH18" s="152">
        <v>-162255.77867</v>
      </c>
      <c r="AI18" s="152">
        <v>-195555.06239000001</v>
      </c>
      <c r="AJ18" s="152">
        <v>-101399.28</v>
      </c>
      <c r="AK18" s="152">
        <v>-11770.539999999999</v>
      </c>
      <c r="AL18" s="152">
        <v>33037.46</v>
      </c>
      <c r="AM18" s="152">
        <v>76816.070389999106</v>
      </c>
      <c r="AN18" s="53">
        <v>64499.730269999898</v>
      </c>
      <c r="AO18" s="53">
        <v>-70170.698670000071</v>
      </c>
      <c r="AP18" s="53">
        <v>18850.641900000035</v>
      </c>
      <c r="AQ18" s="203" t="e">
        <f>#REF!</f>
        <v>#REF!</v>
      </c>
      <c r="AR18" s="53">
        <v>95181.607280000026</v>
      </c>
      <c r="AS18" s="53">
        <v>-100906.53083000018</v>
      </c>
      <c r="AT18" s="53">
        <v>165.7661999999109</v>
      </c>
      <c r="AU18" s="53">
        <v>-4229.709960000102</v>
      </c>
      <c r="AV18" s="53">
        <v>116249.50552000028</v>
      </c>
      <c r="AW18" s="53">
        <v>-161675.72572000022</v>
      </c>
      <c r="AX18" s="53">
        <v>-55403.359719190019</v>
      </c>
      <c r="AY18" s="53">
        <v>-153256.54443899487</v>
      </c>
      <c r="AZ18" s="53">
        <v>-55937.582228994812</v>
      </c>
      <c r="BA18" s="53">
        <v>41670.138080000288</v>
      </c>
      <c r="BB18" s="53">
        <v>33490.57146000053</v>
      </c>
      <c r="BC18" s="53">
        <v>18108.048169999704</v>
      </c>
      <c r="BD18" s="235">
        <v>23139.256209999901</v>
      </c>
      <c r="BE18" s="53"/>
    </row>
    <row r="19" spans="3:57">
      <c r="C19" s="112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85"/>
      <c r="AQ19" s="204"/>
      <c r="AR19" s="113"/>
      <c r="AS19" s="113"/>
      <c r="AT19" s="185"/>
      <c r="AU19" s="185"/>
      <c r="AV19" s="185"/>
      <c r="AW19" s="185"/>
      <c r="AX19" s="185"/>
      <c r="AY19" s="185"/>
      <c r="AZ19" s="185"/>
      <c r="BA19" s="185"/>
      <c r="BB19" s="185"/>
      <c r="BC19" s="185"/>
      <c r="BD19" s="243"/>
      <c r="BE19" s="53"/>
    </row>
    <row r="20" spans="3:57">
      <c r="C20" s="56" t="str">
        <f>IF('Índice - Index'!$D$14="Português","Investimentos","Investments")</f>
        <v>Investimentos</v>
      </c>
      <c r="D20" s="117">
        <v>-51088.56153999977</v>
      </c>
      <c r="E20" s="117">
        <v>-69501.981729999941</v>
      </c>
      <c r="F20" s="117">
        <v>-55219.222110000017</v>
      </c>
      <c r="G20" s="117">
        <v>-44567.661580000015</v>
      </c>
      <c r="H20" s="115">
        <v>-220377.42695999972</v>
      </c>
      <c r="I20" s="115">
        <v>-30854</v>
      </c>
      <c r="J20" s="115">
        <v>-31342.322530000303</v>
      </c>
      <c r="K20" s="115">
        <v>-23244</v>
      </c>
      <c r="L20" s="115">
        <v>-26059</v>
      </c>
      <c r="M20" s="115">
        <v>-112879</v>
      </c>
      <c r="N20" s="115">
        <v>-26991</v>
      </c>
      <c r="O20" s="115">
        <v>-33552</v>
      </c>
      <c r="P20" s="115">
        <v>-27303</v>
      </c>
      <c r="Q20" s="115">
        <v>-19500</v>
      </c>
      <c r="R20" s="115">
        <v>-107346</v>
      </c>
      <c r="S20" s="115">
        <v>-12496</v>
      </c>
      <c r="T20" s="115">
        <v>-11335</v>
      </c>
      <c r="U20" s="115">
        <v>-11542</v>
      </c>
      <c r="V20" s="115">
        <v>-12583</v>
      </c>
      <c r="W20" s="115">
        <v>-47956</v>
      </c>
      <c r="X20" s="115">
        <v>-10121</v>
      </c>
      <c r="Y20" s="115">
        <v>-15490</v>
      </c>
      <c r="Z20" s="115">
        <v>-22077</v>
      </c>
      <c r="AA20" s="115">
        <v>239</v>
      </c>
      <c r="AB20" s="115">
        <v>-47449</v>
      </c>
      <c r="AC20" s="115">
        <v>-15444.830020000005</v>
      </c>
      <c r="AD20" s="115">
        <v>-30122.630919999996</v>
      </c>
      <c r="AE20" s="115">
        <v>-41992.196549999993</v>
      </c>
      <c r="AF20" s="115">
        <v>-56620.694299999974</v>
      </c>
      <c r="AG20" s="115">
        <v>-9110.4573399999936</v>
      </c>
      <c r="AH20" s="115">
        <v>-20164.63665999996</v>
      </c>
      <c r="AI20" s="115">
        <v>-31770.078969999944</v>
      </c>
      <c r="AJ20" s="115">
        <v>-51646.559139999998</v>
      </c>
      <c r="AK20" s="115">
        <v>-11290.326269999998</v>
      </c>
      <c r="AL20" s="115">
        <v>-41215.218249999984</v>
      </c>
      <c r="AM20" s="115">
        <v>-48640.126740000007</v>
      </c>
      <c r="AN20" s="115">
        <f>AN21+AN22</f>
        <v>-70941.397460000095</v>
      </c>
      <c r="AO20" s="115">
        <f t="shared" ref="AO20:AV20" si="5">SUM(AO21:AO24)</f>
        <v>-17648.805669999951</v>
      </c>
      <c r="AP20" s="148">
        <f t="shared" si="5"/>
        <v>-35205.245870000079</v>
      </c>
      <c r="AQ20" s="202" t="e">
        <f t="shared" ref="AQ20" si="6">SUM(AQ21:AQ24)</f>
        <v>#REF!</v>
      </c>
      <c r="AR20" s="115">
        <f t="shared" si="5"/>
        <v>-6266.35347000006</v>
      </c>
      <c r="AS20" s="115">
        <f t="shared" si="5"/>
        <v>-3496.3528299997161</v>
      </c>
      <c r="AT20" s="148">
        <f t="shared" si="5"/>
        <v>-9525.5095499998388</v>
      </c>
      <c r="AU20" s="148">
        <f t="shared" si="5"/>
        <v>-9485.3014699997875</v>
      </c>
      <c r="AV20" s="148">
        <f t="shared" si="5"/>
        <v>-12407.292900000146</v>
      </c>
      <c r="AW20" s="148">
        <f t="shared" ref="AW20:AZ20" si="7">SUM(AW21:AW24)</f>
        <v>46746.790279999994</v>
      </c>
      <c r="AX20" s="148">
        <f t="shared" si="7"/>
        <v>-3461</v>
      </c>
      <c r="AY20" s="148">
        <f>SUM(AY21:AY24)</f>
        <v>-5200</v>
      </c>
      <c r="AZ20" s="148">
        <f t="shared" si="7"/>
        <v>-8598</v>
      </c>
      <c r="BA20" s="148">
        <f t="shared" ref="BA20:BC20" si="8">SUM(BA21:BA25)</f>
        <v>-4757</v>
      </c>
      <c r="BB20" s="148">
        <f t="shared" si="8"/>
        <v>-18788</v>
      </c>
      <c r="BC20" s="148">
        <f t="shared" si="8"/>
        <v>-18380</v>
      </c>
      <c r="BD20" s="238">
        <f>SUM(BD21:BD25)</f>
        <v>-108052.25005999999</v>
      </c>
      <c r="BE20" s="53"/>
    </row>
    <row r="21" spans="3:57">
      <c r="C21" s="112" t="str">
        <f>IF('Índice - Index'!$D$14="Português","Imobilizado","Assets")</f>
        <v>Imobilizado</v>
      </c>
      <c r="D21" s="116">
        <v>-44088.592719999746</v>
      </c>
      <c r="E21" s="116">
        <v>-29647.403779999942</v>
      </c>
      <c r="F21" s="116">
        <v>-39133.161830000012</v>
      </c>
      <c r="G21" s="116">
        <v>-27774.125409999993</v>
      </c>
      <c r="H21" s="153">
        <v>-140643.28373999969</v>
      </c>
      <c r="I21" s="153">
        <v>23658</v>
      </c>
      <c r="J21" s="153">
        <v>-16016.799490000265</v>
      </c>
      <c r="K21" s="153">
        <v>-11933</v>
      </c>
      <c r="L21" s="153">
        <v>-17979</v>
      </c>
      <c r="M21" s="153">
        <v>-62112</v>
      </c>
      <c r="N21" s="153">
        <v>-18804</v>
      </c>
      <c r="O21" s="153">
        <v>-25236</v>
      </c>
      <c r="P21" s="153">
        <v>-21498</v>
      </c>
      <c r="Q21" s="153">
        <v>-13297</v>
      </c>
      <c r="R21" s="153">
        <v>-78835</v>
      </c>
      <c r="S21" s="153">
        <v>-4914</v>
      </c>
      <c r="T21" s="153">
        <v>-4370</v>
      </c>
      <c r="U21" s="153">
        <v>-5375</v>
      </c>
      <c r="V21" s="153">
        <v>-8815</v>
      </c>
      <c r="W21" s="153">
        <v>-23474</v>
      </c>
      <c r="X21" s="153">
        <v>-3147</v>
      </c>
      <c r="Y21" s="153">
        <v>-6868</v>
      </c>
      <c r="Z21" s="153">
        <v>-8525</v>
      </c>
      <c r="AA21" s="153">
        <v>9883</v>
      </c>
      <c r="AB21" s="153">
        <v>-8657</v>
      </c>
      <c r="AC21" s="153">
        <v>-15444.830020000005</v>
      </c>
      <c r="AD21" s="153">
        <v>-36721.630919999996</v>
      </c>
      <c r="AE21" s="153">
        <v>-52564.196549999993</v>
      </c>
      <c r="AF21" s="153">
        <v>-71343.694299999974</v>
      </c>
      <c r="AG21" s="153">
        <v>-15068.457339999994</v>
      </c>
      <c r="AH21" s="153">
        <v>-30595.63665999996</v>
      </c>
      <c r="AI21" s="153">
        <v>-50100.078969999944</v>
      </c>
      <c r="AJ21" s="153">
        <v>-64331.559139999998</v>
      </c>
      <c r="AK21" s="153">
        <v>-7390.3262699999977</v>
      </c>
      <c r="AL21" s="153">
        <v>-17107.299999999996</v>
      </c>
      <c r="AM21" s="153">
        <v>-34068.520320000003</v>
      </c>
      <c r="AN21" s="53">
        <v>-70941.397460000095</v>
      </c>
      <c r="AO21" s="53">
        <v>-17648.805669999951</v>
      </c>
      <c r="AP21" s="53">
        <v>-35205.245870000079</v>
      </c>
      <c r="AQ21" s="203" t="e">
        <f>#REF!</f>
        <v>#REF!</v>
      </c>
      <c r="AR21" s="53">
        <v>-6266.35347000006</v>
      </c>
      <c r="AS21" s="53">
        <v>-3496.3528299997161</v>
      </c>
      <c r="AT21" s="53">
        <v>-9525.5095499998388</v>
      </c>
      <c r="AU21" s="53">
        <v>-9485.3014699997875</v>
      </c>
      <c r="AV21" s="53">
        <v>-12407.292900000146</v>
      </c>
      <c r="AW21" s="53">
        <v>655.79027999999198</v>
      </c>
      <c r="AX21" s="53">
        <v>-2624</v>
      </c>
      <c r="AY21" s="53">
        <v>-3954</v>
      </c>
      <c r="AZ21" s="53">
        <v>-7425</v>
      </c>
      <c r="BA21" s="53">
        <v>-2045</v>
      </c>
      <c r="BB21" s="53">
        <v>-4624</v>
      </c>
      <c r="BC21" s="53">
        <v>-6216</v>
      </c>
      <c r="BD21" s="235">
        <v>13098.544330000001</v>
      </c>
      <c r="BE21" s="53"/>
    </row>
    <row r="22" spans="3:57">
      <c r="C22" s="112" t="str">
        <f>IF('Índice - Index'!$D$14="Português","Intangivel","Intangible")</f>
        <v>Intangivel</v>
      </c>
      <c r="D22" s="116">
        <v>-6999.9688200000246</v>
      </c>
      <c r="E22" s="116">
        <v>-37617.577949999992</v>
      </c>
      <c r="F22" s="116">
        <v>7702.9397199999948</v>
      </c>
      <c r="G22" s="116">
        <v>-16793.536170000021</v>
      </c>
      <c r="H22" s="152">
        <v>-53708.143220000042</v>
      </c>
      <c r="I22" s="152">
        <v>-7366</v>
      </c>
      <c r="J22" s="152">
        <v>-15325.523040000036</v>
      </c>
      <c r="K22" s="152">
        <v>-11311</v>
      </c>
      <c r="L22" s="152">
        <v>-8080</v>
      </c>
      <c r="M22" s="152">
        <v>-50767</v>
      </c>
      <c r="N22" s="152">
        <v>-8187</v>
      </c>
      <c r="O22" s="152">
        <v>-8316</v>
      </c>
      <c r="P22" s="152">
        <v>-5805</v>
      </c>
      <c r="Q22" s="152">
        <v>-6203</v>
      </c>
      <c r="R22" s="152">
        <v>-28511</v>
      </c>
      <c r="S22" s="152">
        <v>-7582</v>
      </c>
      <c r="T22" s="152">
        <v>-6965</v>
      </c>
      <c r="U22" s="152">
        <v>-6167</v>
      </c>
      <c r="V22" s="152">
        <v>-3768</v>
      </c>
      <c r="W22" s="152">
        <v>-24482</v>
      </c>
      <c r="X22" s="152">
        <v>-6974</v>
      </c>
      <c r="Y22" s="152">
        <v>-8622</v>
      </c>
      <c r="Z22" s="152">
        <v>-13552</v>
      </c>
      <c r="AA22" s="152">
        <v>-9644</v>
      </c>
      <c r="AB22" s="152">
        <v>-38792</v>
      </c>
      <c r="AC22" s="152">
        <v>0</v>
      </c>
      <c r="AD22" s="152">
        <v>6599</v>
      </c>
      <c r="AE22" s="152">
        <v>10572</v>
      </c>
      <c r="AF22" s="152">
        <v>14723</v>
      </c>
      <c r="AG22" s="152">
        <v>5958</v>
      </c>
      <c r="AH22" s="152">
        <v>10431</v>
      </c>
      <c r="AI22" s="152">
        <v>18330</v>
      </c>
      <c r="AJ22" s="152">
        <v>12685</v>
      </c>
      <c r="AK22" s="152">
        <v>-3900</v>
      </c>
      <c r="AL22" s="152">
        <v>-24108.436000000002</v>
      </c>
      <c r="AM22" s="152">
        <v>-14571.60642</v>
      </c>
      <c r="AN22" s="53">
        <v>0</v>
      </c>
      <c r="AO22" s="53">
        <v>0</v>
      </c>
      <c r="AP22" s="53">
        <v>0</v>
      </c>
      <c r="AQ22" s="20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37">
        <v>46091</v>
      </c>
      <c r="AX22" s="37">
        <v>-837</v>
      </c>
      <c r="AY22" s="37">
        <v>-1246</v>
      </c>
      <c r="AZ22" s="37">
        <v>-1173</v>
      </c>
      <c r="BA22" s="37">
        <v>-2712</v>
      </c>
      <c r="BB22" s="37">
        <v>-14164</v>
      </c>
      <c r="BC22" s="37">
        <v>-10762</v>
      </c>
      <c r="BD22" s="235">
        <v>48571.252769999999</v>
      </c>
      <c r="BE22" s="53"/>
    </row>
    <row r="23" spans="3:57">
      <c r="C23" s="112" t="str">
        <f>IF('Índice - Index'!$D$14="Português","Outras Aquisições","Other Acquisitions")</f>
        <v>Outras Aquisições</v>
      </c>
      <c r="D23" s="116">
        <v>0</v>
      </c>
      <c r="E23" s="116">
        <v>-2237</v>
      </c>
      <c r="F23" s="116">
        <v>-23789</v>
      </c>
      <c r="G23" s="116">
        <v>0</v>
      </c>
      <c r="H23" s="152">
        <v>-26026</v>
      </c>
      <c r="I23" s="152">
        <v>-49096</v>
      </c>
      <c r="J23" s="152">
        <v>0</v>
      </c>
      <c r="K23" s="152">
        <v>0</v>
      </c>
      <c r="L23" s="152">
        <v>0</v>
      </c>
      <c r="M23" s="152">
        <v>0</v>
      </c>
      <c r="N23" s="152">
        <v>0</v>
      </c>
      <c r="O23" s="152">
        <v>0</v>
      </c>
      <c r="P23" s="152">
        <v>0</v>
      </c>
      <c r="Q23" s="152">
        <v>0</v>
      </c>
      <c r="R23" s="152">
        <v>0</v>
      </c>
      <c r="S23" s="152">
        <v>0</v>
      </c>
      <c r="T23" s="152">
        <v>0</v>
      </c>
      <c r="U23" s="152">
        <v>0</v>
      </c>
      <c r="V23" s="152">
        <v>0</v>
      </c>
      <c r="W23" s="152">
        <v>0</v>
      </c>
      <c r="X23" s="152">
        <v>0</v>
      </c>
      <c r="Y23" s="152">
        <v>0</v>
      </c>
      <c r="Z23" s="152">
        <v>0</v>
      </c>
      <c r="AA23" s="152">
        <v>0</v>
      </c>
      <c r="AB23" s="152">
        <v>0</v>
      </c>
      <c r="AC23" s="152">
        <v>0</v>
      </c>
      <c r="AD23" s="152">
        <v>0</v>
      </c>
      <c r="AE23" s="152">
        <v>0</v>
      </c>
      <c r="AF23" s="152">
        <v>0</v>
      </c>
      <c r="AG23" s="152">
        <v>0</v>
      </c>
      <c r="AH23" s="152">
        <v>0</v>
      </c>
      <c r="AI23" s="152">
        <v>0</v>
      </c>
      <c r="AJ23" s="152">
        <v>0</v>
      </c>
      <c r="AK23" s="152">
        <v>0</v>
      </c>
      <c r="AL23" s="152">
        <v>0</v>
      </c>
      <c r="AM23" s="152">
        <v>0</v>
      </c>
      <c r="AN23" s="152">
        <v>0</v>
      </c>
      <c r="AO23" s="152">
        <v>0</v>
      </c>
      <c r="AP23" s="153">
        <v>0</v>
      </c>
      <c r="AQ23" s="205">
        <v>0</v>
      </c>
      <c r="AR23" s="152">
        <v>0</v>
      </c>
      <c r="AS23" s="152">
        <v>0</v>
      </c>
      <c r="AT23" s="153">
        <v>0</v>
      </c>
      <c r="AU23" s="153">
        <v>0</v>
      </c>
      <c r="AV23" s="153">
        <v>0</v>
      </c>
      <c r="AW23" s="153">
        <v>0</v>
      </c>
      <c r="AX23" s="153">
        <v>0</v>
      </c>
      <c r="AY23" s="153">
        <v>0</v>
      </c>
      <c r="AZ23" s="153">
        <v>0</v>
      </c>
      <c r="BA23" s="153">
        <v>0</v>
      </c>
      <c r="BB23" s="153" t="s">
        <v>14</v>
      </c>
      <c r="BC23" s="153" t="s">
        <v>14</v>
      </c>
      <c r="BD23" s="235">
        <v>0</v>
      </c>
      <c r="BE23" s="53"/>
    </row>
    <row r="24" spans="3:57">
      <c r="C24" s="112" t="str">
        <f>IF('Índice - Index'!$D$14="Português","Títulos","Securities")</f>
        <v>Títulos</v>
      </c>
      <c r="D24" s="116">
        <v>0</v>
      </c>
      <c r="E24" s="116">
        <v>0</v>
      </c>
      <c r="F24" s="116">
        <v>0</v>
      </c>
      <c r="G24" s="116">
        <v>0</v>
      </c>
      <c r="H24" s="152">
        <v>0</v>
      </c>
      <c r="I24" s="152">
        <v>1950</v>
      </c>
      <c r="J24" s="152">
        <v>0</v>
      </c>
      <c r="K24" s="152">
        <v>0</v>
      </c>
      <c r="L24" s="152">
        <v>0</v>
      </c>
      <c r="M24" s="152">
        <v>0</v>
      </c>
      <c r="N24" s="152">
        <v>0</v>
      </c>
      <c r="O24" s="152">
        <v>0</v>
      </c>
      <c r="P24" s="152">
        <v>0</v>
      </c>
      <c r="Q24" s="152">
        <v>0</v>
      </c>
      <c r="R24" s="152">
        <v>0</v>
      </c>
      <c r="S24" s="152">
        <v>0</v>
      </c>
      <c r="T24" s="152">
        <v>0</v>
      </c>
      <c r="U24" s="152">
        <v>0</v>
      </c>
      <c r="V24" s="152">
        <v>0</v>
      </c>
      <c r="W24" s="152">
        <v>0</v>
      </c>
      <c r="X24" s="152">
        <v>0</v>
      </c>
      <c r="Y24" s="152">
        <v>0</v>
      </c>
      <c r="Z24" s="152">
        <v>0</v>
      </c>
      <c r="AA24" s="152">
        <v>0</v>
      </c>
      <c r="AB24" s="152">
        <v>0</v>
      </c>
      <c r="AC24" s="152">
        <v>0</v>
      </c>
      <c r="AD24" s="152">
        <v>0</v>
      </c>
      <c r="AE24" s="152">
        <v>0</v>
      </c>
      <c r="AF24" s="152">
        <v>0</v>
      </c>
      <c r="AG24" s="152">
        <v>0</v>
      </c>
      <c r="AH24" s="152">
        <v>0</v>
      </c>
      <c r="AI24" s="152">
        <v>0</v>
      </c>
      <c r="AJ24" s="152">
        <v>0</v>
      </c>
      <c r="AK24" s="152">
        <v>0</v>
      </c>
      <c r="AL24" s="152">
        <v>0</v>
      </c>
      <c r="AM24" s="152">
        <v>0</v>
      </c>
      <c r="AN24" s="152">
        <v>0</v>
      </c>
      <c r="AO24" s="152">
        <v>0</v>
      </c>
      <c r="AP24" s="153">
        <v>0</v>
      </c>
      <c r="AQ24" s="205">
        <v>0</v>
      </c>
      <c r="AR24" s="152">
        <v>0</v>
      </c>
      <c r="AS24" s="152">
        <v>0</v>
      </c>
      <c r="AT24" s="153">
        <v>0</v>
      </c>
      <c r="AU24" s="153">
        <v>0</v>
      </c>
      <c r="AV24" s="153">
        <v>0</v>
      </c>
      <c r="AW24" s="153">
        <v>0</v>
      </c>
      <c r="AX24" s="153">
        <v>0</v>
      </c>
      <c r="AY24" s="153">
        <v>0</v>
      </c>
      <c r="AZ24" s="153">
        <v>0</v>
      </c>
      <c r="BA24" s="153">
        <v>0</v>
      </c>
      <c r="BB24" s="153" t="s">
        <v>14</v>
      </c>
      <c r="BC24" s="153">
        <v>-1402</v>
      </c>
      <c r="BD24" s="235">
        <v>0</v>
      </c>
      <c r="BE24" s="53"/>
    </row>
    <row r="25" spans="3:57">
      <c r="C25" s="112" t="s">
        <v>53</v>
      </c>
      <c r="D25" s="116"/>
      <c r="E25" s="116"/>
      <c r="F25" s="116"/>
      <c r="G25" s="116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3"/>
      <c r="AQ25" s="205"/>
      <c r="AR25" s="152"/>
      <c r="AS25" s="152"/>
      <c r="AT25" s="153"/>
      <c r="AU25" s="153"/>
      <c r="AV25" s="153"/>
      <c r="AW25" s="153"/>
      <c r="AX25" s="153"/>
      <c r="AY25" s="153"/>
      <c r="AZ25" s="153"/>
      <c r="BA25" s="153"/>
      <c r="BB25" s="153"/>
      <c r="BC25" s="153"/>
      <c r="BD25" s="235">
        <v>-169722.04715999999</v>
      </c>
      <c r="BE25" s="53"/>
    </row>
    <row r="26" spans="3:57">
      <c r="C26" s="118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85"/>
      <c r="AQ26" s="204"/>
      <c r="AR26" s="113"/>
      <c r="AS26" s="113"/>
      <c r="AT26" s="185"/>
      <c r="AU26" s="185"/>
      <c r="AV26" s="185"/>
      <c r="AW26" s="185"/>
      <c r="AX26" s="185"/>
      <c r="AY26" s="185"/>
      <c r="AZ26" s="185"/>
      <c r="BA26" s="185"/>
      <c r="BB26" s="185"/>
      <c r="BC26" s="185"/>
      <c r="BD26" s="243"/>
      <c r="BE26" s="53"/>
    </row>
    <row r="27" spans="3:57">
      <c r="C27" s="56" t="str">
        <f>IF('Índice - Index'!$D$14="Português","GERAÇÃO OPERACIONAL DE CAIXA","CASH FROM OPERATIONS")</f>
        <v>GERAÇÃO OPERACIONAL DE CAIXA</v>
      </c>
      <c r="D27" s="115">
        <v>-214468.00000000006</v>
      </c>
      <c r="E27" s="115">
        <v>729.0000000000291</v>
      </c>
      <c r="F27" s="115">
        <v>97439.999999999985</v>
      </c>
      <c r="G27" s="115">
        <v>203446</v>
      </c>
      <c r="H27" s="115">
        <v>87145.174889999849</v>
      </c>
      <c r="I27" s="115">
        <v>-149536.79704399992</v>
      </c>
      <c r="J27" s="115">
        <v>104144.82253579999</v>
      </c>
      <c r="K27" s="115">
        <v>80966.017418000003</v>
      </c>
      <c r="L27" s="115">
        <v>235768.87809109554</v>
      </c>
      <c r="M27" s="115">
        <v>290808.92579089553</v>
      </c>
      <c r="N27" s="115">
        <v>-36634.925790895533</v>
      </c>
      <c r="O27" s="115">
        <v>69834.000000000029</v>
      </c>
      <c r="P27" s="115">
        <v>52803.999999999971</v>
      </c>
      <c r="Q27" s="115">
        <v>211168.66999999998</v>
      </c>
      <c r="R27" s="115">
        <v>297173.74420910445</v>
      </c>
      <c r="S27" s="115">
        <v>51114.33</v>
      </c>
      <c r="T27" s="115">
        <v>-128998</v>
      </c>
      <c r="U27" s="115">
        <v>24582</v>
      </c>
      <c r="V27" s="115">
        <v>-628</v>
      </c>
      <c r="W27" s="115">
        <v>-52524.669999999984</v>
      </c>
      <c r="X27" s="115">
        <v>47845</v>
      </c>
      <c r="Y27" s="115">
        <v>-67486</v>
      </c>
      <c r="Z27" s="115">
        <v>59013</v>
      </c>
      <c r="AA27" s="115">
        <v>108754.34281000012</v>
      </c>
      <c r="AB27" s="115">
        <v>148125.99999999994</v>
      </c>
      <c r="AC27" s="115">
        <v>-134563.43456000011</v>
      </c>
      <c r="AD27" s="115">
        <v>-177421.12640000004</v>
      </c>
      <c r="AE27" s="115">
        <v>-165181.42406000372</v>
      </c>
      <c r="AF27" s="115">
        <v>-113694.96036348888</v>
      </c>
      <c r="AG27" s="115">
        <v>-193250.75479000784</v>
      </c>
      <c r="AH27" s="115">
        <v>-279179.06353885232</v>
      </c>
      <c r="AI27" s="115">
        <v>-236414.27668101748</v>
      </c>
      <c r="AJ27" s="115">
        <v>-99818.066106349754</v>
      </c>
      <c r="AK27" s="115">
        <v>-143180.02425366014</v>
      </c>
      <c r="AL27" s="115">
        <v>-362188.62312366161</v>
      </c>
      <c r="AM27" s="115">
        <v>-248910.43754604101</v>
      </c>
      <c r="AN27" s="115">
        <v>-272557.98625999968</v>
      </c>
      <c r="AO27" s="115">
        <f t="shared" ref="AO27:AV27" si="9">SUM(AO11,AO13,AO20)</f>
        <v>-245101.06842366004</v>
      </c>
      <c r="AP27" s="148">
        <f t="shared" si="9"/>
        <v>-62655.589483660762</v>
      </c>
      <c r="AQ27" s="202" t="e">
        <f t="shared" ref="AQ27" si="10">SUM(AQ11,AQ13,AQ20)</f>
        <v>#REF!</v>
      </c>
      <c r="AR27" s="115">
        <f t="shared" si="9"/>
        <v>36563.199466338701</v>
      </c>
      <c r="AS27" s="115">
        <f t="shared" si="9"/>
        <v>34880.669350000229</v>
      </c>
      <c r="AT27" s="148">
        <f t="shared" si="9"/>
        <v>147445.99691009722</v>
      </c>
      <c r="AU27" s="148">
        <f t="shared" si="9"/>
        <v>126338.15417166018</v>
      </c>
      <c r="AV27" s="148">
        <f t="shared" si="9"/>
        <v>49519.752600000968</v>
      </c>
      <c r="AW27" s="148">
        <f t="shared" ref="AW27:BD27" si="11">SUM(AW11,AW13,AW20)</f>
        <v>-214590.31458000015</v>
      </c>
      <c r="AX27" s="148">
        <f t="shared" si="11"/>
        <v>-197477.79714918978</v>
      </c>
      <c r="AY27" s="148">
        <f t="shared" si="11"/>
        <v>-141320.72523919051</v>
      </c>
      <c r="AZ27" s="148">
        <f t="shared" si="11"/>
        <v>14989.252860809444</v>
      </c>
      <c r="BA27" s="148">
        <f t="shared" si="11"/>
        <v>-47039.907209999721</v>
      </c>
      <c r="BB27" s="148">
        <f t="shared" si="11"/>
        <v>-18102.324519999442</v>
      </c>
      <c r="BC27" s="148">
        <f t="shared" si="11"/>
        <v>-156846.6138499995</v>
      </c>
      <c r="BD27" s="238">
        <f t="shared" si="11"/>
        <v>-95628.786340000108</v>
      </c>
      <c r="BE27" s="53"/>
    </row>
    <row r="28" spans="3:57">
      <c r="C28" s="112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  <c r="AI28" s="114"/>
      <c r="AJ28" s="114"/>
      <c r="AK28" s="114"/>
      <c r="AL28" s="114"/>
      <c r="AM28" s="114"/>
      <c r="AN28" s="114"/>
      <c r="AO28" s="114"/>
      <c r="AP28" s="185"/>
      <c r="AQ28" s="204"/>
      <c r="AR28" s="114"/>
      <c r="AS28" s="114"/>
      <c r="AT28" s="185"/>
      <c r="AU28" s="185"/>
      <c r="AV28" s="185"/>
      <c r="AW28" s="185"/>
      <c r="AX28" s="185"/>
      <c r="AY28" s="185"/>
      <c r="AZ28" s="185"/>
      <c r="BA28" s="185"/>
      <c r="BB28" s="185"/>
      <c r="BC28" s="185"/>
      <c r="BD28" s="113"/>
      <c r="BE28" s="53"/>
    </row>
    <row r="29" spans="3:57">
      <c r="C29" s="56" t="s">
        <v>6</v>
      </c>
      <c r="D29" s="115">
        <v>644</v>
      </c>
      <c r="E29" s="115">
        <v>-19940</v>
      </c>
      <c r="F29" s="115">
        <v>-1010</v>
      </c>
      <c r="G29" s="115">
        <v>-10032</v>
      </c>
      <c r="H29" s="115">
        <v>-30338</v>
      </c>
      <c r="I29" s="115">
        <v>488</v>
      </c>
      <c r="J29" s="115">
        <v>-12008</v>
      </c>
      <c r="K29" s="115">
        <v>198</v>
      </c>
      <c r="L29" s="115">
        <v>-121</v>
      </c>
      <c r="M29" s="115">
        <v>-11443</v>
      </c>
      <c r="N29" s="115">
        <v>134.00000000001</v>
      </c>
      <c r="O29" s="115">
        <v>106.99999999999181</v>
      </c>
      <c r="P29" s="115">
        <v>45.999999999998181</v>
      </c>
      <c r="Q29" s="115">
        <v>-8143</v>
      </c>
      <c r="R29" s="115">
        <v>-7856</v>
      </c>
      <c r="S29" s="115">
        <v>542</v>
      </c>
      <c r="T29" s="115">
        <v>743</v>
      </c>
      <c r="U29" s="115">
        <v>119</v>
      </c>
      <c r="V29" s="115">
        <v>0</v>
      </c>
      <c r="W29" s="115">
        <v>0</v>
      </c>
      <c r="X29" s="115">
        <v>-5967</v>
      </c>
      <c r="Y29" s="115">
        <v>5967</v>
      </c>
      <c r="Z29" s="115">
        <v>0</v>
      </c>
      <c r="AA29" s="115">
        <v>-6736</v>
      </c>
      <c r="AB29" s="115">
        <v>-6736</v>
      </c>
      <c r="AC29" s="115">
        <v>-1486.9105199996375</v>
      </c>
      <c r="AD29" s="115">
        <v>724.40900000001056</v>
      </c>
      <c r="AE29" s="115">
        <v>4971.4390900000071</v>
      </c>
      <c r="AF29" s="115">
        <v>551980.40899999999</v>
      </c>
      <c r="AG29" s="115">
        <v>11077</v>
      </c>
      <c r="AH29" s="115">
        <v>12536</v>
      </c>
      <c r="AI29" s="115">
        <v>8349</v>
      </c>
      <c r="AJ29" s="115">
        <v>4113</v>
      </c>
      <c r="AK29" s="115">
        <v>499</v>
      </c>
      <c r="AL29" s="115">
        <v>169.54230999999913</v>
      </c>
      <c r="AM29" s="115">
        <v>680.70280000001196</v>
      </c>
      <c r="AN29" s="115">
        <f>AN31</f>
        <v>72652.614319999877</v>
      </c>
      <c r="AO29" s="115">
        <v>159595.28139000016</v>
      </c>
      <c r="AP29" s="148">
        <f t="shared" ref="AP29:AV29" si="12">SUM(AP30:AP32)</f>
        <v>1973.2689799995715</v>
      </c>
      <c r="AQ29" s="202" t="e">
        <f t="shared" si="12"/>
        <v>#REF!</v>
      </c>
      <c r="AR29" s="115">
        <f t="shared" si="12"/>
        <v>40632.298240000091</v>
      </c>
      <c r="AS29" s="115">
        <f t="shared" si="12"/>
        <v>1597.5915600004373</v>
      </c>
      <c r="AT29" s="148">
        <f t="shared" si="12"/>
        <v>-672.28516999923158</v>
      </c>
      <c r="AU29" s="148">
        <f t="shared" si="12"/>
        <v>-610.40047999948729</v>
      </c>
      <c r="AV29" s="148">
        <f t="shared" si="12"/>
        <v>18240.962569189607</v>
      </c>
      <c r="AW29" s="148">
        <f t="shared" ref="AW29:BD29" si="13">SUM(AW30:AW32)</f>
        <v>2602.2094891880406</v>
      </c>
      <c r="AX29" s="148">
        <f t="shared" si="13"/>
        <v>1673.5236091882689</v>
      </c>
      <c r="AY29" s="148">
        <f t="shared" si="13"/>
        <v>617155</v>
      </c>
      <c r="AZ29" s="148">
        <f t="shared" si="13"/>
        <v>617146</v>
      </c>
      <c r="BA29" s="148">
        <f t="shared" si="13"/>
        <v>315.90720999974292</v>
      </c>
      <c r="BB29" s="148">
        <f t="shared" si="13"/>
        <v>1115.3245199994417</v>
      </c>
      <c r="BC29" s="148">
        <f t="shared" si="13"/>
        <v>1115.3245199994417</v>
      </c>
      <c r="BD29" s="238">
        <f t="shared" si="13"/>
        <v>1503.2416399999638</v>
      </c>
      <c r="BE29" s="53"/>
    </row>
    <row r="30" spans="3:57">
      <c r="C30" s="119" t="str">
        <f>IF('Índice - Index'!$D$14="Português","Pagamento de Dividendo + JCP","Payment of Dividends and Interests on Equity")</f>
        <v>Pagamento de Dividendo + JCP</v>
      </c>
      <c r="D30" s="120">
        <v>0</v>
      </c>
      <c r="E30" s="120">
        <v>-20306</v>
      </c>
      <c r="F30" s="120">
        <v>0</v>
      </c>
      <c r="G30" s="120">
        <v>0</v>
      </c>
      <c r="H30" s="120">
        <v>-20306</v>
      </c>
      <c r="I30" s="120">
        <v>0</v>
      </c>
      <c r="J30" s="120">
        <v>-12132</v>
      </c>
      <c r="K30" s="120">
        <v>0</v>
      </c>
      <c r="L30" s="120">
        <v>0</v>
      </c>
      <c r="M30" s="120">
        <v>-12132</v>
      </c>
      <c r="N30" s="120">
        <v>0</v>
      </c>
      <c r="O30" s="120">
        <v>0</v>
      </c>
      <c r="P30" s="120">
        <v>0</v>
      </c>
      <c r="Q30" s="120">
        <v>0</v>
      </c>
      <c r="R30" s="120">
        <v>0</v>
      </c>
      <c r="S30" s="120">
        <v>0</v>
      </c>
      <c r="T30" s="120">
        <v>0</v>
      </c>
      <c r="U30" s="120">
        <v>0</v>
      </c>
      <c r="V30" s="120">
        <v>0</v>
      </c>
      <c r="W30" s="120">
        <v>0</v>
      </c>
      <c r="X30" s="120">
        <v>0</v>
      </c>
      <c r="Y30" s="120">
        <v>0</v>
      </c>
      <c r="Z30" s="120">
        <v>0</v>
      </c>
      <c r="AA30" s="120">
        <v>-6736</v>
      </c>
      <c r="AB30" s="120">
        <v>-6736</v>
      </c>
      <c r="AC30" s="120">
        <v>-187.82128000000012</v>
      </c>
      <c r="AD30" s="120">
        <v>0</v>
      </c>
      <c r="AE30" s="120">
        <v>-6736</v>
      </c>
      <c r="AF30" s="120">
        <v>-6736</v>
      </c>
      <c r="AG30" s="120">
        <v>0</v>
      </c>
      <c r="AH30" s="120">
        <v>0</v>
      </c>
      <c r="AI30" s="120">
        <v>0</v>
      </c>
      <c r="AJ30" s="120">
        <v>0</v>
      </c>
      <c r="AK30" s="120">
        <v>0</v>
      </c>
      <c r="AL30" s="116">
        <v>0</v>
      </c>
      <c r="AM30" s="120">
        <v>0</v>
      </c>
      <c r="AN30" s="120">
        <v>0</v>
      </c>
      <c r="AO30" s="120">
        <v>0</v>
      </c>
      <c r="AP30" s="149">
        <v>0</v>
      </c>
      <c r="AQ30" s="206">
        <v>0</v>
      </c>
      <c r="AR30" s="120">
        <v>0</v>
      </c>
      <c r="AS30" s="120">
        <v>0</v>
      </c>
      <c r="AT30" s="149">
        <v>0</v>
      </c>
      <c r="AU30" s="149">
        <v>0</v>
      </c>
      <c r="AV30" s="149">
        <v>0</v>
      </c>
      <c r="AW30" s="149">
        <v>0</v>
      </c>
      <c r="AX30" s="149">
        <v>0</v>
      </c>
      <c r="AY30" s="149">
        <v>0</v>
      </c>
      <c r="AZ30" s="149">
        <v>0</v>
      </c>
      <c r="BA30" s="149">
        <v>0</v>
      </c>
      <c r="BB30" s="149" t="s">
        <v>14</v>
      </c>
      <c r="BC30" s="149" t="s">
        <v>14</v>
      </c>
      <c r="BD30" s="236"/>
      <c r="BE30" s="53"/>
    </row>
    <row r="31" spans="3:57">
      <c r="C31" s="119" t="str">
        <f>IF('Índice - Index'!$D$14="Português","Variação do Capital","Variation in Capital")</f>
        <v>Variação do Capital</v>
      </c>
      <c r="D31" s="120">
        <v>0</v>
      </c>
      <c r="E31" s="120">
        <v>0</v>
      </c>
      <c r="F31" s="120">
        <v>0</v>
      </c>
      <c r="G31" s="120">
        <v>0</v>
      </c>
      <c r="H31" s="120">
        <v>0</v>
      </c>
      <c r="I31" s="120">
        <v>0</v>
      </c>
      <c r="J31" s="120">
        <v>0</v>
      </c>
      <c r="K31" s="120">
        <v>238104</v>
      </c>
      <c r="L31" s="120">
        <v>0</v>
      </c>
      <c r="M31" s="120">
        <v>238104</v>
      </c>
      <c r="N31" s="120">
        <v>0</v>
      </c>
      <c r="O31" s="120">
        <v>0</v>
      </c>
      <c r="P31" s="120">
        <v>0</v>
      </c>
      <c r="Q31" s="120">
        <v>0</v>
      </c>
      <c r="R31" s="120">
        <v>0</v>
      </c>
      <c r="S31" s="120">
        <v>0</v>
      </c>
      <c r="T31" s="120">
        <v>0</v>
      </c>
      <c r="U31" s="120">
        <v>0</v>
      </c>
      <c r="V31" s="120">
        <v>0</v>
      </c>
      <c r="W31" s="120">
        <v>0</v>
      </c>
      <c r="X31" s="120">
        <v>0</v>
      </c>
      <c r="Y31" s="120">
        <v>0</v>
      </c>
      <c r="Z31" s="120">
        <v>0</v>
      </c>
      <c r="AA31" s="120">
        <v>0</v>
      </c>
      <c r="AB31" s="120">
        <v>0</v>
      </c>
      <c r="AC31" s="120">
        <v>-1299.0892399996374</v>
      </c>
      <c r="AD31" s="120">
        <v>724.40900000001056</v>
      </c>
      <c r="AE31" s="120">
        <v>11707.439090000007</v>
      </c>
      <c r="AF31" s="120">
        <v>558716.40899999999</v>
      </c>
      <c r="AG31" s="120">
        <v>-286228</v>
      </c>
      <c r="AH31" s="120">
        <v>12536</v>
      </c>
      <c r="AI31" s="120">
        <v>8349</v>
      </c>
      <c r="AJ31" s="120">
        <v>4113</v>
      </c>
      <c r="AK31" s="120">
        <v>499</v>
      </c>
      <c r="AL31" s="116">
        <v>169.54230999999913</v>
      </c>
      <c r="AM31" s="120">
        <v>680.70280000001196</v>
      </c>
      <c r="AN31" s="120">
        <v>72652.614319999877</v>
      </c>
      <c r="AO31" s="120">
        <v>176769.9399099999</v>
      </c>
      <c r="AP31" s="149">
        <v>1973.2689799995715</v>
      </c>
      <c r="AQ31" s="206" t="e">
        <f>#REF!</f>
        <v>#REF!</v>
      </c>
      <c r="AR31" s="120">
        <v>40632.298240000091</v>
      </c>
      <c r="AS31" s="120">
        <v>1597.5915600004373</v>
      </c>
      <c r="AT31" s="149">
        <v>-672.28516999923158</v>
      </c>
      <c r="AU31" s="149">
        <v>-610.40047999948729</v>
      </c>
      <c r="AV31" s="149">
        <v>18240.962569189607</v>
      </c>
      <c r="AW31" s="149">
        <v>2602.2094891880406</v>
      </c>
      <c r="AX31" s="149">
        <v>1673.5236091882689</v>
      </c>
      <c r="AY31" s="149">
        <v>617155</v>
      </c>
      <c r="AZ31" s="149">
        <v>617146</v>
      </c>
      <c r="BA31" s="149">
        <v>315.90720999974292</v>
      </c>
      <c r="BB31" s="149">
        <v>1115.3245199994417</v>
      </c>
      <c r="BC31" s="149">
        <f>BB31</f>
        <v>1115.3245199994417</v>
      </c>
      <c r="BD31" s="236">
        <v>1503.2416399999638</v>
      </c>
      <c r="BE31" s="53"/>
    </row>
    <row r="32" spans="3:57">
      <c r="C32" s="119" t="str">
        <f>IF('Índice - Index'!$D$14="Português","Variação de Reservas","Variation in Reserves")</f>
        <v>Variação de Reservas</v>
      </c>
      <c r="D32" s="120">
        <v>644</v>
      </c>
      <c r="E32" s="120">
        <v>366</v>
      </c>
      <c r="F32" s="120">
        <v>-1010</v>
      </c>
      <c r="G32" s="120">
        <v>-10032</v>
      </c>
      <c r="H32" s="120">
        <v>-10032</v>
      </c>
      <c r="I32" s="120">
        <v>488</v>
      </c>
      <c r="J32" s="120">
        <v>124</v>
      </c>
      <c r="K32" s="120">
        <v>-237906</v>
      </c>
      <c r="L32" s="120">
        <v>-121</v>
      </c>
      <c r="M32" s="120">
        <v>-237415</v>
      </c>
      <c r="N32" s="120">
        <v>134.00000000001</v>
      </c>
      <c r="O32" s="120">
        <v>106.99999999999181</v>
      </c>
      <c r="P32" s="120">
        <v>45.999999999998181</v>
      </c>
      <c r="Q32" s="120">
        <v>-8143</v>
      </c>
      <c r="R32" s="120">
        <v>-7856</v>
      </c>
      <c r="S32" s="120">
        <v>542</v>
      </c>
      <c r="T32" s="120">
        <v>743</v>
      </c>
      <c r="U32" s="120">
        <v>119</v>
      </c>
      <c r="V32" s="120">
        <v>0</v>
      </c>
      <c r="W32" s="120">
        <v>0</v>
      </c>
      <c r="X32" s="120">
        <v>-5967</v>
      </c>
      <c r="Y32" s="120">
        <v>5967</v>
      </c>
      <c r="Z32" s="120">
        <v>0</v>
      </c>
      <c r="AA32" s="120">
        <v>0</v>
      </c>
      <c r="AB32" s="120">
        <v>0</v>
      </c>
      <c r="AC32" s="120">
        <v>0</v>
      </c>
      <c r="AD32" s="120">
        <v>0</v>
      </c>
      <c r="AE32" s="120">
        <v>0</v>
      </c>
      <c r="AF32" s="120">
        <v>0</v>
      </c>
      <c r="AG32" s="120">
        <v>0</v>
      </c>
      <c r="AH32" s="120">
        <v>0</v>
      </c>
      <c r="AI32" s="120">
        <v>0</v>
      </c>
      <c r="AJ32" s="120">
        <v>0</v>
      </c>
      <c r="AK32" s="120">
        <v>0</v>
      </c>
      <c r="AL32" s="116">
        <v>0</v>
      </c>
      <c r="AM32" s="120">
        <v>0</v>
      </c>
      <c r="AN32" s="120">
        <v>0</v>
      </c>
      <c r="AO32" s="120">
        <v>0</v>
      </c>
      <c r="AP32" s="149">
        <v>0</v>
      </c>
      <c r="AQ32" s="206">
        <v>0</v>
      </c>
      <c r="AR32" s="120">
        <v>0</v>
      </c>
      <c r="AS32" s="120">
        <v>0</v>
      </c>
      <c r="AT32" s="149">
        <v>0</v>
      </c>
      <c r="AU32" s="149">
        <v>0</v>
      </c>
      <c r="AV32" s="149">
        <v>0</v>
      </c>
      <c r="AW32" s="149">
        <v>0</v>
      </c>
      <c r="AX32" s="149">
        <v>0</v>
      </c>
      <c r="AY32" s="149">
        <v>0</v>
      </c>
      <c r="AZ32" s="149">
        <v>0</v>
      </c>
      <c r="BA32" s="149">
        <v>0</v>
      </c>
      <c r="BB32" s="149"/>
      <c r="BC32" s="149">
        <v>0</v>
      </c>
      <c r="BD32" s="236"/>
      <c r="BE32" s="53"/>
    </row>
    <row r="33" spans="3:57">
      <c r="C33" s="112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113"/>
      <c r="AI33" s="113"/>
      <c r="AJ33" s="113"/>
      <c r="AK33" s="113"/>
      <c r="AL33" s="113"/>
      <c r="AM33" s="113"/>
      <c r="AN33" s="113"/>
      <c r="AO33" s="113"/>
      <c r="AP33" s="185"/>
      <c r="AQ33" s="204"/>
      <c r="AR33" s="113"/>
      <c r="AS33" s="113"/>
      <c r="AT33" s="185"/>
      <c r="AU33" s="185"/>
      <c r="AV33" s="185"/>
      <c r="AW33" s="185"/>
      <c r="AX33" s="185"/>
      <c r="AY33" s="185"/>
      <c r="AZ33" s="185"/>
      <c r="BA33" s="185"/>
      <c r="BB33" s="185"/>
      <c r="BC33" s="185"/>
      <c r="BD33" s="113"/>
      <c r="BE33" s="53"/>
    </row>
    <row r="34" spans="3:57">
      <c r="C34" s="56" t="str">
        <f>IF('Índice - Index'!$D$14="Português","Endividamento","Debt")</f>
        <v>Endividamento</v>
      </c>
      <c r="D34" s="115">
        <v>112164</v>
      </c>
      <c r="E34" s="115">
        <v>141834</v>
      </c>
      <c r="F34" s="115">
        <v>18249</v>
      </c>
      <c r="G34" s="115">
        <v>-76259</v>
      </c>
      <c r="H34" s="115">
        <v>195988</v>
      </c>
      <c r="I34" s="115">
        <v>13021</v>
      </c>
      <c r="J34" s="115">
        <v>29162</v>
      </c>
      <c r="K34" s="115">
        <v>68213</v>
      </c>
      <c r="L34" s="115">
        <v>-329363</v>
      </c>
      <c r="M34" s="115">
        <v>-238433</v>
      </c>
      <c r="N34" s="115">
        <v>-83754</v>
      </c>
      <c r="O34" s="115">
        <v>-49485</v>
      </c>
      <c r="P34" s="115">
        <v>-46814</v>
      </c>
      <c r="Q34" s="115">
        <v>-241820</v>
      </c>
      <c r="R34" s="115">
        <v>-421873</v>
      </c>
      <c r="S34" s="115">
        <v>-34071</v>
      </c>
      <c r="T34" s="115">
        <v>-32628</v>
      </c>
      <c r="U34" s="115">
        <v>90661</v>
      </c>
      <c r="V34" s="115">
        <v>67039</v>
      </c>
      <c r="W34" s="115">
        <v>91001</v>
      </c>
      <c r="X34" s="115">
        <v>-117142</v>
      </c>
      <c r="Y34" s="115">
        <v>-82797</v>
      </c>
      <c r="Z34" s="115">
        <v>-15440</v>
      </c>
      <c r="AA34" s="115">
        <v>13190.151670000007</v>
      </c>
      <c r="AB34" s="115">
        <v>-202189</v>
      </c>
      <c r="AC34" s="115">
        <v>6558.8740400001298</v>
      </c>
      <c r="AD34" s="115">
        <v>-9253.6955499999967</v>
      </c>
      <c r="AE34" s="115">
        <v>-66453.395320000011</v>
      </c>
      <c r="AF34" s="115">
        <v>-109523.19774999999</v>
      </c>
      <c r="AG34" s="115">
        <v>-292009.92719999998</v>
      </c>
      <c r="AH34" s="115">
        <v>-149970.14146000001</v>
      </c>
      <c r="AI34" s="115">
        <v>-178664.41321</v>
      </c>
      <c r="AJ34" s="115">
        <v>-102861.17200999999</v>
      </c>
      <c r="AK34" s="115">
        <v>-109913.24825999999</v>
      </c>
      <c r="AL34" s="115">
        <v>-124162.58142000003</v>
      </c>
      <c r="AM34" s="148">
        <v>-33150.249460000094</v>
      </c>
      <c r="AN34" s="115">
        <f t="shared" ref="AN34:AV34" si="14">AN35+AN36</f>
        <v>-65051.984460000065</v>
      </c>
      <c r="AO34" s="115">
        <f t="shared" si="14"/>
        <v>-71748.309239999973</v>
      </c>
      <c r="AP34" s="148">
        <f t="shared" ref="AP34:AQ34" si="15">AP35+AP36</f>
        <v>105626.94860999995</v>
      </c>
      <c r="AQ34" s="202" t="e">
        <f t="shared" si="15"/>
        <v>#REF!</v>
      </c>
      <c r="AR34" s="115">
        <f t="shared" si="14"/>
        <v>-97937.023799901683</v>
      </c>
      <c r="AS34" s="115">
        <f t="shared" si="14"/>
        <v>-77248.178980098062</v>
      </c>
      <c r="AT34" s="148">
        <f t="shared" si="14"/>
        <v>-48289.502779999981</v>
      </c>
      <c r="AU34" s="148">
        <f t="shared" si="14"/>
        <v>-156876.99696999983</v>
      </c>
      <c r="AV34" s="148">
        <f t="shared" si="14"/>
        <v>-118335.06592999998</v>
      </c>
      <c r="AW34" s="148">
        <f t="shared" ref="AW34:AX34" si="16">AW35+AW36</f>
        <v>257980.27229000028</v>
      </c>
      <c r="AX34" s="148">
        <f t="shared" si="16"/>
        <v>172456</v>
      </c>
      <c r="AY34" s="148">
        <f>IFERROR(AY35+AY36,"-")</f>
        <v>-514116.02190000005</v>
      </c>
      <c r="AZ34" s="148">
        <f t="shared" ref="AZ34:BD34" si="17">IFERROR(AZ35+AZ36,"-")</f>
        <v>-587166</v>
      </c>
      <c r="BA34" s="148">
        <f t="shared" si="17"/>
        <v>-85994.000000000015</v>
      </c>
      <c r="BB34" s="148">
        <f t="shared" si="17"/>
        <v>-114719</v>
      </c>
      <c r="BC34" s="148">
        <f t="shared" si="17"/>
        <v>65956</v>
      </c>
      <c r="BD34" s="238">
        <f t="shared" si="17"/>
        <v>162.6252000000095</v>
      </c>
      <c r="BE34" s="53"/>
    </row>
    <row r="35" spans="3:57">
      <c r="C35" s="112" t="str">
        <f>IF('Índice - Index'!$D$14="Português","Desp.Financ.Estrutural","Structural Interest Expense")</f>
        <v>Desp.Financ.Estrutural</v>
      </c>
      <c r="D35" s="110">
        <v>-41424</v>
      </c>
      <c r="E35" s="110">
        <v>-44880</v>
      </c>
      <c r="F35" s="110">
        <v>-29868</v>
      </c>
      <c r="G35" s="110">
        <v>-35465</v>
      </c>
      <c r="H35" s="110">
        <v>-151637</v>
      </c>
      <c r="I35" s="110">
        <v>-22578</v>
      </c>
      <c r="J35" s="110">
        <v>-50013</v>
      </c>
      <c r="K35" s="110">
        <v>-50674</v>
      </c>
      <c r="L35" s="110">
        <v>-54053</v>
      </c>
      <c r="M35" s="110">
        <v>-196784</v>
      </c>
      <c r="N35" s="110">
        <v>-35783</v>
      </c>
      <c r="O35" s="110">
        <v>-37186</v>
      </c>
      <c r="P35" s="110">
        <v>-37935</v>
      </c>
      <c r="Q35" s="110">
        <v>-34433</v>
      </c>
      <c r="R35" s="110">
        <v>-145337</v>
      </c>
      <c r="S35" s="110">
        <v>-25244</v>
      </c>
      <c r="T35" s="110">
        <v>-21874</v>
      </c>
      <c r="U35" s="110">
        <v>-21379</v>
      </c>
      <c r="V35" s="110">
        <v>-17593</v>
      </c>
      <c r="W35" s="110">
        <v>-86090</v>
      </c>
      <c r="X35" s="110">
        <v>-13633</v>
      </c>
      <c r="Y35" s="110">
        <v>-18433</v>
      </c>
      <c r="Z35" s="110">
        <v>-75046</v>
      </c>
      <c r="AA35" s="110">
        <v>2772.1516700000066</v>
      </c>
      <c r="AB35" s="110">
        <v>-104340</v>
      </c>
      <c r="AC35" s="110">
        <v>-10988.641769999998</v>
      </c>
      <c r="AD35" s="110">
        <v>-23583.695549999997</v>
      </c>
      <c r="AE35" s="110">
        <v>-35361.395320000003</v>
      </c>
      <c r="AF35" s="110">
        <v>-43083.197749999999</v>
      </c>
      <c r="AG35" s="110">
        <v>-5781.9272000000001</v>
      </c>
      <c r="AH35" s="110">
        <v>-8740.1414600000007</v>
      </c>
      <c r="AI35" s="110">
        <v>-11943.413209999999</v>
      </c>
      <c r="AJ35" s="110">
        <v>-15739.172009999998</v>
      </c>
      <c r="AK35" s="110">
        <v>-9964.2482600000003</v>
      </c>
      <c r="AL35" s="149">
        <v>-29712.063579999998</v>
      </c>
      <c r="AM35" s="149">
        <v>-29884.780939999997</v>
      </c>
      <c r="AN35" s="110">
        <v>-40091.233180000003</v>
      </c>
      <c r="AO35" s="110">
        <v>-10773.802380000001</v>
      </c>
      <c r="AP35" s="149">
        <v>-20614.247039999998</v>
      </c>
      <c r="AQ35" s="206" t="e">
        <f>#REF!</f>
        <v>#REF!</v>
      </c>
      <c r="AR35" s="110">
        <v>-42385.309779999996</v>
      </c>
      <c r="AS35" s="110">
        <v>-9987.0052099999994</v>
      </c>
      <c r="AT35" s="149">
        <v>-19461.162269999997</v>
      </c>
      <c r="AU35" s="149">
        <v>-27273.679530000005</v>
      </c>
      <c r="AV35" s="149">
        <v>-35224.463680000008</v>
      </c>
      <c r="AW35" s="149">
        <v>-9790.0530899999994</v>
      </c>
      <c r="AX35" s="149">
        <v>-36395.039049999999</v>
      </c>
      <c r="AY35" s="149">
        <v>-49254.885269999999</v>
      </c>
      <c r="AZ35" s="149">
        <v>-56155.486390000005</v>
      </c>
      <c r="BA35" s="149">
        <v>-9357.1339499999976</v>
      </c>
      <c r="BB35" s="149">
        <v>-22521.690129999999</v>
      </c>
      <c r="BC35" s="149">
        <v>-55745</v>
      </c>
      <c r="BD35" s="235">
        <v>-155077.17937</v>
      </c>
      <c r="BE35" s="53"/>
    </row>
    <row r="36" spans="3:57">
      <c r="C36" s="112" t="str">
        <f>IF('Índice - Index'!$D$14="Português","Amortizações/Captações","Amortizations/Fundings")</f>
        <v>Amortizações/Captações</v>
      </c>
      <c r="D36" s="110">
        <v>153588</v>
      </c>
      <c r="E36" s="110">
        <v>186714</v>
      </c>
      <c r="F36" s="110">
        <v>48117</v>
      </c>
      <c r="G36" s="110">
        <v>-40794</v>
      </c>
      <c r="H36" s="110">
        <v>347625</v>
      </c>
      <c r="I36" s="110">
        <v>35599</v>
      </c>
      <c r="J36" s="110">
        <v>79175</v>
      </c>
      <c r="K36" s="110">
        <v>118887</v>
      </c>
      <c r="L36" s="110">
        <v>-275310</v>
      </c>
      <c r="M36" s="110">
        <v>-41649</v>
      </c>
      <c r="N36" s="110">
        <v>-47971</v>
      </c>
      <c r="O36" s="110">
        <v>-12299</v>
      </c>
      <c r="P36" s="110">
        <v>-8879</v>
      </c>
      <c r="Q36" s="110">
        <v>-207387</v>
      </c>
      <c r="R36" s="110">
        <v>-276536</v>
      </c>
      <c r="S36" s="110">
        <v>-8827</v>
      </c>
      <c r="T36" s="110">
        <v>-10754</v>
      </c>
      <c r="U36" s="110">
        <v>112040</v>
      </c>
      <c r="V36" s="110">
        <v>84632</v>
      </c>
      <c r="W36" s="110">
        <v>177091</v>
      </c>
      <c r="X36" s="110">
        <v>-103509</v>
      </c>
      <c r="Y36" s="110">
        <v>-64364</v>
      </c>
      <c r="Z36" s="110">
        <v>59606</v>
      </c>
      <c r="AA36" s="110">
        <v>10418</v>
      </c>
      <c r="AB36" s="110">
        <v>-97849</v>
      </c>
      <c r="AC36" s="110">
        <v>17547.515810000128</v>
      </c>
      <c r="AD36" s="110">
        <v>14330</v>
      </c>
      <c r="AE36" s="110">
        <v>-31092</v>
      </c>
      <c r="AF36" s="110">
        <v>-66440</v>
      </c>
      <c r="AG36" s="110">
        <v>-286228</v>
      </c>
      <c r="AH36" s="110">
        <v>-141230</v>
      </c>
      <c r="AI36" s="110">
        <v>-166721</v>
      </c>
      <c r="AJ36" s="110">
        <v>-87122</v>
      </c>
      <c r="AK36" s="110">
        <v>-99949</v>
      </c>
      <c r="AL36" s="149">
        <v>-94450.517840000044</v>
      </c>
      <c r="AM36" s="149">
        <v>-3265.4685200000968</v>
      </c>
      <c r="AN36" s="110">
        <v>-24960.751280000062</v>
      </c>
      <c r="AO36" s="110">
        <v>-60974.506859999979</v>
      </c>
      <c r="AP36" s="149">
        <v>126241.19564999995</v>
      </c>
      <c r="AQ36" s="206" t="e">
        <f>SUM(#REF!)</f>
        <v>#REF!</v>
      </c>
      <c r="AR36" s="110">
        <v>-55551.714019901679</v>
      </c>
      <c r="AS36" s="110">
        <v>-67261.173770098059</v>
      </c>
      <c r="AT36" s="149">
        <v>-28828.34050999998</v>
      </c>
      <c r="AU36" s="149">
        <v>-129603.31743999984</v>
      </c>
      <c r="AV36" s="149">
        <v>-83110.602249999967</v>
      </c>
      <c r="AW36" s="149">
        <v>267770.32538000029</v>
      </c>
      <c r="AX36" s="149">
        <f>538627-262658-103513+36395.03905</f>
        <v>208851.03904999999</v>
      </c>
      <c r="AY36" s="149">
        <v>-464861.13663000008</v>
      </c>
      <c r="AZ36" s="149">
        <f>540004-926875-200295+56155.48639</f>
        <v>-531010.51361000002</v>
      </c>
      <c r="BA36" s="149">
        <v>-76636.866050000011</v>
      </c>
      <c r="BB36" s="149">
        <f>30000-50634-93235+22521.69013-850</f>
        <v>-92197.309869999997</v>
      </c>
      <c r="BC36" s="149">
        <f>265017-143316</f>
        <v>121701</v>
      </c>
      <c r="BD36" s="235">
        <v>155239.80457000001</v>
      </c>
      <c r="BE36" s="53"/>
    </row>
    <row r="37" spans="3:57">
      <c r="C37" s="112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/>
      <c r="AE37" s="113"/>
      <c r="AF37" s="113"/>
      <c r="AG37" s="113"/>
      <c r="AH37" s="113"/>
      <c r="AI37" s="113"/>
      <c r="AJ37" s="113"/>
      <c r="AK37" s="113"/>
      <c r="AL37" s="113"/>
      <c r="AM37" s="113"/>
      <c r="AN37" s="113"/>
      <c r="AO37" s="113"/>
      <c r="AP37" s="185"/>
      <c r="AQ37" s="204"/>
      <c r="AR37" s="113"/>
      <c r="AS37" s="113"/>
      <c r="AT37" s="185"/>
      <c r="AU37" s="185"/>
      <c r="AV37" s="185"/>
      <c r="AW37" s="185"/>
      <c r="AX37" s="185"/>
      <c r="AY37" s="185"/>
      <c r="AZ37" s="185"/>
      <c r="BA37" s="185"/>
      <c r="BB37" s="185"/>
      <c r="BC37" s="185"/>
      <c r="BD37" s="243"/>
      <c r="BE37" s="53"/>
    </row>
    <row r="38" spans="3:57">
      <c r="C38" s="56" t="str">
        <f>IF('Índice - Index'!$D$14="Português","VARIAÇÃO FINAL DE CAIXA","Increase (decrease) in Cash and Cash Equivalents")</f>
        <v>VARIAÇÃO FINAL DE CAIXA</v>
      </c>
      <c r="D38" s="115">
        <v>-101660.00000000003</v>
      </c>
      <c r="E38" s="115">
        <v>122623.00000000003</v>
      </c>
      <c r="F38" s="115">
        <v>114678.99999999999</v>
      </c>
      <c r="G38" s="115">
        <v>117155</v>
      </c>
      <c r="H38" s="115">
        <v>252795.17488999985</v>
      </c>
      <c r="I38" s="115">
        <v>-136027.79704399992</v>
      </c>
      <c r="J38" s="115">
        <v>121298.82253579999</v>
      </c>
      <c r="K38" s="115">
        <v>149377.017418</v>
      </c>
      <c r="L38" s="115">
        <v>-93715.121908904461</v>
      </c>
      <c r="M38" s="115">
        <v>40932.925790895533</v>
      </c>
      <c r="N38" s="115">
        <v>-120254.92579089553</v>
      </c>
      <c r="O38" s="115">
        <v>20456.000000000015</v>
      </c>
      <c r="P38" s="115">
        <v>6035.9999999999709</v>
      </c>
      <c r="Q38" s="115">
        <v>-38794.330000000016</v>
      </c>
      <c r="R38" s="115">
        <v>-132555.25579089555</v>
      </c>
      <c r="S38" s="115">
        <v>17585.330000000002</v>
      </c>
      <c r="T38" s="115">
        <v>-160883</v>
      </c>
      <c r="U38" s="115">
        <v>115362</v>
      </c>
      <c r="V38" s="115">
        <v>66411</v>
      </c>
      <c r="W38" s="115">
        <v>38476.330000000016</v>
      </c>
      <c r="X38" s="115">
        <v>-75264</v>
      </c>
      <c r="Y38" s="115">
        <v>-144316</v>
      </c>
      <c r="Z38" s="115">
        <v>43573</v>
      </c>
      <c r="AA38" s="115">
        <v>115208.49448000012</v>
      </c>
      <c r="AB38" s="115">
        <v>-60799.000000000058</v>
      </c>
      <c r="AC38" s="115">
        <v>-129491.47103999961</v>
      </c>
      <c r="AD38" s="115">
        <v>-185950.57831000024</v>
      </c>
      <c r="AE38" s="115">
        <v>-226663.55133000368</v>
      </c>
      <c r="AF38" s="115">
        <v>328762.25088651112</v>
      </c>
      <c r="AG38" s="115">
        <v>-474183.68199000781</v>
      </c>
      <c r="AH38" s="115">
        <v>-416613.20499885234</v>
      </c>
      <c r="AI38" s="115">
        <v>-406729.68989101751</v>
      </c>
      <c r="AJ38" s="115">
        <v>-198566.23811634973</v>
      </c>
      <c r="AK38" s="115">
        <v>-252594.27251366014</v>
      </c>
      <c r="AL38" s="115">
        <v>-233587.20962662483</v>
      </c>
      <c r="AM38" s="115">
        <v>-251495.20326604109</v>
      </c>
      <c r="AN38" s="115">
        <f t="shared" ref="AN38:AV38" si="18">AN41-AN40</f>
        <v>-264957.35639999987</v>
      </c>
      <c r="AO38" s="115">
        <f t="shared" si="18"/>
        <v>-140079.43775366017</v>
      </c>
      <c r="AP38" s="148">
        <f t="shared" ref="AP38:AQ38" si="19">AP41-AP40</f>
        <v>-6006.7476573209278</v>
      </c>
      <c r="AQ38" s="202" t="e">
        <f t="shared" si="19"/>
        <v>#REF!</v>
      </c>
      <c r="AR38" s="115">
        <f t="shared" si="18"/>
        <v>-20741.52609356289</v>
      </c>
      <c r="AS38" s="115">
        <f t="shared" si="18"/>
        <v>-40768.776500097127</v>
      </c>
      <c r="AT38" s="148">
        <f t="shared" si="18"/>
        <v>98484.208960098011</v>
      </c>
      <c r="AU38" s="148">
        <f>SUM(AU34,AU29,AU27)</f>
        <v>-31149.243278339141</v>
      </c>
      <c r="AV38" s="148">
        <f t="shared" si="18"/>
        <v>-50574.350760809437</v>
      </c>
      <c r="AW38" s="148">
        <f t="shared" ref="AW38" si="20">AW41-AW40</f>
        <v>-98.832800811855122</v>
      </c>
      <c r="AX38" s="148">
        <f>SUM(AX34,AX29,AX27)</f>
        <v>-23348.273540001508</v>
      </c>
      <c r="AY38" s="148">
        <f>SUM(AY34,AY29,AY27)</f>
        <v>-38281.747139190556</v>
      </c>
      <c r="AZ38" s="148">
        <f t="shared" ref="AZ38:BD38" si="21">SUM(AZ34,AZ29,AZ27)</f>
        <v>44969.252860809444</v>
      </c>
      <c r="BA38" s="148">
        <f t="shared" si="21"/>
        <v>-132718</v>
      </c>
      <c r="BB38" s="148">
        <f t="shared" si="21"/>
        <v>-131706</v>
      </c>
      <c r="BC38" s="148">
        <f t="shared" si="21"/>
        <v>-89775.289330000058</v>
      </c>
      <c r="BD38" s="238">
        <f t="shared" si="21"/>
        <v>-93962.919500000135</v>
      </c>
      <c r="BE38" s="53"/>
    </row>
    <row r="39" spans="3:57">
      <c r="C39" s="112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85"/>
      <c r="AQ39" s="204"/>
      <c r="AR39" s="114"/>
      <c r="AS39" s="114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243"/>
      <c r="BE39" s="53"/>
    </row>
    <row r="40" spans="3:57">
      <c r="C40" s="121" t="str">
        <f>IF('Índice - Index'!$D$14="Português","SALDO INICIAL","At the Beginning of the Period")</f>
        <v>SALDO INICIAL</v>
      </c>
      <c r="D40" s="122">
        <v>257883</v>
      </c>
      <c r="E40" s="122">
        <v>156223</v>
      </c>
      <c r="F40" s="122">
        <v>278846</v>
      </c>
      <c r="G40" s="122">
        <v>393525</v>
      </c>
      <c r="H40" s="122">
        <v>257883</v>
      </c>
      <c r="I40" s="122">
        <v>510680</v>
      </c>
      <c r="J40" s="122">
        <v>374652</v>
      </c>
      <c r="K40" s="122">
        <v>495951</v>
      </c>
      <c r="L40" s="122">
        <v>645328</v>
      </c>
      <c r="M40" s="122">
        <v>510680</v>
      </c>
      <c r="N40" s="122">
        <v>551613</v>
      </c>
      <c r="O40" s="122">
        <v>431358</v>
      </c>
      <c r="P40" s="122">
        <v>451815.07420910452</v>
      </c>
      <c r="Q40" s="122">
        <v>457851</v>
      </c>
      <c r="R40" s="122">
        <v>551612.92579089548</v>
      </c>
      <c r="S40" s="122">
        <v>419058</v>
      </c>
      <c r="T40" s="122">
        <v>436643</v>
      </c>
      <c r="U40" s="122">
        <v>275761</v>
      </c>
      <c r="V40" s="122">
        <v>391123</v>
      </c>
      <c r="W40" s="122">
        <v>419058</v>
      </c>
      <c r="X40" s="122">
        <v>457534</v>
      </c>
      <c r="Y40" s="122">
        <v>382270</v>
      </c>
      <c r="Z40" s="122">
        <v>237954</v>
      </c>
      <c r="AA40" s="122">
        <v>281527</v>
      </c>
      <c r="AB40" s="122">
        <v>457534.33</v>
      </c>
      <c r="AC40" s="122">
        <v>396735</v>
      </c>
      <c r="AD40" s="122">
        <v>396735.32999999996</v>
      </c>
      <c r="AE40" s="122">
        <v>396735.32999999996</v>
      </c>
      <c r="AF40" s="122">
        <v>396735.32999999996</v>
      </c>
      <c r="AG40" s="122">
        <v>725498</v>
      </c>
      <c r="AH40" s="122">
        <v>725498</v>
      </c>
      <c r="AI40" s="122">
        <v>725498</v>
      </c>
      <c r="AJ40" s="122">
        <v>725498</v>
      </c>
      <c r="AK40" s="122">
        <f>AJ41</f>
        <v>526931.76188365021</v>
      </c>
      <c r="AL40" s="122">
        <v>526931.76188365021</v>
      </c>
      <c r="AM40" s="122">
        <v>526931.94197702687</v>
      </c>
      <c r="AN40" s="122">
        <v>526931.88249356335</v>
      </c>
      <c r="AO40" s="122">
        <v>261974.52609356301</v>
      </c>
      <c r="AP40" s="122">
        <v>261974.52609356301</v>
      </c>
      <c r="AQ40" s="198" t="e">
        <f>#REF!</f>
        <v>#REF!</v>
      </c>
      <c r="AR40" s="122">
        <v>261974.52609356301</v>
      </c>
      <c r="AS40" s="122">
        <v>241233.00000000012</v>
      </c>
      <c r="AT40" s="186">
        <v>241232.79103990205</v>
      </c>
      <c r="AU40" s="186">
        <v>241232.79103990205</v>
      </c>
      <c r="AV40" s="186">
        <v>147559.09789999999</v>
      </c>
      <c r="AW40" s="186">
        <v>96985.273540001479</v>
      </c>
      <c r="AX40" s="186">
        <v>96985.273540001479</v>
      </c>
      <c r="AY40" s="186">
        <f>$AV$41</f>
        <v>96984.747139190556</v>
      </c>
      <c r="AZ40" s="186">
        <f>$AV$41</f>
        <v>96984.747139190556</v>
      </c>
      <c r="BA40" s="186">
        <f t="shared" ref="BA40:BB40" si="22">$AZ$41</f>
        <v>141954</v>
      </c>
      <c r="BB40" s="186">
        <f t="shared" si="22"/>
        <v>141954</v>
      </c>
      <c r="BC40" s="186">
        <f>$AZ$41</f>
        <v>141954</v>
      </c>
      <c r="BD40" s="239">
        <f t="shared" ref="BD40" si="23">$AZ$41</f>
        <v>141954</v>
      </c>
      <c r="BE40" s="53"/>
    </row>
    <row r="41" spans="3:57">
      <c r="C41" s="123" t="str">
        <f>IF('Índice - Index'!$D$14="Português","SALDO FINAL DE CAIXA","At the End of the Period")</f>
        <v>SALDO FINAL DE CAIXA</v>
      </c>
      <c r="D41" s="124">
        <v>156223</v>
      </c>
      <c r="E41" s="124">
        <v>278846</v>
      </c>
      <c r="F41" s="124">
        <v>393525</v>
      </c>
      <c r="G41" s="124">
        <v>510680</v>
      </c>
      <c r="H41" s="124">
        <v>510680</v>
      </c>
      <c r="I41" s="124">
        <v>374652</v>
      </c>
      <c r="J41" s="124">
        <v>495951</v>
      </c>
      <c r="K41" s="124">
        <v>645328</v>
      </c>
      <c r="L41" s="124">
        <v>551612.87809109548</v>
      </c>
      <c r="M41" s="124">
        <v>551612.92579089548</v>
      </c>
      <c r="N41" s="124">
        <v>431358.07420910447</v>
      </c>
      <c r="O41" s="124">
        <v>451815</v>
      </c>
      <c r="P41" s="124">
        <v>457852.07420910452</v>
      </c>
      <c r="Q41" s="124">
        <v>419057.67</v>
      </c>
      <c r="R41" s="124">
        <v>419057.66999999993</v>
      </c>
      <c r="S41" s="124">
        <v>436643.33</v>
      </c>
      <c r="T41" s="124">
        <v>275760</v>
      </c>
      <c r="U41" s="124">
        <v>391123</v>
      </c>
      <c r="V41" s="124">
        <v>457534</v>
      </c>
      <c r="W41" s="124">
        <v>457534.33</v>
      </c>
      <c r="X41" s="124">
        <v>382270</v>
      </c>
      <c r="Y41" s="124">
        <v>237954</v>
      </c>
      <c r="Z41" s="124">
        <v>281527</v>
      </c>
      <c r="AA41" s="124">
        <v>396735.49448000011</v>
      </c>
      <c r="AB41" s="124">
        <v>396735.32999999996</v>
      </c>
      <c r="AC41" s="124">
        <v>267243.52896000037</v>
      </c>
      <c r="AD41" s="124">
        <v>210784.91704999993</v>
      </c>
      <c r="AE41" s="124">
        <v>170071.77866999627</v>
      </c>
      <c r="AF41" s="124">
        <v>725497.58088651113</v>
      </c>
      <c r="AG41" s="124">
        <v>251314.31800999219</v>
      </c>
      <c r="AH41" s="124">
        <v>308884.79500114766</v>
      </c>
      <c r="AI41" s="124">
        <v>318767.33023898257</v>
      </c>
      <c r="AJ41" s="124">
        <v>526931.76188365021</v>
      </c>
      <c r="AK41" s="124">
        <v>274337.72748633986</v>
      </c>
      <c r="AL41" s="124">
        <v>293344.55225702538</v>
      </c>
      <c r="AM41" s="124">
        <v>275436.74660615821</v>
      </c>
      <c r="AN41" s="124">
        <v>261974.52609356347</v>
      </c>
      <c r="AO41" s="124">
        <v>121895.08833990284</v>
      </c>
      <c r="AP41" s="187">
        <v>255967.77843624208</v>
      </c>
      <c r="AQ41" s="199" t="e">
        <f>#REF!</f>
        <v>#REF!</v>
      </c>
      <c r="AR41" s="124">
        <v>241233.00000000012</v>
      </c>
      <c r="AS41" s="124">
        <v>200464.22349990299</v>
      </c>
      <c r="AT41" s="187">
        <v>339717.00000000006</v>
      </c>
      <c r="AU41" s="187">
        <v>210083.54776156292</v>
      </c>
      <c r="AV41" s="187">
        <v>96984.747139190556</v>
      </c>
      <c r="AW41" s="187">
        <v>96886.440739189624</v>
      </c>
      <c r="AX41" s="187">
        <v>73637</v>
      </c>
      <c r="AY41" s="187">
        <v>58703</v>
      </c>
      <c r="AZ41" s="187">
        <v>141954</v>
      </c>
      <c r="BA41" s="187">
        <v>9236</v>
      </c>
      <c r="BB41" s="187">
        <v>10248</v>
      </c>
      <c r="BC41" s="187">
        <v>52179</v>
      </c>
      <c r="BD41" s="240">
        <f>'Balanço - Balance Sheet'!BO9</f>
        <v>47990</v>
      </c>
      <c r="BE41" s="53"/>
    </row>
    <row r="42" spans="3:57">
      <c r="AK42" s="155"/>
      <c r="AL42" s="155"/>
      <c r="AX42" s="155"/>
      <c r="AY42" s="155"/>
      <c r="AZ42" s="155"/>
      <c r="BA42" s="155"/>
      <c r="BB42" s="155"/>
      <c r="BC42" s="155"/>
      <c r="BD42" s="155"/>
    </row>
    <row r="43" spans="3:57">
      <c r="C43" s="162" t="str">
        <f>IF('Índice - Index'!$D$14="Português","*Capital de giro inclui variação de titulos e valores mobiliários","*Working capital includes changes in marketable securities")</f>
        <v>*Capital de giro inclui variação de titulos e valores mobiliários</v>
      </c>
      <c r="AW43" s="91"/>
      <c r="AX43" s="91"/>
      <c r="AY43" s="91"/>
      <c r="AZ43" s="91"/>
      <c r="BA43" s="91"/>
      <c r="BB43" s="91"/>
      <c r="BC43" s="53"/>
      <c r="BD43" s="53"/>
    </row>
    <row r="44" spans="3:57">
      <c r="C44" s="162" t="str">
        <f>IF('Índice - Index'!$D$14="Português","** A partir da DFP 2023, o resultado da Mpagamentos passou a ser divulgado como operação descontinuada, e foi expurgado do fluxo de caixa","** As of 2023 Release, Mpagamentos' results began to be disclosed as a discontinued operation, and were purged from the cash flow")</f>
        <v>** A partir da DFP 2023, o resultado da Mpagamentos passou a ser divulgado como operação descontinuada, e foi expurgado do fluxo de caixa</v>
      </c>
    </row>
  </sheetData>
  <phoneticPr fontId="67" type="noConversion"/>
  <pageMargins left="0.511811024" right="0.511811024" top="0.78740157499999996" bottom="0.78740157499999996" header="0.31496062000000002" footer="0.31496062000000002"/>
  <pageSetup orientation="portrait" r:id="rId1"/>
  <headerFooter>
    <oddFooter>&amp;R_x000D_&amp;1#&amp;"Calibri"&amp;10&amp;K000000 Classificação Interna</oddFooter>
  </headerFooter>
  <ignoredErrors>
    <ignoredError sqref="BC7:BD7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5">
    <tabColor rgb="FFFFCCFF"/>
    <pageSetUpPr fitToPage="1"/>
  </sheetPr>
  <dimension ref="B1:FD43"/>
  <sheetViews>
    <sheetView showGridLines="0" tabSelected="1" zoomScale="90" zoomScaleNormal="90" zoomScaleSheetLayoutView="52" workbookViewId="0">
      <pane xSplit="2" ySplit="1" topLeftCell="V9" activePane="bottomRight" state="frozen"/>
      <selection activeCell="B1" sqref="B1"/>
      <selection pane="topRight" activeCell="B1" sqref="B1"/>
      <selection pane="bottomLeft" activeCell="B1" sqref="B1"/>
      <selection pane="bottomRight" activeCell="CI28" sqref="CI28"/>
    </sheetView>
  </sheetViews>
  <sheetFormatPr defaultColWidth="9.21875" defaultRowHeight="13.2" outlineLevelRow="1" outlineLevelCol="1"/>
  <cols>
    <col min="1" max="1" width="10.5546875" style="25" customWidth="1"/>
    <col min="2" max="2" width="33.5546875" style="25" bestFit="1" customWidth="1"/>
    <col min="3" max="3" width="12.44140625" style="25" hidden="1" customWidth="1" outlineLevel="1"/>
    <col min="4" max="4" width="12.21875" style="25" hidden="1" customWidth="1" outlineLevel="1"/>
    <col min="5" max="6" width="12.44140625" style="25" hidden="1" customWidth="1" outlineLevel="1"/>
    <col min="7" max="7" width="12.44140625" style="25" bestFit="1" customWidth="1" collapsed="1"/>
    <col min="8" max="8" width="12.44140625" style="25" hidden="1" customWidth="1" outlineLevel="1"/>
    <col min="9" max="9" width="12" style="25" hidden="1" customWidth="1" outlineLevel="1"/>
    <col min="10" max="10" width="12.5546875" style="25" hidden="1" customWidth="1" outlineLevel="1"/>
    <col min="11" max="11" width="12" style="25" hidden="1" customWidth="1" outlineLevel="1"/>
    <col min="12" max="12" width="12" style="25" bestFit="1" customWidth="1" collapsed="1"/>
    <col min="13" max="15" width="12.21875" style="25" hidden="1" customWidth="1" outlineLevel="1"/>
    <col min="16" max="16" width="11.77734375" style="25" hidden="1" customWidth="1" outlineLevel="1"/>
    <col min="17" max="17" width="11.77734375" style="25" bestFit="1" customWidth="1" collapsed="1"/>
    <col min="18" max="18" width="11.5546875" style="25" hidden="1" customWidth="1" outlineLevel="1"/>
    <col min="19" max="19" width="12.44140625" style="25" hidden="1" customWidth="1" outlineLevel="1"/>
    <col min="20" max="20" width="12.5546875" style="25" hidden="1" customWidth="1" outlineLevel="1"/>
    <col min="21" max="21" width="12.44140625" style="25" hidden="1" customWidth="1" outlineLevel="1"/>
    <col min="22" max="22" width="12.44140625" style="25" bestFit="1" customWidth="1" collapsed="1"/>
    <col min="23" max="24" width="12.21875" style="25" hidden="1" customWidth="1" outlineLevel="1"/>
    <col min="25" max="25" width="12.44140625" style="25" hidden="1" customWidth="1" outlineLevel="1"/>
    <col min="26" max="26" width="11.77734375" style="25" hidden="1" customWidth="1" outlineLevel="1"/>
    <col min="27" max="27" width="12.44140625" style="25" bestFit="1" customWidth="1" collapsed="1"/>
    <col min="28" max="29" width="12.44140625" style="25" hidden="1" customWidth="1" outlineLevel="1"/>
    <col min="30" max="30" width="12.5546875" style="25" hidden="1" customWidth="1" outlineLevel="1"/>
    <col min="31" max="31" width="12.21875" style="25" hidden="1" customWidth="1" outlineLevel="1"/>
    <col min="32" max="32" width="12.21875" style="25" bestFit="1" customWidth="1" collapsed="1"/>
    <col min="33" max="33" width="12.5546875" style="25" hidden="1" customWidth="1" outlineLevel="1"/>
    <col min="34" max="34" width="11.5546875" style="25" hidden="1" customWidth="1" outlineLevel="1"/>
    <col min="35" max="35" width="12.44140625" style="25" hidden="1" customWidth="1" outlineLevel="1"/>
    <col min="36" max="36" width="12.21875" style="25" hidden="1" customWidth="1" outlineLevel="1"/>
    <col min="37" max="37" width="12.21875" style="25" bestFit="1" customWidth="1" collapsed="1"/>
    <col min="38" max="39" width="12.44140625" style="25" hidden="1" customWidth="1" outlineLevel="1"/>
    <col min="40" max="40" width="12.21875" style="25" hidden="1" customWidth="1" outlineLevel="1"/>
    <col min="41" max="41" width="12.44140625" style="25" hidden="1" customWidth="1" outlineLevel="1"/>
    <col min="42" max="42" width="12.44140625" style="25" bestFit="1" customWidth="1" collapsed="1"/>
    <col min="43" max="43" width="12.5546875" style="25" hidden="1" customWidth="1" outlineLevel="1"/>
    <col min="44" max="44" width="12.44140625" style="25" hidden="1" customWidth="1" outlineLevel="1"/>
    <col min="45" max="45" width="11.5546875" style="25" hidden="1" customWidth="1" outlineLevel="1"/>
    <col min="46" max="46" width="12.5546875" style="25" hidden="1" customWidth="1" outlineLevel="1"/>
    <col min="47" max="47" width="12.5546875" style="25" customWidth="1" collapsed="1"/>
    <col min="48" max="51" width="12.5546875" style="25" hidden="1" customWidth="1" outlineLevel="1"/>
    <col min="52" max="52" width="12.5546875" style="25" customWidth="1" collapsed="1"/>
    <col min="53" max="56" width="12.5546875" style="25" hidden="1" customWidth="1" outlineLevel="1"/>
    <col min="57" max="57" width="12.5546875" style="25" customWidth="1" collapsed="1"/>
    <col min="58" max="61" width="12.5546875" style="25" hidden="1" customWidth="1" outlineLevel="1"/>
    <col min="62" max="62" width="12.5546875" style="25" customWidth="1" collapsed="1"/>
    <col min="63" max="63" width="12.5546875" style="25" hidden="1" customWidth="1" outlineLevel="1"/>
    <col min="64" max="64" width="12" style="25" hidden="1" customWidth="1" outlineLevel="1"/>
    <col min="65" max="65" width="12.21875" style="25" hidden="1" customWidth="1" outlineLevel="1"/>
    <col min="66" max="66" width="12.5546875" style="25" hidden="1" customWidth="1" outlineLevel="1"/>
    <col min="67" max="67" width="12.5546875" style="25" customWidth="1" collapsed="1"/>
    <col min="68" max="71" width="12.5546875" style="25" hidden="1" customWidth="1" outlineLevel="1"/>
    <col min="72" max="72" width="12.5546875" style="25" customWidth="1" collapsed="1"/>
    <col min="73" max="76" width="12.5546875" style="25" hidden="1" customWidth="1" outlineLevel="1"/>
    <col min="77" max="77" width="12.5546875" style="25" customWidth="1" collapsed="1"/>
    <col min="78" max="84" width="12.5546875" style="25" hidden="1" customWidth="1" outlineLevel="1"/>
    <col min="85" max="85" width="9.77734375" style="25" bestFit="1" customWidth="1" collapsed="1"/>
    <col min="86" max="16384" width="9.21875" style="25"/>
  </cols>
  <sheetData>
    <row r="1" spans="2:160">
      <c r="B1" s="77" t="str">
        <f>IF('Índice - Index'!$D$14="Português","Destaques Operacionais","Operating Highlights")</f>
        <v>Destaques Operacionais</v>
      </c>
      <c r="C1" s="77" t="str">
        <f>IF('Índice - Index'!$D$14="Português","1T09","1Q09")</f>
        <v>1T09</v>
      </c>
      <c r="D1" s="77" t="str">
        <f>IF('Índice - Index'!$D$14="Português","2T09","2Q09")</f>
        <v>2T09</v>
      </c>
      <c r="E1" s="77" t="str">
        <f>IF('Índice - Index'!$D$14="Português","3T09","3Q09")</f>
        <v>3T09</v>
      </c>
      <c r="F1" s="77" t="str">
        <f>IF('Índice - Index'!$D$14="Português","4T09","4Q09")</f>
        <v>4T09</v>
      </c>
      <c r="G1" s="79">
        <v>2009</v>
      </c>
      <c r="H1" s="77" t="str">
        <f>IF('Índice - Index'!$D$14="Português","1T10","1Q10")</f>
        <v>1T10</v>
      </c>
      <c r="I1" s="77" t="str">
        <f>IF('Índice - Index'!$D$14="Português","2T10","2Q10")</f>
        <v>2T10</v>
      </c>
      <c r="J1" s="77" t="str">
        <f>IF('Índice - Index'!$D$14="Português","3T10","3Q10")</f>
        <v>3T10</v>
      </c>
      <c r="K1" s="77" t="str">
        <f>IF('Índice - Index'!$D$14="Português","4T10","4Q10")</f>
        <v>4T10</v>
      </c>
      <c r="L1" s="79">
        <v>2010</v>
      </c>
      <c r="M1" s="77" t="str">
        <f>IF('Índice - Index'!$D$14="Português","1T11","1Q11")</f>
        <v>1T11</v>
      </c>
      <c r="N1" s="77" t="str">
        <f>IF('Índice - Index'!$D$14="Português","2T11","2Q11")</f>
        <v>2T11</v>
      </c>
      <c r="O1" s="77" t="str">
        <f>IF('Índice - Index'!$D$14="Português","3T11","3Q11")</f>
        <v>3T11</v>
      </c>
      <c r="P1" s="77" t="str">
        <f>IF('Índice - Index'!$D$14="Português","4T11","4Q11")</f>
        <v>4T11</v>
      </c>
      <c r="Q1" s="79">
        <v>2011</v>
      </c>
      <c r="R1" s="77" t="str">
        <f>IF('Índice - Index'!$D$14="Português","1T12","1Q12")</f>
        <v>1T12</v>
      </c>
      <c r="S1" s="77" t="str">
        <f>IF('Índice - Index'!$D$14="Português","2T12","2Q12")</f>
        <v>2T12</v>
      </c>
      <c r="T1" s="77" t="str">
        <f>IF('Índice - Index'!$D$14="Português","3T12","3Q12")</f>
        <v>3T12</v>
      </c>
      <c r="U1" s="77" t="str">
        <f>IF('Índice - Index'!$D$14="Português","4T12","4Q12")</f>
        <v>4T12</v>
      </c>
      <c r="V1" s="79">
        <v>2012</v>
      </c>
      <c r="W1" s="77" t="str">
        <f>IF('Índice - Index'!$D$14="Português","1T13","1Q13")</f>
        <v>1T13</v>
      </c>
      <c r="X1" s="77" t="str">
        <f>IF('Índice - Index'!$D$14="Português","2T13","2Q13")</f>
        <v>2T13</v>
      </c>
      <c r="Y1" s="77" t="str">
        <f>IF('Índice - Index'!$D$14="Português","3T13","3Q13")</f>
        <v>3T13</v>
      </c>
      <c r="Z1" s="80" t="str">
        <f>IF('Índice - Index'!$D$14="Português","4T13","4Q13")</f>
        <v>4T13</v>
      </c>
      <c r="AA1" s="79">
        <v>2013</v>
      </c>
      <c r="AB1" s="77" t="str">
        <f>IF('Índice - Index'!$D$14="Português","1T14","1Q14")</f>
        <v>1T14</v>
      </c>
      <c r="AC1" s="77" t="str">
        <f>IF('Índice - Index'!$D$14="Português","2T14","2Q14")</f>
        <v>2T14</v>
      </c>
      <c r="AD1" s="77" t="str">
        <f>IF('Índice - Index'!$D$14="Português","3T14","3Q14")</f>
        <v>3T14</v>
      </c>
      <c r="AE1" s="77" t="str">
        <f>IF('Índice - Index'!$D$14="Português","4T14","4Q14")</f>
        <v>4T14</v>
      </c>
      <c r="AF1" s="79">
        <v>2014</v>
      </c>
      <c r="AG1" s="77" t="str">
        <f>IF('Índice - Index'!$D$14="Português","1T15","1Q15")</f>
        <v>1T15</v>
      </c>
      <c r="AH1" s="77" t="str">
        <f>IF('Índice - Index'!$D$14="Português","2T15","2Q15")</f>
        <v>2T15</v>
      </c>
      <c r="AI1" s="77" t="str">
        <f>IF('Índice - Index'!$D$14="Português","3T15","3Q15")</f>
        <v>3T15</v>
      </c>
      <c r="AJ1" s="77" t="str">
        <f>IF('Índice - Index'!$D$14="Português","4T15","4Q15")</f>
        <v>4T15</v>
      </c>
      <c r="AK1" s="79">
        <v>2015</v>
      </c>
      <c r="AL1" s="79" t="str">
        <f>IF('Índice - Index'!$D$14="Português","1T16","1Q16")</f>
        <v>1T16</v>
      </c>
      <c r="AM1" s="79" t="str">
        <f>IF('Índice - Index'!$D$14="Português","2T16","2Q16")</f>
        <v>2T16</v>
      </c>
      <c r="AN1" s="79" t="str">
        <f>IF('Índice - Index'!$D$14="Português","3T16","3Q16")</f>
        <v>3T16</v>
      </c>
      <c r="AO1" s="79" t="s">
        <v>17</v>
      </c>
      <c r="AP1" s="79">
        <v>2016</v>
      </c>
      <c r="AQ1" s="79" t="str">
        <f>IF('Índice - Index'!$D$14="Português","1T17","1Q17")</f>
        <v>1T17</v>
      </c>
      <c r="AR1" s="79" t="str">
        <f>IF('Índice - Index'!$D$14="Português","2T17","2Q17")</f>
        <v>2T17</v>
      </c>
      <c r="AS1" s="79" t="str">
        <f>IF('Índice - Index'!$D$14="Português","3T17","3Q17")</f>
        <v>3T17</v>
      </c>
      <c r="AT1" s="79" t="str">
        <f>IF('Índice - Index'!$D$14="Português","4T17","4Q17")</f>
        <v>4T17</v>
      </c>
      <c r="AU1" s="79">
        <v>2017</v>
      </c>
      <c r="AV1" s="28" t="str">
        <f>IF('Índice - Index'!$D$14="Português","1T18","1Q18")</f>
        <v>1T18</v>
      </c>
      <c r="AW1" s="28" t="str">
        <f>IF('Índice - Index'!$D$14="Português","2T18","2Q18")</f>
        <v>2T18</v>
      </c>
      <c r="AX1" s="28" t="str">
        <f>IF('Índice - Index'!$D$14="Português","3T18","3Q18")</f>
        <v>3T18</v>
      </c>
      <c r="AY1" s="28" t="str">
        <f>IF('Índice - Index'!$D$14="Português","4T18","4Q18")</f>
        <v>4T18</v>
      </c>
      <c r="AZ1" s="79" t="str">
        <f>IF('Índice - Index'!$D$14="Português","2018","2018")</f>
        <v>2018</v>
      </c>
      <c r="BA1" s="28" t="str">
        <f>IF('Índice - Index'!$D$14="Português","1T19","1Q19")</f>
        <v>1T19</v>
      </c>
      <c r="BB1" s="28" t="str">
        <f>IF('Índice - Index'!$D$14="Português","2T19","2Q19")</f>
        <v>2T19</v>
      </c>
      <c r="BC1" s="28" t="str">
        <f>IF('Índice - Index'!$D$14="Português","3T19","3Q19")</f>
        <v>3T19</v>
      </c>
      <c r="BD1" s="28" t="str">
        <f>IF('Índice - Index'!$D$14="Português","4T19","4Q19")</f>
        <v>4T19</v>
      </c>
      <c r="BE1" s="79">
        <v>2019</v>
      </c>
      <c r="BF1" s="28" t="str">
        <f>IF('Índice - Index'!$D$14="Português","1T20","1Q20")</f>
        <v>1T20</v>
      </c>
      <c r="BG1" s="28" t="str">
        <f>IF('Índice - Index'!$D$14="Português","2T20","2Q20")</f>
        <v>2T20</v>
      </c>
      <c r="BH1" s="28" t="str">
        <f>IF('Índice - Index'!$D$14="Português","3T20","3Q20")</f>
        <v>3T20</v>
      </c>
      <c r="BI1" s="28" t="str">
        <f>IF('Índice - Index'!$D$14="Português","4T20","4Q20")</f>
        <v>4T20</v>
      </c>
      <c r="BJ1" s="79">
        <v>2020</v>
      </c>
      <c r="BK1" s="28" t="str">
        <f>IF('Índice - Index'!$D$14="Português","1T21","1Q21")</f>
        <v>1T21</v>
      </c>
      <c r="BL1" s="28" t="str">
        <f>IF('Índice - Index'!$D$14="Português","2T21","2Q21")</f>
        <v>2T21</v>
      </c>
      <c r="BM1" s="28" t="str">
        <f>IF('Índice - Index'!$D$14="Português","3T21","3Q21")</f>
        <v>3T21</v>
      </c>
      <c r="BN1" s="28" t="str">
        <f>IF('Índice - Index'!$D$14="Português","4T21","4Q21")</f>
        <v>4T21</v>
      </c>
      <c r="BO1" s="28" t="str">
        <f>IF('Índice - Index'!$D$14="Português","2021","2021")</f>
        <v>2021</v>
      </c>
      <c r="BP1" s="26" t="str">
        <f>IF('Índice - Index'!$D$14="Português","1T22","1Q22")</f>
        <v>1T22</v>
      </c>
      <c r="BQ1" s="26" t="str">
        <f>IF('Índice - Index'!$D$14="Português","2T22","2Q22")</f>
        <v>2T22</v>
      </c>
      <c r="BR1" s="26" t="str">
        <f>IF('Índice - Index'!$D$14="Português","3T22","3Q22")</f>
        <v>3T22</v>
      </c>
      <c r="BS1" s="26" t="str">
        <f>IF('Índice - Index'!$D$14="Português","4T22","4Q22")</f>
        <v>4T22</v>
      </c>
      <c r="BT1" s="28" t="str">
        <f>IF('Índice - Index'!$D$14="Português","2022","2022")</f>
        <v>2022</v>
      </c>
      <c r="BU1" s="26" t="str">
        <f>IF('Índice - Index'!$D$14="Português","1T23","1Q23")</f>
        <v>1T23</v>
      </c>
      <c r="BV1" s="26" t="str">
        <f>IF('Índice - Index'!$D$14="Português","2T23","2Q23")</f>
        <v>2T23</v>
      </c>
      <c r="BW1" s="26" t="str">
        <f>IF('Índice - Index'!$D$14="Português","3T23","3Q23")</f>
        <v>3T23</v>
      </c>
      <c r="BX1" s="26" t="str">
        <f>IF('Índice - Index'!$D$14="Português","4T23","4Q23")</f>
        <v>4T23</v>
      </c>
      <c r="BY1" s="26" t="str">
        <f>IF('Índice - Index'!$D$14="Português","2023","2023")</f>
        <v>2023</v>
      </c>
      <c r="BZ1" s="26" t="str">
        <f>IF('Índice - Index'!$D$14="Português","1T24","1Q24")</f>
        <v>1T24</v>
      </c>
      <c r="CA1" s="26" t="str">
        <f>IF('Índice - Index'!$D$14="Português","2T24","2Q24")</f>
        <v>2T24</v>
      </c>
      <c r="CB1" s="26" t="str">
        <f>IF('Índice - Index'!$D$14="Português","3T24","3Q24")</f>
        <v>3T24</v>
      </c>
      <c r="CC1" s="26" t="str">
        <f>IF('Índice - Index'!$D$14="Português","4T24","4Q24")</f>
        <v>4T24</v>
      </c>
      <c r="CD1" s="26" t="str">
        <f>IF('Índice - Index'!$D$14="Português","1T25","1Q25")</f>
        <v>1T25</v>
      </c>
      <c r="CE1" s="26" t="str">
        <f>IF('Índice - Index'!$D$14="Português","2T25","2Q25")</f>
        <v>2T25</v>
      </c>
      <c r="CF1" s="26" t="str">
        <f>IF('Índice - Index'!$D$14="Português","3T25","3Q25")</f>
        <v>3T25</v>
      </c>
      <c r="CG1" s="224" t="s">
        <v>52</v>
      </c>
    </row>
    <row r="2" spans="2:160">
      <c r="B2" s="72"/>
      <c r="AO2" s="81"/>
      <c r="AP2" s="81"/>
      <c r="AQ2" s="81"/>
      <c r="AR2" s="81"/>
      <c r="AT2" s="129"/>
      <c r="AU2" s="38"/>
      <c r="AY2" s="129"/>
      <c r="AZ2" s="129"/>
      <c r="BA2" s="129"/>
      <c r="BB2" s="129"/>
      <c r="BF2" s="130"/>
      <c r="BG2" s="130"/>
      <c r="BH2" s="130"/>
      <c r="BK2" s="130"/>
      <c r="CB2" s="130"/>
      <c r="CC2" s="130"/>
    </row>
    <row r="3" spans="2:160">
      <c r="B3" s="82" t="str">
        <f>IF('Índice - Index'!$D$14="Português","Receita por m2 (Varejo)","Revenue per m² (retail)")</f>
        <v>Receita por m2 (Varejo)</v>
      </c>
      <c r="C3" s="83">
        <v>1024.9162657054933</v>
      </c>
      <c r="D3" s="83">
        <v>1477.6062960364047</v>
      </c>
      <c r="E3" s="83">
        <v>1358.0044041193419</v>
      </c>
      <c r="F3" s="83">
        <v>2087.1570256664459</v>
      </c>
      <c r="G3" s="84">
        <v>5828.7251289010601</v>
      </c>
      <c r="H3" s="83">
        <v>1185.0310434608452</v>
      </c>
      <c r="I3" s="83">
        <v>1647.4012638230647</v>
      </c>
      <c r="J3" s="83">
        <v>1494.4196771714064</v>
      </c>
      <c r="K3" s="83">
        <v>2150.858983536149</v>
      </c>
      <c r="L3" s="84">
        <v>6094.3521832498218</v>
      </c>
      <c r="M3" s="83">
        <v>1258.1986220803226</v>
      </c>
      <c r="N3" s="83">
        <v>1680.0558659217877</v>
      </c>
      <c r="O3" s="83">
        <v>1449.1661341853035</v>
      </c>
      <c r="P3" s="83">
        <v>1962.785649683449</v>
      </c>
      <c r="Q3" s="84">
        <v>6000.1899306602354</v>
      </c>
      <c r="R3" s="83">
        <v>1171.8620092378753</v>
      </c>
      <c r="S3" s="83">
        <v>1661.7838613770127</v>
      </c>
      <c r="T3" s="83">
        <v>1729.8532317245272</v>
      </c>
      <c r="U3" s="83">
        <v>2174.7958790509347</v>
      </c>
      <c r="V3" s="84">
        <v>6736.0885110263926</v>
      </c>
      <c r="W3" s="83">
        <v>1270.1239248718184</v>
      </c>
      <c r="X3" s="83">
        <v>1541.5426939387223</v>
      </c>
      <c r="Y3" s="83">
        <v>1471.8892130508455</v>
      </c>
      <c r="Z3" s="83">
        <v>2127.1604526983006</v>
      </c>
      <c r="AA3" s="84">
        <v>6353.3060363695286</v>
      </c>
      <c r="AB3" s="83">
        <v>1234.5986068266843</v>
      </c>
      <c r="AC3" s="83">
        <v>1508.217589280493</v>
      </c>
      <c r="AD3" s="83">
        <v>1409.6554728025285</v>
      </c>
      <c r="AE3" s="83">
        <v>2055.8014435933665</v>
      </c>
      <c r="AF3" s="84">
        <v>6213.4808862536611</v>
      </c>
      <c r="AG3" s="83">
        <v>1162.557045401082</v>
      </c>
      <c r="AH3" s="83">
        <v>1443.6940861376136</v>
      </c>
      <c r="AI3" s="83">
        <v>1375.7212118243301</v>
      </c>
      <c r="AJ3" s="83">
        <v>1867.7811734161314</v>
      </c>
      <c r="AK3" s="84">
        <v>5861.5021927623548</v>
      </c>
      <c r="AL3" s="83">
        <v>1088.9004310530813</v>
      </c>
      <c r="AM3" s="83">
        <v>1499.2302147757064</v>
      </c>
      <c r="AN3" s="83">
        <v>1136.1577228027859</v>
      </c>
      <c r="AO3" s="83">
        <v>1622.0446283470669</v>
      </c>
      <c r="AP3" s="84">
        <v>5354.0879961531145</v>
      </c>
      <c r="AQ3" s="83">
        <v>1107.6748886061689</v>
      </c>
      <c r="AR3" s="83">
        <v>1350.6268927473848</v>
      </c>
      <c r="AS3" s="83">
        <v>1371.7651012400975</v>
      </c>
      <c r="AT3" s="83">
        <v>1668.83268855953</v>
      </c>
      <c r="AU3" s="84">
        <v>5500.908193484699</v>
      </c>
      <c r="AV3" s="129">
        <v>1060.0088572647678</v>
      </c>
      <c r="AW3" s="129">
        <v>1313.4186559337293</v>
      </c>
      <c r="AX3" s="129">
        <v>1355.9730813072399</v>
      </c>
      <c r="AY3" s="129">
        <v>1671.3855984216639</v>
      </c>
      <c r="AZ3" s="84">
        <v>5466.0815632403655</v>
      </c>
      <c r="BA3" s="129">
        <v>1177.2488839519101</v>
      </c>
      <c r="BB3" s="129">
        <v>1402.502543372324</v>
      </c>
      <c r="BC3" s="129">
        <v>1431.7113070907585</v>
      </c>
      <c r="BD3" s="129">
        <v>1845.8519319377672</v>
      </c>
      <c r="BE3" s="141">
        <v>5882.0502973050261</v>
      </c>
      <c r="BF3" s="129">
        <v>1087.3334555006725</v>
      </c>
      <c r="BG3" s="129">
        <v>389.58376759430689</v>
      </c>
      <c r="BH3" s="129">
        <v>1167.0581024218322</v>
      </c>
      <c r="BI3" s="129">
        <v>1726.9834006104127</v>
      </c>
      <c r="BJ3" s="141">
        <v>4384.9916220047389</v>
      </c>
      <c r="BK3" s="129">
        <v>768.54653238021865</v>
      </c>
      <c r="BL3" s="129">
        <v>1306.4091939003004</v>
      </c>
      <c r="BM3" s="129">
        <v>1407.157247769597</v>
      </c>
      <c r="BN3" s="129">
        <v>1863.8845002025932</v>
      </c>
      <c r="BO3" s="141">
        <v>5345.0678066595719</v>
      </c>
      <c r="BP3" s="129">
        <v>1154.1018023271035</v>
      </c>
      <c r="BQ3" s="129">
        <v>1590.7099785128321</v>
      </c>
      <c r="BR3" s="129">
        <v>1362.6816300110106</v>
      </c>
      <c r="BS3" s="129">
        <v>1867.4866894087036</v>
      </c>
      <c r="BT3" s="141">
        <v>5951.2911071181652</v>
      </c>
      <c r="BU3" s="129">
        <v>1196.2046759983436</v>
      </c>
      <c r="BV3" s="129">
        <v>1428.4592232786104</v>
      </c>
      <c r="BW3" s="129">
        <v>794.10205492713976</v>
      </c>
      <c r="BX3" s="129">
        <v>1470.4081178087263</v>
      </c>
      <c r="BY3" s="129">
        <v>5040.6153793763378</v>
      </c>
      <c r="BZ3" s="129">
        <v>916.26588168922126</v>
      </c>
      <c r="CA3" s="129">
        <v>1167.8010961730199</v>
      </c>
      <c r="CB3" s="129">
        <v>1302.7926980893974</v>
      </c>
      <c r="CC3" s="129">
        <v>1678</v>
      </c>
      <c r="CD3" s="129">
        <f>'DRE Consolidado | P&amp;L '!CB16/'Dados Operacionais'!CD5</f>
        <v>1132.7066039543722</v>
      </c>
      <c r="CE3" s="129">
        <f>'DRE Consolidado | P&amp;L '!CC16/'Dados Operacionais'!CE5</f>
        <v>1511.4238931417624</v>
      </c>
      <c r="CF3" s="129">
        <f>'DRE Consolidado | P&amp;L '!CD16/'Dados Operacionais'!CF5</f>
        <v>1284.7554258687253</v>
      </c>
      <c r="CG3" s="129">
        <f>'DRE Consolidado | P&amp;L '!CE16/'Dados Operacionais'!CG5</f>
        <v>1768.6872586872587</v>
      </c>
    </row>
    <row r="4" spans="2:160">
      <c r="B4" s="82" t="s">
        <v>1</v>
      </c>
      <c r="C4" s="85">
        <v>-3.7999999999999999E-2</v>
      </c>
      <c r="D4" s="85">
        <v>-7.0000000000000001E-3</v>
      </c>
      <c r="E4" s="85">
        <v>-3.0000000000000001E-3</v>
      </c>
      <c r="F4" s="85">
        <v>0.13300000000000001</v>
      </c>
      <c r="G4" s="86">
        <v>3.4000000000000002E-2</v>
      </c>
      <c r="H4" s="85">
        <v>0.192</v>
      </c>
      <c r="I4" s="85">
        <v>0.151</v>
      </c>
      <c r="J4" s="85">
        <v>0.13700000000000001</v>
      </c>
      <c r="K4" s="85">
        <v>8.7999999999999995E-2</v>
      </c>
      <c r="L4" s="86">
        <v>0.13200000000000001</v>
      </c>
      <c r="M4" s="85">
        <v>0.127</v>
      </c>
      <c r="N4" s="85">
        <v>0.108</v>
      </c>
      <c r="O4" s="85">
        <v>6.93E-2</v>
      </c>
      <c r="P4" s="85">
        <v>2.3300000000000001E-2</v>
      </c>
      <c r="Q4" s="86">
        <v>7.2999999999999995E-2</v>
      </c>
      <c r="R4" s="85">
        <v>0.02</v>
      </c>
      <c r="S4" s="85">
        <v>4.4999999999999998E-2</v>
      </c>
      <c r="T4" s="85">
        <v>0.17199999999999999</v>
      </c>
      <c r="U4" s="85">
        <v>0.14099999999999999</v>
      </c>
      <c r="V4" s="86">
        <v>0.10100000000000001</v>
      </c>
      <c r="W4" s="85">
        <v>0.128</v>
      </c>
      <c r="X4" s="85">
        <v>5.5999999999999999E-3</v>
      </c>
      <c r="Y4" s="85">
        <v>-7.4999999999999997E-2</v>
      </c>
      <c r="Z4" s="85">
        <v>3.2000000000000001E-2</v>
      </c>
      <c r="AA4" s="86">
        <v>1.4999999999999999E-2</v>
      </c>
      <c r="AB4" s="85">
        <v>1.04E-2</v>
      </c>
      <c r="AC4" s="85">
        <v>2.3E-2</v>
      </c>
      <c r="AD4" s="85">
        <v>-1.465E-2</v>
      </c>
      <c r="AE4" s="85">
        <v>-5.0000000000000001E-3</v>
      </c>
      <c r="AF4" s="86">
        <v>2E-3</v>
      </c>
      <c r="AG4" s="85">
        <v>-4.8000000000000001E-2</v>
      </c>
      <c r="AH4" s="85">
        <v>-4.2000000000000003E-2</v>
      </c>
      <c r="AI4" s="85">
        <v>-2.4E-2</v>
      </c>
      <c r="AJ4" s="85">
        <v>-8.5999999999999993E-2</v>
      </c>
      <c r="AK4" s="86">
        <v>-5.2999999999999999E-2</v>
      </c>
      <c r="AL4" s="85">
        <v>-7.1099306936824203E-2</v>
      </c>
      <c r="AM4" s="85">
        <v>3.2000000000000001E-2</v>
      </c>
      <c r="AN4" s="85">
        <v>-0.185</v>
      </c>
      <c r="AO4" s="85">
        <v>-0.14800000000000002</v>
      </c>
      <c r="AP4" s="86">
        <v>-9.6999999999999989E-2</v>
      </c>
      <c r="AQ4" s="85">
        <v>-1.2999999999999999E-2</v>
      </c>
      <c r="AR4" s="85">
        <v>-0.13500000000000001</v>
      </c>
      <c r="AS4" s="85">
        <v>0.16900000000000001</v>
      </c>
      <c r="AT4" s="85">
        <v>-1.002751178919362E-2</v>
      </c>
      <c r="AU4" s="86">
        <v>-8.0000000000000002E-3</v>
      </c>
      <c r="AV4" s="85">
        <v>-3.9E-2</v>
      </c>
      <c r="AW4" s="85">
        <v>-2.5999999999999999E-2</v>
      </c>
      <c r="AX4" s="85">
        <v>-2.3E-2</v>
      </c>
      <c r="AY4" s="85">
        <v>-5.0000000000000001E-3</v>
      </c>
      <c r="AZ4" s="86">
        <v>-2.1999999999999999E-2</v>
      </c>
      <c r="BA4" s="85">
        <v>7.5999999999999998E-2</v>
      </c>
      <c r="BB4" s="85">
        <v>5.0999999999999997E-2</v>
      </c>
      <c r="BC4" s="85">
        <v>5.5918358697629733E-2</v>
      </c>
      <c r="BD4" s="85">
        <v>9.4833738734942052E-2</v>
      </c>
      <c r="BE4" s="86">
        <v>7.0215798052363221E-2</v>
      </c>
      <c r="BF4" s="85">
        <v>-4.3937714867830491E-2</v>
      </c>
      <c r="BG4" s="85">
        <v>-9.728681618326207E-2</v>
      </c>
      <c r="BH4" s="85">
        <v>-6.3E-2</v>
      </c>
      <c r="BI4" s="85">
        <v>-5.5573207059301355E-2</v>
      </c>
      <c r="BJ4" s="86">
        <v>-6.296217809942628E-2</v>
      </c>
      <c r="BK4" s="85">
        <v>-0.29599999999999999</v>
      </c>
      <c r="BL4" s="99">
        <v>2.3576116657990536</v>
      </c>
      <c r="BM4" s="99">
        <v>-7.7992839469709363E-3</v>
      </c>
      <c r="BN4" s="85">
        <v>3.5999999999999997E-2</v>
      </c>
      <c r="BO4" s="86">
        <v>-7.0000000000000007E-2</v>
      </c>
      <c r="BP4" s="154">
        <v>0.48018816390112073</v>
      </c>
      <c r="BQ4" s="154">
        <v>0.21271704356782695</v>
      </c>
      <c r="BR4" s="154">
        <v>-4.9383535484173846E-2</v>
      </c>
      <c r="BS4" s="154">
        <v>1.1348769873748665E-2</v>
      </c>
      <c r="BT4" s="86">
        <v>0.11249322163615671</v>
      </c>
      <c r="BU4" s="154">
        <v>2.4371981293856537E-2</v>
      </c>
      <c r="BV4" s="154">
        <v>-0.16435418500749233</v>
      </c>
      <c r="BW4" s="154">
        <v>-0.36199999999999999</v>
      </c>
      <c r="BX4" s="154">
        <v>-0.2797860746767864</v>
      </c>
      <c r="BY4" s="154">
        <v>-0.19749630607546809</v>
      </c>
      <c r="BZ4" s="154">
        <v>-0.18434777738754271</v>
      </c>
      <c r="CA4" s="154">
        <v>-0.14824621466525778</v>
      </c>
      <c r="CB4" s="154">
        <v>0.42799999999999999</v>
      </c>
      <c r="CC4" s="211">
        <v>0.19</v>
      </c>
      <c r="CD4" s="211">
        <v>0.192</v>
      </c>
      <c r="CE4" s="211">
        <v>0.23300000000000001</v>
      </c>
      <c r="CF4" s="211">
        <v>-4.9000000000000002E-2</v>
      </c>
      <c r="CG4" s="211">
        <v>-2.3E-2</v>
      </c>
    </row>
    <row r="5" spans="2:160">
      <c r="B5" s="87" t="str">
        <f>IF('Índice - Index'!$D$14="Português","Área de Vendas","Sales Area")</f>
        <v>Área de Vendas</v>
      </c>
      <c r="C5" s="88">
        <v>235.036</v>
      </c>
      <c r="D5" s="88">
        <v>240.946</v>
      </c>
      <c r="E5" s="88">
        <v>242.238</v>
      </c>
      <c r="F5" s="88">
        <v>250</v>
      </c>
      <c r="G5" s="89">
        <v>250</v>
      </c>
      <c r="H5" s="88">
        <v>249.3</v>
      </c>
      <c r="I5" s="88">
        <v>257.10000000000002</v>
      </c>
      <c r="J5" s="88">
        <v>263.3</v>
      </c>
      <c r="K5" s="88">
        <v>295.5</v>
      </c>
      <c r="L5" s="89">
        <v>295.5</v>
      </c>
      <c r="M5" s="88">
        <v>299.60000000000002</v>
      </c>
      <c r="N5" s="88">
        <v>309</v>
      </c>
      <c r="O5" s="88">
        <v>317</v>
      </c>
      <c r="P5" s="88">
        <v>346.4</v>
      </c>
      <c r="Q5" s="89">
        <v>346.4</v>
      </c>
      <c r="R5" s="88">
        <v>346.4</v>
      </c>
      <c r="S5" s="88">
        <v>353.36849999999987</v>
      </c>
      <c r="T5" s="88">
        <v>355.3</v>
      </c>
      <c r="U5" s="88">
        <v>379.19099999999997</v>
      </c>
      <c r="V5" s="89">
        <v>379.19099999999997</v>
      </c>
      <c r="W5" s="88">
        <v>382.1</v>
      </c>
      <c r="X5" s="88">
        <v>389.27199999999999</v>
      </c>
      <c r="Y5" s="88">
        <v>395.65726000000001</v>
      </c>
      <c r="Z5" s="88">
        <v>412.07212300000043</v>
      </c>
      <c r="AA5" s="89">
        <v>412.07212300000043</v>
      </c>
      <c r="AB5" s="88">
        <v>414.5155585000004</v>
      </c>
      <c r="AC5" s="88">
        <v>420.28176050000042</v>
      </c>
      <c r="AD5" s="88">
        <v>420.86277650000045</v>
      </c>
      <c r="AE5" s="88">
        <v>425.74038424000014</v>
      </c>
      <c r="AF5" s="89">
        <v>425.74038424000014</v>
      </c>
      <c r="AG5" s="88">
        <v>424.47307494000017</v>
      </c>
      <c r="AH5" s="88">
        <v>424.70959594000021</v>
      </c>
      <c r="AI5" s="88">
        <v>424.70959594000021</v>
      </c>
      <c r="AJ5" s="88">
        <v>423.53141324000018</v>
      </c>
      <c r="AK5" s="89">
        <v>423.53141324000018</v>
      </c>
      <c r="AL5" s="88">
        <v>417.15292514000021</v>
      </c>
      <c r="AM5" s="88">
        <v>415.40100000000001</v>
      </c>
      <c r="AN5" s="88">
        <v>415.40100000000001</v>
      </c>
      <c r="AO5" s="88">
        <v>415.40100000000001</v>
      </c>
      <c r="AP5" s="89">
        <v>415.40100000000001</v>
      </c>
      <c r="AQ5" s="88">
        <v>405.78513120000031</v>
      </c>
      <c r="AR5" s="88">
        <v>405.23774770000028</v>
      </c>
      <c r="AS5" s="88">
        <v>405.23774770000028</v>
      </c>
      <c r="AT5" s="88">
        <v>405.23774770000028</v>
      </c>
      <c r="AU5" s="89">
        <v>405.2</v>
      </c>
      <c r="AV5" s="88">
        <v>405.0277477000003</v>
      </c>
      <c r="AW5" s="88">
        <v>405.0277477000003</v>
      </c>
      <c r="AX5" s="88">
        <v>398.46548940000031</v>
      </c>
      <c r="AY5" s="88">
        <v>395.7135147000003</v>
      </c>
      <c r="AZ5" s="89">
        <v>395.7135147000003</v>
      </c>
      <c r="BA5" s="88">
        <v>386.69718160000031</v>
      </c>
      <c r="BB5" s="88">
        <v>386.45311180000033</v>
      </c>
      <c r="BC5" s="88">
        <v>384.64495090000031</v>
      </c>
      <c r="BD5" s="88">
        <v>383.51459960000028</v>
      </c>
      <c r="BE5" s="89">
        <v>383.51459960000028</v>
      </c>
      <c r="BF5" s="88">
        <v>383.51459960000028</v>
      </c>
      <c r="BG5" s="88">
        <v>382.68651070000033</v>
      </c>
      <c r="BH5" s="88">
        <v>382.68651070000033</v>
      </c>
      <c r="BI5" s="88">
        <v>377.95712530000031</v>
      </c>
      <c r="BJ5" s="89">
        <v>377.95712530000031</v>
      </c>
      <c r="BK5" s="88">
        <v>376.7233227000001</v>
      </c>
      <c r="BL5" s="147">
        <v>376.7233227000001</v>
      </c>
      <c r="BM5" s="147">
        <v>376.7233227000001</v>
      </c>
      <c r="BN5" s="88">
        <v>376.7233227000001</v>
      </c>
      <c r="BO5" s="89">
        <v>376.7233227000001</v>
      </c>
      <c r="BP5" s="88">
        <v>376.7233227000001</v>
      </c>
      <c r="BQ5" s="88">
        <v>376.72332190000031</v>
      </c>
      <c r="BR5" s="88">
        <v>376.72332190000031</v>
      </c>
      <c r="BS5" s="88">
        <v>370.37226190000024</v>
      </c>
      <c r="BT5" s="89">
        <v>370.37226190000024</v>
      </c>
      <c r="BU5" s="88">
        <v>366.07151470000025</v>
      </c>
      <c r="BV5" s="88">
        <v>284.35288300000002</v>
      </c>
      <c r="BW5" s="88">
        <v>279.54465739999995</v>
      </c>
      <c r="BX5" s="88">
        <v>277.28631920000004</v>
      </c>
      <c r="BY5" s="88">
        <v>277.28631920000004</v>
      </c>
      <c r="BZ5" s="88">
        <v>266.15689579999997</v>
      </c>
      <c r="CA5" s="88">
        <v>265.8772591</v>
      </c>
      <c r="CB5" s="88">
        <v>265.87143910000003</v>
      </c>
      <c r="CC5" s="208">
        <v>265</v>
      </c>
      <c r="CD5" s="212">
        <v>263</v>
      </c>
      <c r="CE5" s="212">
        <v>261</v>
      </c>
      <c r="CF5" s="212">
        <v>259</v>
      </c>
      <c r="CG5" s="212">
        <v>259</v>
      </c>
    </row>
    <row r="6" spans="2:160">
      <c r="B6" s="87" t="str">
        <f>IF('Índice - Index'!$D$14="Português","Área de Vendas Média","Average sales area")</f>
        <v>Área de Vendas Média</v>
      </c>
      <c r="C6" s="88">
        <v>235.268</v>
      </c>
      <c r="D6" s="88">
        <v>237.99099999999999</v>
      </c>
      <c r="E6" s="88">
        <v>241.59199999999998</v>
      </c>
      <c r="F6" s="88">
        <v>246.119</v>
      </c>
      <c r="G6" s="89">
        <v>246.119</v>
      </c>
      <c r="H6" s="88">
        <v>249.65</v>
      </c>
      <c r="I6" s="88">
        <v>253.20000000000002</v>
      </c>
      <c r="J6" s="88">
        <v>260.20000000000005</v>
      </c>
      <c r="K6" s="88">
        <v>279.39999999999998</v>
      </c>
      <c r="L6" s="89">
        <v>279.39999999999998</v>
      </c>
      <c r="M6" s="88">
        <v>297.55</v>
      </c>
      <c r="N6" s="88">
        <v>304.3</v>
      </c>
      <c r="O6" s="88">
        <v>313</v>
      </c>
      <c r="P6" s="88">
        <v>331.7</v>
      </c>
      <c r="Q6" s="89">
        <v>331.7</v>
      </c>
      <c r="R6" s="88">
        <v>346.4</v>
      </c>
      <c r="S6" s="88">
        <v>349.88424999999995</v>
      </c>
      <c r="T6" s="88">
        <v>354.3</v>
      </c>
      <c r="U6" s="88">
        <v>367.24549999999999</v>
      </c>
      <c r="V6" s="89">
        <v>356.13189999999997</v>
      </c>
      <c r="W6" s="88">
        <v>380.85574999999994</v>
      </c>
      <c r="X6" s="88">
        <v>385.66949999999997</v>
      </c>
      <c r="Y6" s="88">
        <v>392.46499999999997</v>
      </c>
      <c r="Z6" s="88">
        <v>403.86469150000022</v>
      </c>
      <c r="AA6" s="89">
        <v>395.85831150000013</v>
      </c>
      <c r="AB6" s="88">
        <v>413.29384075000041</v>
      </c>
      <c r="AC6" s="88">
        <v>417.39865950000041</v>
      </c>
      <c r="AD6" s="88">
        <v>420.5722685000004</v>
      </c>
      <c r="AE6" s="88">
        <v>423.30158037000029</v>
      </c>
      <c r="AF6" s="89">
        <v>418.90625362000026</v>
      </c>
      <c r="AG6" s="88">
        <v>425.1</v>
      </c>
      <c r="AH6" s="88">
        <v>424.59133544000019</v>
      </c>
      <c r="AI6" s="88">
        <v>424.70959594000021</v>
      </c>
      <c r="AJ6" s="88">
        <v>424.12050459000022</v>
      </c>
      <c r="AK6" s="89">
        <v>423.85109487000028</v>
      </c>
      <c r="AL6" s="88">
        <v>420.34216919000016</v>
      </c>
      <c r="AM6" s="88">
        <v>416.27696257000014</v>
      </c>
      <c r="AN6" s="88">
        <v>415.40100000000001</v>
      </c>
      <c r="AO6" s="88">
        <v>415.40100000000001</v>
      </c>
      <c r="AP6" s="89">
        <v>419.46620662000009</v>
      </c>
      <c r="AQ6" s="88">
        <v>410.59306560000016</v>
      </c>
      <c r="AR6" s="90">
        <v>405.5114394500003</v>
      </c>
      <c r="AS6" s="90">
        <v>405.2</v>
      </c>
      <c r="AT6" s="90">
        <v>405.2</v>
      </c>
      <c r="AU6" s="89">
        <v>410.3005</v>
      </c>
      <c r="AV6" s="90">
        <v>405.13274770000032</v>
      </c>
      <c r="AW6" s="90">
        <v>405.0277477000003</v>
      </c>
      <c r="AX6" s="90">
        <v>401.74661855000033</v>
      </c>
      <c r="AY6" s="90">
        <v>397.08950205000031</v>
      </c>
      <c r="AZ6" s="89">
        <v>400.45675735000015</v>
      </c>
      <c r="BA6" s="90">
        <v>391.2053481500003</v>
      </c>
      <c r="BB6" s="90">
        <v>386.57514670000035</v>
      </c>
      <c r="BC6" s="90">
        <v>385.54903135000029</v>
      </c>
      <c r="BD6" s="90">
        <v>384.0797752500003</v>
      </c>
      <c r="BE6" s="89">
        <v>389.61405715000029</v>
      </c>
      <c r="BF6" s="88">
        <v>383.51459960000028</v>
      </c>
      <c r="BG6" s="88">
        <v>383.10055515000033</v>
      </c>
      <c r="BH6" s="88">
        <v>382.68651070000033</v>
      </c>
      <c r="BI6" s="88">
        <v>380.32181800000035</v>
      </c>
      <c r="BJ6" s="89">
        <v>380.7358624500003</v>
      </c>
      <c r="BK6" s="88">
        <v>377.34022400000021</v>
      </c>
      <c r="BL6" s="147">
        <v>376.7233227000001</v>
      </c>
      <c r="BM6" s="147">
        <v>376.7233227000001</v>
      </c>
      <c r="BN6" s="88">
        <v>376.7233227000001</v>
      </c>
      <c r="BO6" s="89">
        <v>376.87754802500012</v>
      </c>
      <c r="BP6" s="88">
        <v>376.7233227000001</v>
      </c>
      <c r="BQ6" s="88">
        <v>376.7233227000001</v>
      </c>
      <c r="BR6" s="88">
        <v>376.7233227000001</v>
      </c>
      <c r="BS6" s="88">
        <v>373.85624275000026</v>
      </c>
      <c r="BT6" s="89">
        <v>375.5982331750003</v>
      </c>
      <c r="BU6" s="88">
        <v>368.22188830000027</v>
      </c>
      <c r="BV6" s="88">
        <v>325.21219885000016</v>
      </c>
      <c r="BW6" s="88">
        <v>281.94877020000001</v>
      </c>
      <c r="BX6" s="88">
        <v>278.41548829999999</v>
      </c>
      <c r="BY6" s="88">
        <v>313.44958641250014</v>
      </c>
      <c r="BZ6" s="88">
        <v>271.7216075</v>
      </c>
      <c r="CA6" s="88">
        <v>271.58178915000002</v>
      </c>
      <c r="CB6" s="88">
        <v>265.87143910000003</v>
      </c>
      <c r="CC6" s="208">
        <f>AVERAGE(BZ5:CC5)</f>
        <v>265.72639850000002</v>
      </c>
      <c r="CD6" s="212">
        <f>CD5</f>
        <v>263</v>
      </c>
      <c r="CE6" s="212">
        <f>AVERAGE(CD5:CE5)</f>
        <v>262</v>
      </c>
      <c r="CF6" s="212">
        <f>AVERAGE(CD5:CF5)</f>
        <v>261</v>
      </c>
      <c r="CG6" s="212">
        <f>AVERAGE(CD5:CG5)</f>
        <v>260.5</v>
      </c>
    </row>
    <row r="7" spans="2:160">
      <c r="B7" s="87" t="str">
        <f>IF('Índice - Index'!$D$14="Português","Número de lojas","Number of Stores")</f>
        <v>Número de lojas</v>
      </c>
      <c r="C7" s="91">
        <v>216</v>
      </c>
      <c r="D7" s="91">
        <v>221</v>
      </c>
      <c r="E7" s="91">
        <v>222</v>
      </c>
      <c r="F7" s="91">
        <v>227</v>
      </c>
      <c r="G7" s="92">
        <v>227</v>
      </c>
      <c r="H7" s="91">
        <v>225</v>
      </c>
      <c r="I7" s="91">
        <v>233</v>
      </c>
      <c r="J7" s="91">
        <v>240</v>
      </c>
      <c r="K7" s="91">
        <v>277</v>
      </c>
      <c r="L7" s="92">
        <v>277</v>
      </c>
      <c r="M7" s="91">
        <v>281</v>
      </c>
      <c r="N7" s="91">
        <v>290</v>
      </c>
      <c r="O7" s="91">
        <v>302</v>
      </c>
      <c r="P7" s="91">
        <v>336</v>
      </c>
      <c r="Q7" s="92">
        <v>336</v>
      </c>
      <c r="R7" s="91">
        <v>336</v>
      </c>
      <c r="S7" s="91">
        <v>341</v>
      </c>
      <c r="T7" s="91">
        <v>343</v>
      </c>
      <c r="U7" s="91">
        <v>368</v>
      </c>
      <c r="V7" s="92">
        <v>368</v>
      </c>
      <c r="W7" s="91">
        <v>371</v>
      </c>
      <c r="X7" s="91">
        <v>380</v>
      </c>
      <c r="Y7" s="91">
        <v>389</v>
      </c>
      <c r="Z7" s="91">
        <v>407</v>
      </c>
      <c r="AA7" s="92">
        <v>407</v>
      </c>
      <c r="AB7" s="91">
        <v>407</v>
      </c>
      <c r="AC7" s="91">
        <v>413</v>
      </c>
      <c r="AD7" s="91">
        <v>413</v>
      </c>
      <c r="AE7" s="91">
        <v>416</v>
      </c>
      <c r="AF7" s="92">
        <v>416</v>
      </c>
      <c r="AG7" s="91">
        <v>413</v>
      </c>
      <c r="AH7" s="91">
        <v>413</v>
      </c>
      <c r="AI7" s="91">
        <v>413</v>
      </c>
      <c r="AJ7" s="91">
        <v>409</v>
      </c>
      <c r="AK7" s="92">
        <v>409</v>
      </c>
      <c r="AL7" s="91">
        <v>401</v>
      </c>
      <c r="AM7" s="91">
        <v>398</v>
      </c>
      <c r="AN7" s="91">
        <v>398</v>
      </c>
      <c r="AO7" s="91">
        <v>398</v>
      </c>
      <c r="AP7" s="92">
        <v>398</v>
      </c>
      <c r="AQ7" s="91">
        <v>389</v>
      </c>
      <c r="AR7" s="91">
        <v>388</v>
      </c>
      <c r="AS7" s="91">
        <v>388</v>
      </c>
      <c r="AT7" s="91">
        <v>388</v>
      </c>
      <c r="AU7" s="92">
        <v>388</v>
      </c>
      <c r="AV7" s="91">
        <v>387</v>
      </c>
      <c r="AW7" s="91">
        <v>387</v>
      </c>
      <c r="AX7" s="91">
        <v>375</v>
      </c>
      <c r="AY7" s="91">
        <v>371</v>
      </c>
      <c r="AZ7" s="92">
        <v>371</v>
      </c>
      <c r="BA7" s="91">
        <v>359</v>
      </c>
      <c r="BB7" s="91">
        <v>358</v>
      </c>
      <c r="BC7" s="91">
        <v>355</v>
      </c>
      <c r="BD7" s="91">
        <v>354</v>
      </c>
      <c r="BE7" s="92">
        <v>354</v>
      </c>
      <c r="BF7" s="91">
        <v>354</v>
      </c>
      <c r="BG7" s="91">
        <v>353</v>
      </c>
      <c r="BH7" s="91">
        <v>353</v>
      </c>
      <c r="BI7" s="91">
        <v>345</v>
      </c>
      <c r="BJ7" s="92">
        <v>345</v>
      </c>
      <c r="BK7" s="91">
        <v>344</v>
      </c>
      <c r="BL7" s="91">
        <v>344</v>
      </c>
      <c r="BM7" s="91">
        <v>344</v>
      </c>
      <c r="BN7" s="91">
        <v>344</v>
      </c>
      <c r="BO7" s="92">
        <v>344</v>
      </c>
      <c r="BP7" s="91">
        <v>344</v>
      </c>
      <c r="BQ7" s="91">
        <v>344</v>
      </c>
      <c r="BR7" s="91">
        <v>344</v>
      </c>
      <c r="BS7" s="91">
        <v>334</v>
      </c>
      <c r="BT7" s="92">
        <v>334</v>
      </c>
      <c r="BU7" s="91">
        <v>330</v>
      </c>
      <c r="BV7" s="91">
        <v>248</v>
      </c>
      <c r="BW7" s="91">
        <v>245</v>
      </c>
      <c r="BX7" s="91">
        <v>243</v>
      </c>
      <c r="BY7" s="91">
        <v>243</v>
      </c>
      <c r="BZ7" s="91">
        <v>235</v>
      </c>
      <c r="CA7" s="91">
        <v>235</v>
      </c>
      <c r="CB7" s="91">
        <v>235</v>
      </c>
      <c r="CC7" s="209">
        <v>234</v>
      </c>
      <c r="CD7" s="209">
        <v>233</v>
      </c>
      <c r="CE7" s="209">
        <v>232</v>
      </c>
      <c r="CF7" s="209">
        <v>230</v>
      </c>
      <c r="CG7" s="209">
        <v>230</v>
      </c>
    </row>
    <row r="8" spans="2:160">
      <c r="B8" s="87" t="str">
        <f>IF('Índice - Index'!$D$14="Português","Área média de Vendas por loja (m2)","Average sales area per store (m2)")</f>
        <v>Área média de Vendas por loja (m2)</v>
      </c>
      <c r="C8" s="91">
        <v>1089.2037037037037</v>
      </c>
      <c r="D8" s="91">
        <v>1076.8823529411766</v>
      </c>
      <c r="E8" s="91">
        <v>1088.2522522522522</v>
      </c>
      <c r="F8" s="91">
        <v>1084.2246696035243</v>
      </c>
      <c r="G8" s="92">
        <v>1084.2246696035243</v>
      </c>
      <c r="H8" s="91">
        <v>1109.5555555555557</v>
      </c>
      <c r="I8" s="91">
        <v>1086.6952789699571</v>
      </c>
      <c r="J8" s="91">
        <v>1084.166666666667</v>
      </c>
      <c r="K8" s="91">
        <v>1008.6642599277978</v>
      </c>
      <c r="L8" s="92">
        <v>1008.6642599277978</v>
      </c>
      <c r="M8" s="91">
        <v>1058.8967971530249</v>
      </c>
      <c r="N8" s="91">
        <v>1049.3103448275863</v>
      </c>
      <c r="O8" s="91">
        <v>1036.4238410596026</v>
      </c>
      <c r="P8" s="91">
        <v>987.20238095238096</v>
      </c>
      <c r="Q8" s="92">
        <v>987.20238095238096</v>
      </c>
      <c r="R8" s="91">
        <v>1030.952380952381</v>
      </c>
      <c r="S8" s="91">
        <v>1026.0535190615833</v>
      </c>
      <c r="T8" s="91">
        <v>1032.9446064139943</v>
      </c>
      <c r="U8" s="91">
        <v>997.94972826086962</v>
      </c>
      <c r="V8" s="92">
        <v>967.74972826086946</v>
      </c>
      <c r="W8" s="91">
        <v>1026.5653638814015</v>
      </c>
      <c r="X8" s="91">
        <v>1014.9197368421053</v>
      </c>
      <c r="Y8" s="91">
        <v>1008.9074550128535</v>
      </c>
      <c r="Z8" s="91">
        <v>992.29653931203995</v>
      </c>
      <c r="AA8" s="92">
        <v>972.62484398034428</v>
      </c>
      <c r="AB8" s="91">
        <v>1015.4639821867332</v>
      </c>
      <c r="AC8" s="91">
        <v>1010.6505072639235</v>
      </c>
      <c r="AD8" s="91">
        <v>1018.3347905569017</v>
      </c>
      <c r="AE8" s="91">
        <v>1017.5518758894237</v>
      </c>
      <c r="AF8" s="92">
        <v>1006.9861865865391</v>
      </c>
      <c r="AG8" s="91">
        <v>1029.2978208232446</v>
      </c>
      <c r="AH8" s="91">
        <v>1028.0661875060537</v>
      </c>
      <c r="AI8" s="91">
        <v>1028.3525325423734</v>
      </c>
      <c r="AJ8" s="91">
        <v>1036.9694488753062</v>
      </c>
      <c r="AK8" s="92">
        <v>1036.3107454034237</v>
      </c>
      <c r="AL8" s="91">
        <v>1048.2348358852871</v>
      </c>
      <c r="AM8" s="91">
        <v>1045.922016507538</v>
      </c>
      <c r="AN8" s="91">
        <v>1043.7211055276382</v>
      </c>
      <c r="AO8" s="91">
        <v>1043.7211055276382</v>
      </c>
      <c r="AP8" s="92">
        <v>1053.9351925125629</v>
      </c>
      <c r="AQ8" s="93">
        <v>1055.5091660668384</v>
      </c>
      <c r="AR8" s="93">
        <v>1045.1325759020626</v>
      </c>
      <c r="AS8" s="93">
        <v>1044.32989690722</v>
      </c>
      <c r="AT8" s="93">
        <v>1044.3298969072166</v>
      </c>
      <c r="AU8" s="92">
        <v>1057.4742268041236</v>
      </c>
      <c r="AV8" s="93">
        <v>1046.854645219639</v>
      </c>
      <c r="AW8" s="93">
        <v>1046.854645219639</v>
      </c>
      <c r="AX8" s="128">
        <v>1071.3243161333344</v>
      </c>
      <c r="AY8" s="128">
        <v>1070.3221079514833</v>
      </c>
      <c r="AZ8" s="92">
        <v>1079.3982677897577</v>
      </c>
      <c r="BA8" s="128">
        <v>1089.7084906685245</v>
      </c>
      <c r="BB8" s="128">
        <v>1079.8188455307272</v>
      </c>
      <c r="BC8" s="128">
        <v>1087.964288450705</v>
      </c>
      <c r="BD8" s="128">
        <v>1084.9711165254246</v>
      </c>
      <c r="BE8" s="142">
        <v>1100.6046812146901</v>
      </c>
      <c r="BF8" s="128">
        <v>1083.3745751412439</v>
      </c>
      <c r="BG8" s="128">
        <v>1085.2706944759216</v>
      </c>
      <c r="BH8" s="128">
        <v>1084.0977640226638</v>
      </c>
      <c r="BI8" s="128">
        <v>1102.3820811594212</v>
      </c>
      <c r="BJ8" s="142">
        <v>1103.5822100000009</v>
      </c>
      <c r="BK8" s="128">
        <v>1095.1259380813956</v>
      </c>
      <c r="BL8" s="128">
        <v>1095.1259380813956</v>
      </c>
      <c r="BM8" s="128">
        <v>1095.1259380813956</v>
      </c>
      <c r="BN8" s="128">
        <v>1095.1259380813956</v>
      </c>
      <c r="BO8" s="142">
        <v>1095.1259380813956</v>
      </c>
      <c r="BP8" s="128">
        <v>1095.1259380813956</v>
      </c>
      <c r="BQ8" s="128">
        <v>1095.1259380813956</v>
      </c>
      <c r="BR8" s="128">
        <v>1095.1259380813956</v>
      </c>
      <c r="BS8" s="128">
        <v>1108.8989877245515</v>
      </c>
      <c r="BT8" s="142">
        <v>1108.8989877245515</v>
      </c>
      <c r="BU8" s="128">
        <v>1124.8937524271853</v>
      </c>
      <c r="BV8" s="128">
        <v>1146.5842056451613</v>
      </c>
      <c r="BW8" s="128">
        <v>1140.9986016326527</v>
      </c>
      <c r="BX8" s="128">
        <v>1141.0959637860083</v>
      </c>
      <c r="BY8" s="128">
        <v>1141.0959637860083</v>
      </c>
      <c r="BZ8" s="128">
        <v>1132.5825353191487</v>
      </c>
      <c r="CA8" s="128">
        <v>1131.3925919148937</v>
      </c>
      <c r="CB8" s="210">
        <v>1131.3678259574469</v>
      </c>
      <c r="CC8" s="210">
        <v>1354</v>
      </c>
      <c r="CD8" s="210">
        <v>1170</v>
      </c>
      <c r="CE8" s="210">
        <v>1122</v>
      </c>
      <c r="CF8" s="210">
        <v>1803</v>
      </c>
      <c r="CG8" s="210">
        <v>1107</v>
      </c>
    </row>
    <row r="9" spans="2:160">
      <c r="B9" s="72"/>
      <c r="C9" s="27"/>
      <c r="D9" s="27"/>
      <c r="E9" s="27"/>
      <c r="F9" s="27"/>
      <c r="G9" s="94"/>
      <c r="H9" s="27"/>
      <c r="I9" s="27"/>
      <c r="J9" s="27"/>
      <c r="K9" s="27"/>
      <c r="L9" s="94"/>
      <c r="M9" s="27"/>
      <c r="N9" s="27"/>
      <c r="O9" s="27"/>
      <c r="P9" s="27"/>
      <c r="Q9" s="94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93"/>
      <c r="AM9" s="127"/>
      <c r="AN9" s="127"/>
      <c r="AO9" s="127"/>
      <c r="AP9" s="127"/>
      <c r="AQ9" s="128"/>
      <c r="AR9" s="128"/>
      <c r="AS9" s="128"/>
      <c r="AT9" s="128"/>
      <c r="AU9" s="128"/>
      <c r="AV9" s="128"/>
      <c r="AW9" s="128"/>
      <c r="AY9" s="130"/>
      <c r="AZ9" s="138"/>
      <c r="BA9" s="138"/>
      <c r="BB9" s="138"/>
      <c r="BC9" s="138"/>
      <c r="BE9" s="130"/>
      <c r="BF9" s="130"/>
      <c r="BJ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97"/>
      <c r="CC9" s="197"/>
      <c r="CD9" s="130"/>
      <c r="CE9" s="130"/>
      <c r="CF9" s="130"/>
    </row>
    <row r="10" spans="2:160" s="65" customFormat="1">
      <c r="B10" s="87" t="str">
        <f>IF('Índice - Index'!$D$14="Português","Número de Cartões Ativos*","Number of active cards*")</f>
        <v>Número de Cartões Ativos*</v>
      </c>
      <c r="C10" s="92">
        <f>SUM(C11:C12)</f>
        <v>2526429</v>
      </c>
      <c r="D10" s="92">
        <f t="shared" ref="D10:F10" si="0">SUM(D11:D12)</f>
        <v>2413968</v>
      </c>
      <c r="E10" s="92">
        <f t="shared" si="0"/>
        <v>2686286</v>
      </c>
      <c r="F10" s="92">
        <f t="shared" si="0"/>
        <v>2965493</v>
      </c>
      <c r="G10" s="92">
        <v>2965493</v>
      </c>
      <c r="H10" s="92">
        <v>2606861</v>
      </c>
      <c r="I10" s="92">
        <v>2473702</v>
      </c>
      <c r="J10" s="92">
        <v>2660998</v>
      </c>
      <c r="K10" s="92">
        <v>2914470</v>
      </c>
      <c r="L10" s="92">
        <v>2914470</v>
      </c>
      <c r="M10" s="92">
        <v>2857688</v>
      </c>
      <c r="N10" s="92">
        <v>2698879</v>
      </c>
      <c r="O10" s="92">
        <v>2647685</v>
      </c>
      <c r="P10" s="92">
        <v>2796375</v>
      </c>
      <c r="Q10" s="92">
        <v>2796375</v>
      </c>
      <c r="R10" s="92">
        <v>2919811</v>
      </c>
      <c r="S10" s="92">
        <v>2865858</v>
      </c>
      <c r="T10" s="92">
        <v>3060268</v>
      </c>
      <c r="U10" s="92">
        <v>3292694</v>
      </c>
      <c r="V10" s="92">
        <v>3292694</v>
      </c>
      <c r="W10" s="92">
        <v>3328872</v>
      </c>
      <c r="X10" s="92">
        <v>3051031</v>
      </c>
      <c r="Y10" s="92">
        <v>3231508</v>
      </c>
      <c r="Z10" s="92">
        <v>3861981</v>
      </c>
      <c r="AA10" s="92">
        <v>3861981</v>
      </c>
      <c r="AB10" s="92">
        <v>3588845</v>
      </c>
      <c r="AC10" s="92">
        <v>3656014</v>
      </c>
      <c r="AD10" s="92">
        <v>3500996</v>
      </c>
      <c r="AE10" s="92">
        <v>3547535</v>
      </c>
      <c r="AF10" s="92">
        <v>3547535</v>
      </c>
      <c r="AG10" s="92">
        <v>3450028</v>
      </c>
      <c r="AH10" s="92">
        <v>3134211</v>
      </c>
      <c r="AI10" s="92">
        <v>3150463</v>
      </c>
      <c r="AJ10" s="92">
        <v>3212996</v>
      </c>
      <c r="AK10" s="92">
        <v>3212996</v>
      </c>
      <c r="AL10" s="92">
        <v>3081656</v>
      </c>
      <c r="AM10" s="92">
        <v>2966353</v>
      </c>
      <c r="AN10" s="92">
        <v>2964672</v>
      </c>
      <c r="AO10" s="92">
        <v>3012424</v>
      </c>
      <c r="AP10" s="92">
        <v>3012424</v>
      </c>
      <c r="AQ10" s="92">
        <v>2950929</v>
      </c>
      <c r="AR10" s="92">
        <v>2747383</v>
      </c>
      <c r="AS10" s="92">
        <v>2778795.0733789126</v>
      </c>
      <c r="AT10" s="92">
        <v>2866085</v>
      </c>
      <c r="AU10" s="92">
        <v>2866085</v>
      </c>
      <c r="AV10" s="92">
        <v>2738597</v>
      </c>
      <c r="AW10" s="92">
        <v>2586044</v>
      </c>
      <c r="AX10" s="92">
        <v>2609924</v>
      </c>
      <c r="AY10" s="92">
        <v>2695918.1191398702</v>
      </c>
      <c r="AZ10" s="163">
        <v>2695918.1191398702</v>
      </c>
      <c r="BA10" s="163">
        <v>2613309</v>
      </c>
      <c r="BB10" s="163">
        <v>2505537</v>
      </c>
      <c r="BC10" s="163">
        <v>2563283</v>
      </c>
      <c r="BD10" s="163">
        <v>2673223.1191398702</v>
      </c>
      <c r="BE10" s="163">
        <v>2673223.1191398702</v>
      </c>
      <c r="BF10" s="92">
        <v>2638757.3333333335</v>
      </c>
      <c r="BG10" s="92">
        <v>2289342</v>
      </c>
      <c r="BH10" s="92">
        <v>1734698</v>
      </c>
      <c r="BI10" s="92">
        <v>1854027</v>
      </c>
      <c r="BJ10" s="92">
        <v>1854027</v>
      </c>
      <c r="BK10" s="92">
        <v>1324662</v>
      </c>
      <c r="BL10" s="92">
        <v>2946481</v>
      </c>
      <c r="BM10" s="92">
        <v>3085974</v>
      </c>
      <c r="BN10" s="92">
        <v>3105564</v>
      </c>
      <c r="BO10" s="92">
        <v>3105564</v>
      </c>
      <c r="BP10" s="92">
        <v>2946200</v>
      </c>
      <c r="BQ10" s="92">
        <v>2931524</v>
      </c>
      <c r="BR10" s="92">
        <v>2887372</v>
      </c>
      <c r="BS10" s="92">
        <v>2779250.333333333</v>
      </c>
      <c r="BT10" s="92">
        <v>2779250.333333333</v>
      </c>
      <c r="BU10" s="163">
        <v>1799977</v>
      </c>
      <c r="BV10" s="163">
        <v>1709816</v>
      </c>
      <c r="BW10" s="163">
        <v>1585074</v>
      </c>
      <c r="BX10" s="163">
        <v>1490678</v>
      </c>
      <c r="BY10" s="163">
        <v>1490678</v>
      </c>
      <c r="BZ10" s="163">
        <v>498201</v>
      </c>
      <c r="CA10" s="163">
        <v>637985</v>
      </c>
      <c r="CB10" s="163">
        <v>769231</v>
      </c>
      <c r="CC10" s="163">
        <v>927283</v>
      </c>
      <c r="CD10" s="163">
        <v>957787</v>
      </c>
      <c r="CE10" s="163">
        <v>1001121</v>
      </c>
      <c r="CF10" s="163">
        <v>1027876</v>
      </c>
      <c r="CG10" s="229">
        <v>1030000</v>
      </c>
    </row>
    <row r="11" spans="2:160">
      <c r="B11" s="72" t="s">
        <v>2</v>
      </c>
      <c r="C11" s="91">
        <v>2262005</v>
      </c>
      <c r="D11" s="91">
        <v>1998417</v>
      </c>
      <c r="E11" s="91">
        <v>2101764</v>
      </c>
      <c r="F11" s="91">
        <v>2335730</v>
      </c>
      <c r="G11" s="92">
        <v>2335730</v>
      </c>
      <c r="H11" s="91">
        <v>2252359</v>
      </c>
      <c r="I11" s="91">
        <v>2064710</v>
      </c>
      <c r="J11" s="91">
        <v>2183904</v>
      </c>
      <c r="K11" s="91">
        <v>2374961</v>
      </c>
      <c r="L11" s="92">
        <v>2374961</v>
      </c>
      <c r="M11" s="91">
        <v>2323209</v>
      </c>
      <c r="N11" s="91">
        <v>2121311</v>
      </c>
      <c r="O11" s="91">
        <v>2051281</v>
      </c>
      <c r="P11" s="91">
        <v>2179349</v>
      </c>
      <c r="Q11" s="92">
        <v>2179349</v>
      </c>
      <c r="R11" s="91">
        <v>2273651</v>
      </c>
      <c r="S11" s="91">
        <v>2211157</v>
      </c>
      <c r="T11" s="91">
        <v>2391159</v>
      </c>
      <c r="U11" s="91">
        <v>2562123</v>
      </c>
      <c r="V11" s="92">
        <v>2562123</v>
      </c>
      <c r="W11" s="91">
        <v>2590685</v>
      </c>
      <c r="X11" s="91">
        <v>2295059</v>
      </c>
      <c r="Y11" s="91">
        <v>2428690</v>
      </c>
      <c r="Z11" s="91">
        <v>3010438</v>
      </c>
      <c r="AA11" s="92">
        <v>3010438</v>
      </c>
      <c r="AB11" s="91">
        <v>2709504</v>
      </c>
      <c r="AC11" s="91">
        <v>2762474</v>
      </c>
      <c r="AD11" s="91">
        <v>2569862</v>
      </c>
      <c r="AE11" s="91">
        <v>2569154</v>
      </c>
      <c r="AF11" s="92">
        <v>2569154</v>
      </c>
      <c r="AG11" s="91">
        <v>2459423</v>
      </c>
      <c r="AH11" s="91">
        <v>2122694</v>
      </c>
      <c r="AI11" s="91">
        <v>2141948</v>
      </c>
      <c r="AJ11" s="91">
        <v>2213789</v>
      </c>
      <c r="AK11" s="92">
        <v>2213789</v>
      </c>
      <c r="AL11" s="91">
        <v>2105236</v>
      </c>
      <c r="AM11" s="91">
        <v>2002752</v>
      </c>
      <c r="AN11" s="91">
        <v>2042028</v>
      </c>
      <c r="AO11" s="91">
        <v>2091574</v>
      </c>
      <c r="AP11" s="92">
        <v>2091574</v>
      </c>
      <c r="AQ11" s="91">
        <v>2041608</v>
      </c>
      <c r="AR11" s="91">
        <v>1850193</v>
      </c>
      <c r="AS11" s="91">
        <v>1905822</v>
      </c>
      <c r="AT11" s="91">
        <v>1975330</v>
      </c>
      <c r="AU11" s="92">
        <v>1975330</v>
      </c>
      <c r="AV11" s="91">
        <v>1818646</v>
      </c>
      <c r="AW11" s="91">
        <v>1655926</v>
      </c>
      <c r="AX11" s="91">
        <v>1675585</v>
      </c>
      <c r="AY11" s="91">
        <v>1713963</v>
      </c>
      <c r="AZ11" s="163">
        <v>1713963</v>
      </c>
      <c r="BA11" s="151">
        <v>1631801</v>
      </c>
      <c r="BB11" s="151">
        <v>1526828</v>
      </c>
      <c r="BC11" s="151">
        <v>1584967</v>
      </c>
      <c r="BD11" s="151">
        <v>1691268</v>
      </c>
      <c r="BE11" s="163">
        <v>1691268</v>
      </c>
      <c r="BF11" s="91">
        <v>1640574.6666666667</v>
      </c>
      <c r="BG11" s="91">
        <v>1368777</v>
      </c>
      <c r="BH11" s="91">
        <v>855878</v>
      </c>
      <c r="BI11" s="91">
        <v>982259</v>
      </c>
      <c r="BJ11" s="92">
        <v>982259</v>
      </c>
      <c r="BK11" s="91">
        <v>1324662</v>
      </c>
      <c r="BL11" s="151">
        <v>2069498.9999999998</v>
      </c>
      <c r="BM11" s="151">
        <v>2191718</v>
      </c>
      <c r="BN11" s="91">
        <v>2191718</v>
      </c>
      <c r="BO11" s="92">
        <v>2191718</v>
      </c>
      <c r="BP11" s="91">
        <v>2045085</v>
      </c>
      <c r="BQ11" s="91">
        <v>2047232</v>
      </c>
      <c r="BR11" s="91">
        <v>2046626</v>
      </c>
      <c r="BS11" s="91">
        <v>1914347</v>
      </c>
      <c r="BT11" s="92">
        <v>1914347</v>
      </c>
      <c r="BU11" s="151">
        <v>1799977</v>
      </c>
      <c r="BV11" s="151">
        <v>1709816</v>
      </c>
      <c r="BW11" s="151">
        <v>1585074</v>
      </c>
      <c r="BX11" s="151">
        <v>1490678</v>
      </c>
      <c r="BY11" s="151">
        <v>1490678</v>
      </c>
      <c r="BZ11" s="151">
        <v>498201</v>
      </c>
      <c r="CA11" s="151">
        <v>637985</v>
      </c>
      <c r="CB11" s="151">
        <v>769231</v>
      </c>
      <c r="CC11" s="151">
        <f>CC10</f>
        <v>927283</v>
      </c>
      <c r="CD11" s="151">
        <f t="shared" ref="CD11:CE11" si="1">CD10</f>
        <v>957787</v>
      </c>
      <c r="CE11" s="151">
        <f t="shared" si="1"/>
        <v>1001121</v>
      </c>
      <c r="CF11" s="151">
        <v>1027876</v>
      </c>
      <c r="CG11" s="216">
        <v>1030000</v>
      </c>
    </row>
    <row r="12" spans="2:160">
      <c r="B12" s="78" t="s">
        <v>3</v>
      </c>
      <c r="C12" s="95">
        <v>264424</v>
      </c>
      <c r="D12" s="95">
        <v>415551</v>
      </c>
      <c r="E12" s="95">
        <v>584522</v>
      </c>
      <c r="F12" s="95">
        <v>629763</v>
      </c>
      <c r="G12" s="96">
        <v>629763</v>
      </c>
      <c r="H12" s="95">
        <v>354502</v>
      </c>
      <c r="I12" s="91">
        <v>408992</v>
      </c>
      <c r="J12" s="91">
        <v>477094</v>
      </c>
      <c r="K12" s="91">
        <v>539509</v>
      </c>
      <c r="L12" s="97">
        <v>539509</v>
      </c>
      <c r="M12" s="91">
        <v>534479</v>
      </c>
      <c r="N12" s="91">
        <v>577568</v>
      </c>
      <c r="O12" s="91">
        <v>596404</v>
      </c>
      <c r="P12" s="91">
        <v>617026</v>
      </c>
      <c r="Q12" s="97">
        <v>617026</v>
      </c>
      <c r="R12" s="91">
        <v>646160</v>
      </c>
      <c r="S12" s="91">
        <v>654701</v>
      </c>
      <c r="T12" s="91">
        <v>669109</v>
      </c>
      <c r="U12" s="91">
        <v>730571</v>
      </c>
      <c r="V12" s="97">
        <v>730571</v>
      </c>
      <c r="W12" s="91">
        <v>738187</v>
      </c>
      <c r="X12" s="91">
        <v>755972</v>
      </c>
      <c r="Y12" s="91">
        <v>802818</v>
      </c>
      <c r="Z12" s="91">
        <v>851543</v>
      </c>
      <c r="AA12" s="92">
        <v>851543</v>
      </c>
      <c r="AB12" s="91">
        <v>879341</v>
      </c>
      <c r="AC12" s="91">
        <v>893540</v>
      </c>
      <c r="AD12" s="91">
        <v>931134</v>
      </c>
      <c r="AE12" s="91">
        <v>978381</v>
      </c>
      <c r="AF12" s="92">
        <v>978381</v>
      </c>
      <c r="AG12" s="91">
        <v>990605</v>
      </c>
      <c r="AH12" s="91">
        <v>1011517</v>
      </c>
      <c r="AI12" s="91">
        <v>1008515</v>
      </c>
      <c r="AJ12" s="91">
        <v>999207</v>
      </c>
      <c r="AK12" s="92">
        <v>999207</v>
      </c>
      <c r="AL12" s="91">
        <v>976420</v>
      </c>
      <c r="AM12" s="91">
        <v>963601</v>
      </c>
      <c r="AN12" s="91">
        <v>922644</v>
      </c>
      <c r="AO12" s="91">
        <v>920850</v>
      </c>
      <c r="AP12" s="92">
        <v>920850</v>
      </c>
      <c r="AQ12" s="91">
        <v>909321</v>
      </c>
      <c r="AR12" s="91">
        <v>897190</v>
      </c>
      <c r="AS12" s="91">
        <v>872973.07337891276</v>
      </c>
      <c r="AT12" s="91">
        <v>890755</v>
      </c>
      <c r="AU12" s="92">
        <v>890755</v>
      </c>
      <c r="AV12" s="91">
        <v>919951</v>
      </c>
      <c r="AW12" s="91">
        <v>930118</v>
      </c>
      <c r="AX12" s="91">
        <v>934339</v>
      </c>
      <c r="AY12" s="91">
        <v>981955.11913987005</v>
      </c>
      <c r="AZ12" s="163">
        <v>981955.11913987005</v>
      </c>
      <c r="BA12" s="151">
        <v>981508</v>
      </c>
      <c r="BB12" s="151">
        <v>978709</v>
      </c>
      <c r="BC12" s="151">
        <v>978316</v>
      </c>
      <c r="BD12" s="151">
        <v>981955.11913987005</v>
      </c>
      <c r="BE12" s="163">
        <v>981955.11913987005</v>
      </c>
      <c r="BF12" s="91">
        <v>998182.66666666663</v>
      </c>
      <c r="BG12" s="91">
        <v>920565</v>
      </c>
      <c r="BH12" s="91">
        <v>878820</v>
      </c>
      <c r="BI12" s="91">
        <v>871768</v>
      </c>
      <c r="BJ12" s="92">
        <v>871768</v>
      </c>
      <c r="BK12" s="91" t="s">
        <v>24</v>
      </c>
      <c r="BL12" s="151">
        <v>876982</v>
      </c>
      <c r="BM12" s="151">
        <v>894256</v>
      </c>
      <c r="BN12" s="91">
        <v>913846</v>
      </c>
      <c r="BO12" s="92">
        <v>913846</v>
      </c>
      <c r="BP12" s="151">
        <v>901115.00000000012</v>
      </c>
      <c r="BQ12" s="151">
        <v>884292</v>
      </c>
      <c r="BR12" s="151">
        <v>840746</v>
      </c>
      <c r="BS12" s="151">
        <v>864903.33333333326</v>
      </c>
      <c r="BT12" s="92">
        <v>864903.33333333326</v>
      </c>
      <c r="BU12" s="151">
        <v>0</v>
      </c>
      <c r="BV12" s="151">
        <v>0</v>
      </c>
      <c r="BW12" s="151">
        <v>0</v>
      </c>
      <c r="BX12" s="151">
        <v>0</v>
      </c>
      <c r="BY12" s="151">
        <v>0</v>
      </c>
      <c r="BZ12" s="151">
        <v>0</v>
      </c>
      <c r="CA12" s="151">
        <v>0</v>
      </c>
      <c r="CB12" s="151">
        <v>0</v>
      </c>
      <c r="CC12" s="151">
        <v>0</v>
      </c>
      <c r="CD12" s="151">
        <v>0</v>
      </c>
      <c r="CE12" s="151">
        <v>0</v>
      </c>
      <c r="CF12" s="151"/>
    </row>
    <row r="13" spans="2:160" ht="23.4">
      <c r="B13" s="190" t="s">
        <v>38</v>
      </c>
      <c r="C13" s="27"/>
      <c r="D13" s="27"/>
      <c r="E13" s="27"/>
      <c r="F13" s="27"/>
      <c r="G13" s="94"/>
      <c r="H13" s="27"/>
      <c r="I13" s="27"/>
      <c r="J13" s="27"/>
      <c r="K13" s="27"/>
      <c r="L13" s="94"/>
      <c r="M13" s="27"/>
      <c r="N13" s="27"/>
      <c r="O13" s="27"/>
      <c r="P13" s="27"/>
      <c r="Q13" s="94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</row>
    <row r="14" spans="2:160">
      <c r="B14" s="87" t="str">
        <f>IF('Índice - Index'!$D$14="Português","Meios de Pagamento","Means of payment")</f>
        <v>Meios de Pagamento</v>
      </c>
      <c r="C14" s="85">
        <f t="shared" ref="C14:F14" si="2">SUM(C15:C20)</f>
        <v>0.99999900000000008</v>
      </c>
      <c r="D14" s="85">
        <f t="shared" si="2"/>
        <v>0.99999899999999997</v>
      </c>
      <c r="E14" s="85">
        <f t="shared" si="2"/>
        <v>1</v>
      </c>
      <c r="F14" s="85">
        <f t="shared" si="2"/>
        <v>1</v>
      </c>
      <c r="G14" s="85">
        <v>1</v>
      </c>
      <c r="H14" s="85">
        <v>1</v>
      </c>
      <c r="I14" s="85">
        <v>1</v>
      </c>
      <c r="J14" s="85">
        <v>1</v>
      </c>
      <c r="K14" s="85">
        <v>0.99999999999999989</v>
      </c>
      <c r="L14" s="85">
        <v>0.99999900000000008</v>
      </c>
      <c r="M14" s="85">
        <v>1</v>
      </c>
      <c r="N14" s="85">
        <v>1.0000009999999999</v>
      </c>
      <c r="O14" s="85">
        <v>1.0000010000000001</v>
      </c>
      <c r="P14" s="85">
        <v>1</v>
      </c>
      <c r="Q14" s="85">
        <v>0.99999899999999997</v>
      </c>
      <c r="R14" s="85">
        <v>1</v>
      </c>
      <c r="S14" s="85">
        <v>1</v>
      </c>
      <c r="T14" s="85">
        <v>1</v>
      </c>
      <c r="U14" s="85">
        <v>1</v>
      </c>
      <c r="V14" s="85">
        <v>1</v>
      </c>
      <c r="W14" s="85">
        <v>1.0002500000000001</v>
      </c>
      <c r="X14" s="85">
        <v>0.99999900000000008</v>
      </c>
      <c r="Y14" s="85">
        <v>0.9999880000000001</v>
      </c>
      <c r="Z14" s="85">
        <v>1</v>
      </c>
      <c r="AA14" s="85">
        <v>1</v>
      </c>
      <c r="AB14" s="85">
        <v>1</v>
      </c>
      <c r="AC14" s="85">
        <v>1</v>
      </c>
      <c r="AD14" s="85">
        <v>1</v>
      </c>
      <c r="AE14" s="85">
        <v>1</v>
      </c>
      <c r="AF14" s="85">
        <v>1</v>
      </c>
      <c r="AG14" s="85">
        <v>1</v>
      </c>
      <c r="AH14" s="85">
        <v>0.99999900000000008</v>
      </c>
      <c r="AI14" s="85">
        <v>1</v>
      </c>
      <c r="AJ14" s="85">
        <v>1</v>
      </c>
      <c r="AK14" s="85">
        <v>1</v>
      </c>
      <c r="AL14" s="85">
        <v>1</v>
      </c>
      <c r="AM14" s="85">
        <v>1</v>
      </c>
      <c r="AN14" s="85">
        <v>1</v>
      </c>
      <c r="AO14" s="85">
        <v>1</v>
      </c>
      <c r="AP14" s="85">
        <v>1</v>
      </c>
      <c r="AQ14" s="85">
        <v>1</v>
      </c>
      <c r="AR14" s="85">
        <v>1</v>
      </c>
      <c r="AS14" s="85">
        <v>1</v>
      </c>
      <c r="AT14" s="85">
        <v>0.99966617847780403</v>
      </c>
      <c r="AU14" s="85">
        <v>1</v>
      </c>
      <c r="AV14" s="85">
        <v>1.0000000000000004</v>
      </c>
      <c r="AW14" s="125">
        <v>1</v>
      </c>
      <c r="AX14" s="125">
        <v>1.0000000000000002</v>
      </c>
      <c r="AY14" s="125">
        <v>1</v>
      </c>
      <c r="AZ14" s="85">
        <v>1</v>
      </c>
      <c r="BA14" s="125">
        <v>1.0000000000000002</v>
      </c>
      <c r="BB14" s="125">
        <v>1</v>
      </c>
      <c r="BC14" s="125">
        <v>1</v>
      </c>
      <c r="BD14" s="125">
        <v>1</v>
      </c>
      <c r="BE14" s="125">
        <v>0.99999999999999989</v>
      </c>
      <c r="BF14" s="125">
        <v>0.99999999999999989</v>
      </c>
      <c r="BG14" s="125">
        <v>0.99999999999999989</v>
      </c>
      <c r="BH14" s="125">
        <v>0.99999999999999989</v>
      </c>
      <c r="BI14" s="125">
        <v>1</v>
      </c>
      <c r="BJ14" s="156">
        <v>0.99999999999999989</v>
      </c>
      <c r="BK14" s="125">
        <v>0.99999999999999989</v>
      </c>
      <c r="BL14" s="125">
        <v>1</v>
      </c>
      <c r="BM14" s="125">
        <v>0.99951652126889168</v>
      </c>
      <c r="BN14" s="154">
        <v>0.9999848561399638</v>
      </c>
      <c r="BO14" s="161">
        <v>1.0001260929059461</v>
      </c>
      <c r="BP14" s="154">
        <v>1</v>
      </c>
      <c r="BQ14" s="154">
        <v>1</v>
      </c>
      <c r="BR14" s="154">
        <v>1.0000000000000002</v>
      </c>
      <c r="BS14" s="154">
        <v>1</v>
      </c>
      <c r="BT14" s="161">
        <v>0.99999999999999989</v>
      </c>
      <c r="BU14" s="154">
        <v>1.0000000000000002</v>
      </c>
      <c r="BV14" s="154">
        <v>1</v>
      </c>
      <c r="BW14" s="154">
        <v>1</v>
      </c>
      <c r="BX14" s="154">
        <v>1</v>
      </c>
      <c r="BY14" s="154">
        <v>1</v>
      </c>
      <c r="BZ14" s="154">
        <v>1</v>
      </c>
      <c r="CA14" s="154">
        <v>0.99999999999999989</v>
      </c>
      <c r="CB14" s="154">
        <v>1</v>
      </c>
      <c r="CC14" s="154">
        <f>SUM(CC17:CC22)</f>
        <v>1</v>
      </c>
      <c r="CD14" s="154">
        <f t="shared" ref="CD14:CG14" si="3">SUM(CD17:CD22)</f>
        <v>1</v>
      </c>
      <c r="CE14" s="154">
        <f t="shared" si="3"/>
        <v>1</v>
      </c>
      <c r="CF14" s="154">
        <f t="shared" si="3"/>
        <v>1.0000010460710214</v>
      </c>
      <c r="CG14" s="154">
        <f t="shared" si="3"/>
        <v>1</v>
      </c>
    </row>
    <row r="15" spans="2:160" hidden="1" outlineLevel="1">
      <c r="B15" s="72" t="s">
        <v>39</v>
      </c>
      <c r="C15" s="85">
        <v>0.50094000000000005</v>
      </c>
      <c r="D15" s="85">
        <v>0.51341199999999998</v>
      </c>
      <c r="E15" s="85">
        <v>0.50178400000000001</v>
      </c>
      <c r="F15" s="85">
        <v>0.53063199999999999</v>
      </c>
      <c r="G15" s="98">
        <v>0.51482499999999998</v>
      </c>
      <c r="H15" s="85">
        <v>0.48093999999999998</v>
      </c>
      <c r="I15" s="85">
        <v>0.49499300000000002</v>
      </c>
      <c r="J15" s="85">
        <v>0.47203299999999998</v>
      </c>
      <c r="K15" s="85">
        <v>0.45571099999999998</v>
      </c>
      <c r="L15" s="98">
        <v>0.47343400000000002</v>
      </c>
      <c r="M15" s="85">
        <v>0.418157</v>
      </c>
      <c r="N15" s="85">
        <v>0.445407</v>
      </c>
      <c r="O15" s="85">
        <v>0.42473699999999998</v>
      </c>
      <c r="P15" s="85">
        <v>0.412499</v>
      </c>
      <c r="Q15" s="98">
        <v>0.42476900000000001</v>
      </c>
      <c r="R15" s="85">
        <v>0.40639999999999998</v>
      </c>
      <c r="S15" s="85">
        <v>0.450214</v>
      </c>
      <c r="T15" s="85">
        <v>0.435946</v>
      </c>
      <c r="U15" s="85">
        <v>0.42133500000000002</v>
      </c>
      <c r="V15" s="86">
        <v>0.42947200000000002</v>
      </c>
      <c r="W15" s="85">
        <v>0.40400000000000003</v>
      </c>
      <c r="X15" s="85">
        <v>0.42794700000000002</v>
      </c>
      <c r="Y15" s="85">
        <v>0.41788199999999998</v>
      </c>
      <c r="Z15" s="85">
        <v>0.458785</v>
      </c>
      <c r="AA15" s="86">
        <v>0.43166199999999999</v>
      </c>
      <c r="AB15" s="85">
        <v>0.40425</v>
      </c>
      <c r="AC15" s="85">
        <v>0.43057099999999998</v>
      </c>
      <c r="AD15" s="85">
        <v>0.40901599999999999</v>
      </c>
      <c r="AE15" s="85">
        <v>0.40785500000000002</v>
      </c>
      <c r="AF15" s="86">
        <v>0.41299400000000003</v>
      </c>
      <c r="AG15" s="85">
        <v>0.36036699999999999</v>
      </c>
      <c r="AH15" s="85">
        <v>0.376272</v>
      </c>
      <c r="AI15" s="85">
        <v>0.36884</v>
      </c>
      <c r="AJ15" s="85">
        <v>0.36199999999999999</v>
      </c>
      <c r="AK15" s="86">
        <v>0.36605599999999999</v>
      </c>
      <c r="AL15" s="85">
        <v>0.37863200000000002</v>
      </c>
      <c r="AM15" s="85">
        <v>0.40342299999999998</v>
      </c>
      <c r="AN15" s="85">
        <v>0.41835899999999998</v>
      </c>
      <c r="AO15" s="85">
        <v>0.42124099999999998</v>
      </c>
      <c r="AP15" s="86">
        <v>0.40665699999999999</v>
      </c>
      <c r="AQ15" s="85">
        <v>0.39500000000000002</v>
      </c>
      <c r="AR15" s="85">
        <v>0.41207100000000002</v>
      </c>
      <c r="AS15" s="85">
        <v>0.39639716862124574</v>
      </c>
      <c r="AT15" s="85">
        <v>0.38400000000000001</v>
      </c>
      <c r="AU15" s="86">
        <v>0.39675461956288144</v>
      </c>
      <c r="AV15" s="85">
        <v>0.36822733149280784</v>
      </c>
      <c r="AW15" s="85">
        <v>0.39553863126023481</v>
      </c>
      <c r="AX15" s="85">
        <v>0.36204780907661172</v>
      </c>
      <c r="AY15" s="85">
        <v>0.36491562962553836</v>
      </c>
      <c r="AZ15" s="86">
        <v>0.37227542051643336</v>
      </c>
      <c r="BA15" s="85">
        <v>0.34725687429115426</v>
      </c>
      <c r="BB15" s="85">
        <v>0.38203239004960615</v>
      </c>
      <c r="BC15" s="85">
        <v>0.36032264742315501</v>
      </c>
      <c r="BD15" s="85">
        <v>0.36290750092711688</v>
      </c>
      <c r="BE15" s="86">
        <v>0.36361834707875229</v>
      </c>
      <c r="BF15" s="85">
        <v>0.34197299059714831</v>
      </c>
      <c r="BG15" s="85">
        <v>0.30817880729816399</v>
      </c>
      <c r="BH15" s="85">
        <v>0.33959652884300251</v>
      </c>
      <c r="BI15" s="85">
        <v>0.34363120785475054</v>
      </c>
      <c r="BJ15" s="86">
        <v>0.33891517496457474</v>
      </c>
      <c r="BK15" s="85">
        <v>0.35666150334818858</v>
      </c>
      <c r="BL15" s="85">
        <v>0.36899999999999999</v>
      </c>
      <c r="BM15" s="85">
        <v>0.35708082693754878</v>
      </c>
      <c r="BN15" s="154">
        <v>0.34499999999999997</v>
      </c>
      <c r="BO15" s="161">
        <v>0.35583301138321716</v>
      </c>
      <c r="BP15" s="154">
        <v>0.34165349931577105</v>
      </c>
      <c r="BQ15" s="154">
        <v>0.33475653333857291</v>
      </c>
      <c r="BR15" s="154">
        <v>0.319400859666017</v>
      </c>
      <c r="BS15" s="154">
        <v>0.31330000000000002</v>
      </c>
      <c r="BT15" s="161">
        <v>0.32300527602947404</v>
      </c>
      <c r="BU15" s="154">
        <v>0.28660000000000002</v>
      </c>
      <c r="BV15" s="154">
        <v>0.2636</v>
      </c>
      <c r="BW15" s="154">
        <v>0.22395082482117346</v>
      </c>
      <c r="BX15" s="154">
        <v>0.1192</v>
      </c>
      <c r="BY15" s="154">
        <v>0.22588939637855959</v>
      </c>
      <c r="BZ15" s="154">
        <v>7.2422243076283839E-3</v>
      </c>
      <c r="CA15" s="154"/>
      <c r="CB15" s="154"/>
      <c r="CC15" s="154" t="s">
        <v>44</v>
      </c>
      <c r="CD15" s="154" t="s">
        <v>44</v>
      </c>
      <c r="CE15" s="154" t="s">
        <v>44</v>
      </c>
      <c r="CF15" s="154"/>
      <c r="CG15" s="99"/>
      <c r="CH15" s="99"/>
      <c r="CI15" s="99"/>
      <c r="CJ15" s="99"/>
      <c r="CK15" s="99"/>
      <c r="CL15" s="99"/>
      <c r="CM15" s="99"/>
      <c r="CN15" s="99"/>
      <c r="CO15" s="99"/>
      <c r="CP15" s="99"/>
      <c r="CQ15" s="99"/>
      <c r="CR15" s="99"/>
      <c r="CS15" s="99"/>
      <c r="CT15" s="99"/>
      <c r="CU15" s="99"/>
      <c r="CV15" s="99"/>
      <c r="CW15" s="99"/>
      <c r="CX15" s="99"/>
      <c r="CY15" s="99"/>
      <c r="CZ15" s="99"/>
      <c r="DA15" s="99"/>
      <c r="DB15" s="99"/>
      <c r="DC15" s="99"/>
      <c r="DD15" s="99"/>
      <c r="DE15" s="99"/>
      <c r="DF15" s="99"/>
      <c r="DG15" s="99"/>
      <c r="DH15" s="99"/>
      <c r="DI15" s="99"/>
      <c r="DJ15" s="99"/>
      <c r="DK15" s="99"/>
      <c r="DL15" s="99"/>
      <c r="DM15" s="99"/>
      <c r="DN15" s="99"/>
      <c r="DO15" s="99"/>
      <c r="DP15" s="99"/>
      <c r="DQ15" s="99"/>
      <c r="DR15" s="99"/>
      <c r="DS15" s="99"/>
      <c r="DT15" s="99"/>
      <c r="DU15" s="99"/>
      <c r="DV15" s="99"/>
      <c r="DW15" s="99"/>
      <c r="DX15" s="99"/>
      <c r="DY15" s="99"/>
      <c r="DZ15" s="99"/>
      <c r="EA15" s="99"/>
      <c r="EB15" s="99"/>
      <c r="EC15" s="99"/>
      <c r="ED15" s="99"/>
      <c r="EE15" s="99"/>
      <c r="EF15" s="99"/>
      <c r="EG15" s="99"/>
      <c r="EH15" s="99"/>
      <c r="EI15" s="99"/>
      <c r="EJ15" s="99"/>
      <c r="EK15" s="99"/>
      <c r="EL15" s="99"/>
      <c r="EM15" s="99"/>
      <c r="EN15" s="99"/>
      <c r="EO15" s="99"/>
      <c r="EP15" s="99"/>
      <c r="EQ15" s="99"/>
      <c r="ER15" s="99"/>
      <c r="ES15" s="99"/>
      <c r="ET15" s="99"/>
      <c r="EU15" s="99"/>
      <c r="EV15" s="99"/>
      <c r="EW15" s="99"/>
      <c r="EX15" s="99"/>
      <c r="EY15" s="99"/>
      <c r="EZ15" s="99"/>
      <c r="FA15" s="99"/>
      <c r="FB15" s="99"/>
      <c r="FC15" s="99"/>
      <c r="FD15" s="99"/>
    </row>
    <row r="16" spans="2:160" hidden="1" outlineLevel="1">
      <c r="B16" s="72" t="s">
        <v>3</v>
      </c>
      <c r="C16" s="85">
        <v>4.3969999999999999E-3</v>
      </c>
      <c r="D16" s="85">
        <v>2.5437999999999999E-2</v>
      </c>
      <c r="E16" s="85">
        <v>3.5986999999999998E-2</v>
      </c>
      <c r="F16" s="85">
        <v>3.5192000000000001E-2</v>
      </c>
      <c r="G16" s="98">
        <v>2.7822E-2</v>
      </c>
      <c r="H16" s="85">
        <v>3.5164000000000001E-2</v>
      </c>
      <c r="I16" s="85">
        <v>3.8279000000000001E-2</v>
      </c>
      <c r="J16" s="85">
        <v>4.0197999999999998E-2</v>
      </c>
      <c r="K16" s="85">
        <v>4.1770000000000002E-2</v>
      </c>
      <c r="L16" s="98">
        <v>3.9369000000000001E-2</v>
      </c>
      <c r="M16" s="85">
        <v>4.0516999999999997E-2</v>
      </c>
      <c r="N16" s="85">
        <v>4.3608000000000001E-2</v>
      </c>
      <c r="O16" s="85">
        <v>4.6206999999999998E-2</v>
      </c>
      <c r="P16" s="85">
        <v>4.1174000000000002E-2</v>
      </c>
      <c r="Q16" s="98">
        <v>4.2875999999999997E-2</v>
      </c>
      <c r="R16" s="85">
        <v>3.5000000000000003E-2</v>
      </c>
      <c r="S16" s="85">
        <v>3.9999E-2</v>
      </c>
      <c r="T16" s="85">
        <v>4.0271000000000001E-2</v>
      </c>
      <c r="U16" s="85">
        <v>3.9272000000000001E-2</v>
      </c>
      <c r="V16" s="86">
        <v>3.977E-2</v>
      </c>
      <c r="W16" s="85">
        <v>3.8550000000000001E-2</v>
      </c>
      <c r="X16" s="85">
        <v>3.8536000000000001E-2</v>
      </c>
      <c r="Y16" s="85">
        <v>4.2305000000000002E-2</v>
      </c>
      <c r="Z16" s="85">
        <v>3.7456999999999997E-2</v>
      </c>
      <c r="AA16" s="86">
        <v>3.8426000000000002E-2</v>
      </c>
      <c r="AB16" s="85">
        <v>3.9523999999999997E-2</v>
      </c>
      <c r="AC16" s="85">
        <v>3.9448999999999998E-2</v>
      </c>
      <c r="AD16" s="85">
        <v>4.1090000000000002E-2</v>
      </c>
      <c r="AE16" s="85">
        <v>3.8758000000000001E-2</v>
      </c>
      <c r="AF16" s="86">
        <v>3.9611E-2</v>
      </c>
      <c r="AG16" s="85">
        <v>3.8988000000000002E-2</v>
      </c>
      <c r="AH16" s="85">
        <v>3.8887999999999999E-2</v>
      </c>
      <c r="AI16" s="85">
        <v>4.1938999999999997E-2</v>
      </c>
      <c r="AJ16" s="85">
        <v>3.8167E-2</v>
      </c>
      <c r="AK16" s="86">
        <v>3.8476000000000003E-2</v>
      </c>
      <c r="AL16" s="85">
        <v>3.9703000000000002E-2</v>
      </c>
      <c r="AM16" s="85">
        <v>3.8362E-2</v>
      </c>
      <c r="AN16" s="85">
        <v>3.6292999999999999E-2</v>
      </c>
      <c r="AO16" s="85">
        <v>3.3821999999999998E-2</v>
      </c>
      <c r="AP16" s="86">
        <v>3.6367999999999998E-2</v>
      </c>
      <c r="AQ16" s="85">
        <v>3.6999999999999998E-2</v>
      </c>
      <c r="AR16" s="85">
        <v>3.6150000000000002E-2</v>
      </c>
      <c r="AS16" s="85">
        <v>4.0362965956580336E-2</v>
      </c>
      <c r="AT16" s="85">
        <v>4.1582947763570244E-2</v>
      </c>
      <c r="AU16" s="86">
        <v>3.8578792602935223E-2</v>
      </c>
      <c r="AV16" s="85">
        <v>4.4248815193132847E-2</v>
      </c>
      <c r="AW16" s="85">
        <v>4.8224122733447367E-2</v>
      </c>
      <c r="AX16" s="85">
        <v>4.6671425709878082E-2</v>
      </c>
      <c r="AY16" s="85">
        <v>4.8242213456811643E-2</v>
      </c>
      <c r="AZ16" s="86">
        <v>4.7037019153865281E-2</v>
      </c>
      <c r="BA16" s="85">
        <v>5.0616614165965801E-2</v>
      </c>
      <c r="BB16" s="85">
        <v>5.2536482106170533E-2</v>
      </c>
      <c r="BC16" s="85">
        <v>5.411227077962634E-2</v>
      </c>
      <c r="BD16" s="85">
        <v>5.0795094782138943E-2</v>
      </c>
      <c r="BE16" s="86">
        <v>5.1971939484555738E-2</v>
      </c>
      <c r="BF16" s="85">
        <v>5.5480705041153114E-2</v>
      </c>
      <c r="BG16" s="85">
        <v>3.6739556521477999E-2</v>
      </c>
      <c r="BH16" s="85">
        <v>4.0696590723393752E-2</v>
      </c>
      <c r="BI16" s="85">
        <v>4.1876721125640705E-2</v>
      </c>
      <c r="BJ16" s="86">
        <v>4.4241024076725498E-2</v>
      </c>
      <c r="BK16" s="85">
        <v>4.7520438752830907E-2</v>
      </c>
      <c r="BL16" s="85">
        <v>4.7E-2</v>
      </c>
      <c r="BM16" s="85">
        <v>4.6211416670400379E-2</v>
      </c>
      <c r="BN16" s="154">
        <v>4.7E-2</v>
      </c>
      <c r="BO16" s="161">
        <v>4.566476030417347E-2</v>
      </c>
      <c r="BP16" s="154">
        <v>4.6932790322889328E-2</v>
      </c>
      <c r="BQ16" s="154">
        <v>4.6714531825759582E-2</v>
      </c>
      <c r="BR16" s="154">
        <v>4.6641539748844454E-2</v>
      </c>
      <c r="BS16" s="154">
        <v>4.2599999999999999E-2</v>
      </c>
      <c r="BT16" s="161">
        <v>4.5100000000000001E-2</v>
      </c>
      <c r="BU16" s="154">
        <v>3.8800000000000001E-2</v>
      </c>
      <c r="BV16" s="154">
        <v>2.7000000000000001E-3</v>
      </c>
      <c r="BW16" s="154"/>
      <c r="BX16" s="154"/>
      <c r="BY16" s="154">
        <v>1.1883508835760585E-2</v>
      </c>
      <c r="BZ16" s="154"/>
      <c r="CA16" s="154"/>
      <c r="CB16" s="154"/>
      <c r="CC16" s="154" t="s">
        <v>44</v>
      </c>
      <c r="CD16" s="154" t="s">
        <v>44</v>
      </c>
      <c r="CE16" s="154" t="s">
        <v>44</v>
      </c>
      <c r="CF16" s="154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99"/>
      <c r="DK16" s="99"/>
      <c r="DL16" s="99"/>
      <c r="DM16" s="99"/>
      <c r="DN16" s="99"/>
      <c r="DO16" s="99"/>
      <c r="DP16" s="99"/>
      <c r="DQ16" s="99"/>
      <c r="DR16" s="99"/>
      <c r="DS16" s="99"/>
      <c r="DT16" s="99"/>
      <c r="DU16" s="99"/>
      <c r="DV16" s="99"/>
      <c r="DW16" s="99"/>
      <c r="DX16" s="99"/>
      <c r="DY16" s="99"/>
      <c r="DZ16" s="99"/>
      <c r="EA16" s="99"/>
      <c r="EB16" s="99"/>
      <c r="EC16" s="99"/>
      <c r="ED16" s="99"/>
      <c r="EE16" s="99"/>
      <c r="EF16" s="99"/>
      <c r="EG16" s="99"/>
      <c r="EH16" s="99"/>
      <c r="EI16" s="99"/>
      <c r="EJ16" s="99"/>
      <c r="EK16" s="99"/>
      <c r="EL16" s="99"/>
      <c r="EM16" s="99"/>
      <c r="EN16" s="99"/>
      <c r="EO16" s="99"/>
      <c r="EP16" s="99"/>
      <c r="EQ16" s="99"/>
      <c r="ER16" s="99"/>
      <c r="ES16" s="99"/>
      <c r="ET16" s="99"/>
      <c r="EU16" s="99"/>
      <c r="EV16" s="99"/>
      <c r="EW16" s="99"/>
      <c r="EX16" s="99"/>
      <c r="EY16" s="99"/>
      <c r="EZ16" s="99"/>
      <c r="FA16" s="99"/>
      <c r="FB16" s="99"/>
      <c r="FC16" s="99"/>
      <c r="FD16" s="99"/>
    </row>
    <row r="17" spans="2:160" collapsed="1">
      <c r="B17" s="72" t="s">
        <v>37</v>
      </c>
      <c r="C17" s="85"/>
      <c r="D17" s="85"/>
      <c r="E17" s="85"/>
      <c r="F17" s="85"/>
      <c r="G17" s="98"/>
      <c r="H17" s="85"/>
      <c r="I17" s="85"/>
      <c r="J17" s="85"/>
      <c r="K17" s="85"/>
      <c r="L17" s="98"/>
      <c r="M17" s="85"/>
      <c r="N17" s="85"/>
      <c r="O17" s="85"/>
      <c r="P17" s="85"/>
      <c r="Q17" s="98"/>
      <c r="R17" s="85"/>
      <c r="S17" s="85"/>
      <c r="T17" s="85"/>
      <c r="U17" s="85"/>
      <c r="V17" s="86"/>
      <c r="W17" s="85"/>
      <c r="X17" s="85"/>
      <c r="Y17" s="85"/>
      <c r="Z17" s="85"/>
      <c r="AA17" s="86"/>
      <c r="AB17" s="85"/>
      <c r="AC17" s="85"/>
      <c r="AD17" s="85"/>
      <c r="AE17" s="85"/>
      <c r="AF17" s="86"/>
      <c r="AG17" s="85"/>
      <c r="AH17" s="85"/>
      <c r="AI17" s="85"/>
      <c r="AJ17" s="85"/>
      <c r="AK17" s="86"/>
      <c r="AL17" s="85"/>
      <c r="AM17" s="85"/>
      <c r="AN17" s="85"/>
      <c r="AO17" s="85"/>
      <c r="AP17" s="86"/>
      <c r="AQ17" s="85"/>
      <c r="AR17" s="85"/>
      <c r="AS17" s="85"/>
      <c r="AT17" s="85"/>
      <c r="AU17" s="86"/>
      <c r="AV17" s="85"/>
      <c r="AW17" s="85"/>
      <c r="AX17" s="85"/>
      <c r="AY17" s="85"/>
      <c r="AZ17" s="86"/>
      <c r="BA17" s="85"/>
      <c r="BB17" s="85"/>
      <c r="BC17" s="85"/>
      <c r="BD17" s="85"/>
      <c r="BE17" s="86"/>
      <c r="BF17" s="85"/>
      <c r="BG17" s="85"/>
      <c r="BH17" s="85"/>
      <c r="BI17" s="85"/>
      <c r="BJ17" s="86"/>
      <c r="BK17" s="85"/>
      <c r="BL17" s="85"/>
      <c r="BM17" s="85"/>
      <c r="BN17" s="154"/>
      <c r="BO17" s="161"/>
      <c r="BP17" s="154"/>
      <c r="BQ17" s="154"/>
      <c r="BR17" s="154"/>
      <c r="BS17" s="154"/>
      <c r="BT17" s="161"/>
      <c r="BU17" s="154"/>
      <c r="BV17" s="154"/>
      <c r="BW17" s="154"/>
      <c r="BX17" s="154">
        <v>0.12839999999999999</v>
      </c>
      <c r="BY17" s="154">
        <v>3.4067984403124411E-2</v>
      </c>
      <c r="BZ17" s="154">
        <v>0.15383890139384945</v>
      </c>
      <c r="CA17" s="154">
        <v>0.23755387278948739</v>
      </c>
      <c r="CB17" s="154">
        <v>0.21758588298178153</v>
      </c>
      <c r="CC17" s="154">
        <v>0.2470499301293595</v>
      </c>
      <c r="CD17" s="154">
        <v>0.24045919070360744</v>
      </c>
      <c r="CE17" s="154">
        <v>0.26137839093045545</v>
      </c>
      <c r="CF17" s="154">
        <v>0.26117852751091658</v>
      </c>
      <c r="CG17" s="251">
        <v>0.25721904866071743</v>
      </c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</row>
    <row r="18" spans="2:160">
      <c r="B18" s="72" t="str">
        <f>IF('Índice - Index'!$D$14="Português","Crédito","Credit")</f>
        <v>Crédito</v>
      </c>
      <c r="C18" s="85">
        <v>0.17913299999999999</v>
      </c>
      <c r="D18" s="85">
        <v>0.189891</v>
      </c>
      <c r="E18" s="85">
        <v>0.17919499999999999</v>
      </c>
      <c r="F18" s="85">
        <v>0.151644</v>
      </c>
      <c r="G18" s="98">
        <v>0.17191200000000001</v>
      </c>
      <c r="H18" s="85">
        <v>0.176842</v>
      </c>
      <c r="I18" s="85">
        <v>0.18949199999999999</v>
      </c>
      <c r="J18" s="85">
        <v>0.19123999999999999</v>
      </c>
      <c r="K18" s="85">
        <v>0.18809000000000001</v>
      </c>
      <c r="L18" s="98">
        <v>0.18720300000000001</v>
      </c>
      <c r="M18" s="85">
        <v>0.21351999999999999</v>
      </c>
      <c r="N18" s="85">
        <v>0.22150500000000001</v>
      </c>
      <c r="O18" s="85">
        <v>0.21751200000000001</v>
      </c>
      <c r="P18" s="85">
        <v>0.200933</v>
      </c>
      <c r="Q18" s="98">
        <v>0.21232200000000001</v>
      </c>
      <c r="R18" s="85">
        <v>0.218698</v>
      </c>
      <c r="S18" s="85">
        <v>0.211039</v>
      </c>
      <c r="T18" s="85">
        <v>0.2195</v>
      </c>
      <c r="U18" s="85">
        <v>0.207736</v>
      </c>
      <c r="V18" s="86">
        <v>0.213315</v>
      </c>
      <c r="W18" s="85">
        <v>0.22</v>
      </c>
      <c r="X18" s="85">
        <v>0.23007900000000001</v>
      </c>
      <c r="Y18" s="85">
        <v>0.22284300000000001</v>
      </c>
      <c r="Z18" s="85">
        <v>0.195406</v>
      </c>
      <c r="AA18" s="86">
        <v>0.21512300000000001</v>
      </c>
      <c r="AB18" s="85">
        <v>0.22622100000000001</v>
      </c>
      <c r="AC18" s="85">
        <v>0.23278499999999999</v>
      </c>
      <c r="AD18" s="85">
        <v>0.227961</v>
      </c>
      <c r="AE18" s="85">
        <v>0.20569000000000001</v>
      </c>
      <c r="AF18" s="86">
        <v>0.221441</v>
      </c>
      <c r="AG18" s="85">
        <v>0.235212</v>
      </c>
      <c r="AH18" s="85">
        <v>0.24854999999999999</v>
      </c>
      <c r="AI18" s="85">
        <v>0.25091400000000003</v>
      </c>
      <c r="AJ18" s="85">
        <v>0.2417</v>
      </c>
      <c r="AK18" s="86">
        <v>0.24277799999999999</v>
      </c>
      <c r="AL18" s="85">
        <v>0.239866</v>
      </c>
      <c r="AM18" s="85">
        <v>0.25276300000000002</v>
      </c>
      <c r="AN18" s="85">
        <v>0.23447799999999999</v>
      </c>
      <c r="AO18" s="85">
        <v>0.21373400000000001</v>
      </c>
      <c r="AP18" s="86">
        <v>0.23449999999999999</v>
      </c>
      <c r="AQ18" s="85">
        <v>0.23300000000000001</v>
      </c>
      <c r="AR18" s="85">
        <v>0.24182899999999999</v>
      </c>
      <c r="AS18" s="85">
        <v>0.2500484404175573</v>
      </c>
      <c r="AT18" s="85">
        <v>0.2324042730760163</v>
      </c>
      <c r="AU18" s="86">
        <v>0.23941221389417944</v>
      </c>
      <c r="AV18" s="85">
        <v>0.25775450552412038</v>
      </c>
      <c r="AW18" s="85">
        <v>0.25940060730159947</v>
      </c>
      <c r="AX18" s="85">
        <v>0.26855493509510625</v>
      </c>
      <c r="AY18" s="85">
        <v>0.25265567874061617</v>
      </c>
      <c r="AZ18" s="86">
        <v>0.25922389060182438</v>
      </c>
      <c r="BA18" s="85">
        <v>0.27525908976614299</v>
      </c>
      <c r="BB18" s="85">
        <v>0.2709903020368018</v>
      </c>
      <c r="BC18" s="85">
        <v>0.27516320720357074</v>
      </c>
      <c r="BD18" s="85">
        <v>0.25279254499460607</v>
      </c>
      <c r="BE18" s="86">
        <v>0.26721500755272848</v>
      </c>
      <c r="BF18" s="85">
        <v>0.26846961610753833</v>
      </c>
      <c r="BG18" s="85">
        <v>0.36638032203613485</v>
      </c>
      <c r="BH18" s="85">
        <v>0.30445050931846029</v>
      </c>
      <c r="BI18" s="85">
        <v>0.26862872500388024</v>
      </c>
      <c r="BJ18" s="86">
        <v>0.2874812192102813</v>
      </c>
      <c r="BK18" s="85">
        <v>0.30036157442155942</v>
      </c>
      <c r="BL18" s="125">
        <v>0.31664769904896017</v>
      </c>
      <c r="BM18" s="154">
        <v>0.33</v>
      </c>
      <c r="BN18" s="154">
        <v>0.33800000000000002</v>
      </c>
      <c r="BO18" s="161">
        <v>0.32400000000000001</v>
      </c>
      <c r="BP18" s="154">
        <v>0.3209540154508273</v>
      </c>
      <c r="BQ18" s="154">
        <v>0.32429514107921986</v>
      </c>
      <c r="BR18" s="154">
        <v>0.35107908423056011</v>
      </c>
      <c r="BS18" s="154">
        <v>0.31002706893113297</v>
      </c>
      <c r="BT18" s="161">
        <v>0.34251549371549622</v>
      </c>
      <c r="BU18" s="154">
        <v>0.38646824682761871</v>
      </c>
      <c r="BV18" s="154">
        <v>0.44095885042261335</v>
      </c>
      <c r="BW18" s="154">
        <v>0.398767259691305</v>
      </c>
      <c r="BX18" s="154">
        <v>0.37320000000000009</v>
      </c>
      <c r="BY18" s="154">
        <v>0.40107844418408128</v>
      </c>
      <c r="BZ18" s="154">
        <v>0.42966298683744869</v>
      </c>
      <c r="CA18" s="154">
        <v>0.40378531450451205</v>
      </c>
      <c r="CB18" s="154">
        <v>0.38098681868279588</v>
      </c>
      <c r="CC18" s="154">
        <v>0.3490425099082573</v>
      </c>
      <c r="CD18" s="154">
        <v>0.35559986933892773</v>
      </c>
      <c r="CE18" s="154">
        <v>0.34840523136304208</v>
      </c>
      <c r="CF18" s="154">
        <v>0.37190941824347395</v>
      </c>
      <c r="CG18" s="251">
        <v>0.3293469346860885</v>
      </c>
      <c r="CH18" s="99"/>
      <c r="CI18" s="99"/>
      <c r="CJ18" s="99"/>
      <c r="CK18" s="99"/>
      <c r="CL18" s="99"/>
      <c r="CM18" s="99"/>
      <c r="CN18" s="99"/>
      <c r="CO18" s="99"/>
      <c r="CP18" s="99"/>
      <c r="CQ18" s="99"/>
      <c r="CR18" s="99"/>
      <c r="CS18" s="99"/>
      <c r="CT18" s="99"/>
      <c r="CU18" s="99"/>
      <c r="CV18" s="99"/>
      <c r="CW18" s="99"/>
      <c r="CX18" s="99"/>
      <c r="CY18" s="99"/>
      <c r="CZ18" s="99"/>
      <c r="DA18" s="99"/>
      <c r="DB18" s="99"/>
      <c r="DC18" s="99"/>
      <c r="DD18" s="99"/>
      <c r="DE18" s="99"/>
      <c r="DF18" s="99"/>
      <c r="DG18" s="99"/>
      <c r="DH18" s="99"/>
      <c r="DI18" s="99"/>
      <c r="DJ18" s="99"/>
      <c r="DK18" s="99"/>
      <c r="DL18" s="99"/>
      <c r="DM18" s="99"/>
      <c r="DN18" s="99"/>
      <c r="DO18" s="99"/>
      <c r="DP18" s="99"/>
      <c r="DQ18" s="99"/>
      <c r="DR18" s="99"/>
      <c r="DS18" s="99"/>
      <c r="DT18" s="99"/>
      <c r="DU18" s="99"/>
      <c r="DV18" s="99"/>
      <c r="DW18" s="99"/>
      <c r="DX18" s="99"/>
      <c r="DY18" s="99"/>
      <c r="DZ18" s="99"/>
      <c r="EA18" s="99"/>
      <c r="EB18" s="99"/>
      <c r="EC18" s="99"/>
      <c r="ED18" s="99"/>
      <c r="EE18" s="99"/>
      <c r="EF18" s="99"/>
      <c r="EG18" s="99"/>
      <c r="EH18" s="99"/>
      <c r="EI18" s="99"/>
      <c r="EJ18" s="99"/>
      <c r="EK18" s="99"/>
      <c r="EL18" s="99"/>
      <c r="EM18" s="99"/>
      <c r="EN18" s="99"/>
      <c r="EO18" s="99"/>
      <c r="EP18" s="99"/>
      <c r="EQ18" s="99"/>
      <c r="ER18" s="99"/>
      <c r="ES18" s="99"/>
      <c r="ET18" s="99"/>
      <c r="EU18" s="99"/>
      <c r="EV18" s="99"/>
      <c r="EW18" s="99"/>
      <c r="EX18" s="99"/>
      <c r="EY18" s="99"/>
      <c r="EZ18" s="99"/>
      <c r="FA18" s="99"/>
      <c r="FB18" s="99"/>
      <c r="FC18" s="99"/>
      <c r="FD18" s="99"/>
    </row>
    <row r="19" spans="2:160">
      <c r="B19" s="72" t="str">
        <f>IF('Índice - Index'!$D$14="Português","Débito","Debit")</f>
        <v>Débito</v>
      </c>
      <c r="C19" s="85">
        <v>0.120229</v>
      </c>
      <c r="D19" s="85">
        <v>0.108793</v>
      </c>
      <c r="E19" s="85">
        <v>0.10824300000000001</v>
      </c>
      <c r="F19" s="85">
        <v>0.106803</v>
      </c>
      <c r="G19" s="98">
        <v>0.109874</v>
      </c>
      <c r="H19" s="85">
        <v>0.120849</v>
      </c>
      <c r="I19" s="85">
        <v>0.11395</v>
      </c>
      <c r="J19" s="85">
        <v>0.118019</v>
      </c>
      <c r="K19" s="85">
        <v>0.125358</v>
      </c>
      <c r="L19" s="98">
        <v>0.120105</v>
      </c>
      <c r="M19" s="85">
        <v>0.13844699999999999</v>
      </c>
      <c r="N19" s="85">
        <v>0.124972</v>
      </c>
      <c r="O19" s="85">
        <v>0.134635</v>
      </c>
      <c r="P19" s="85">
        <v>0.14146600000000001</v>
      </c>
      <c r="Q19" s="98">
        <v>0.13512299999999999</v>
      </c>
      <c r="R19" s="85">
        <v>0.14655399999999999</v>
      </c>
      <c r="S19" s="85">
        <v>0.122472</v>
      </c>
      <c r="T19" s="85">
        <v>0.13244</v>
      </c>
      <c r="U19" s="85">
        <v>0.14221300000000001</v>
      </c>
      <c r="V19" s="86">
        <v>0.13569500000000001</v>
      </c>
      <c r="W19" s="85">
        <v>0.14199999999999999</v>
      </c>
      <c r="X19" s="85">
        <v>0.13539100000000001</v>
      </c>
      <c r="Y19" s="85">
        <v>0.142843</v>
      </c>
      <c r="Z19" s="85">
        <v>0.13660800000000001</v>
      </c>
      <c r="AA19" s="86">
        <v>0.140261</v>
      </c>
      <c r="AB19" s="85">
        <v>0.15345300000000001</v>
      </c>
      <c r="AC19" s="85">
        <v>0.138738</v>
      </c>
      <c r="AD19" s="85">
        <v>0.14577699999999999</v>
      </c>
      <c r="AE19" s="85">
        <v>0.15345900000000001</v>
      </c>
      <c r="AF19" s="86">
        <v>0.14807300000000001</v>
      </c>
      <c r="AG19" s="85">
        <v>0.16500000000000001</v>
      </c>
      <c r="AH19" s="85">
        <v>0.15119299999999999</v>
      </c>
      <c r="AI19" s="85">
        <v>0.15870100000000001</v>
      </c>
      <c r="AJ19" s="85">
        <v>0.16500000000000001</v>
      </c>
      <c r="AK19" s="86">
        <v>0.161134</v>
      </c>
      <c r="AL19" s="85">
        <v>0.16692699999999999</v>
      </c>
      <c r="AM19" s="85">
        <v>0.154169</v>
      </c>
      <c r="AN19" s="85">
        <v>0.15523600000000001</v>
      </c>
      <c r="AO19" s="85">
        <v>0.16489799999999999</v>
      </c>
      <c r="AP19" s="86">
        <v>0.16023499999999999</v>
      </c>
      <c r="AQ19" s="85">
        <v>0.16</v>
      </c>
      <c r="AR19" s="85">
        <v>0.16527500000000001</v>
      </c>
      <c r="AS19" s="85">
        <v>0.16912928437004776</v>
      </c>
      <c r="AT19" s="85">
        <v>0.17451511808081338</v>
      </c>
      <c r="AU19" s="86">
        <v>0.17080554668400952</v>
      </c>
      <c r="AV19" s="85">
        <v>0.17417754837249036</v>
      </c>
      <c r="AW19" s="85">
        <v>0.16359237649379499</v>
      </c>
      <c r="AX19" s="85">
        <v>0.17598129841251947</v>
      </c>
      <c r="AY19" s="85">
        <v>0.18295349920520873</v>
      </c>
      <c r="AZ19" s="86">
        <v>0.17478075480466279</v>
      </c>
      <c r="BA19" s="85">
        <v>0.18582261854387258</v>
      </c>
      <c r="BB19" s="85">
        <v>0.17033478867206395</v>
      </c>
      <c r="BC19" s="85">
        <v>0.18037189888835806</v>
      </c>
      <c r="BD19" s="85">
        <v>0.19198812817823196</v>
      </c>
      <c r="BE19" s="86">
        <v>0.18271433658422939</v>
      </c>
      <c r="BF19" s="85">
        <v>0.19664717196981524</v>
      </c>
      <c r="BG19" s="85">
        <v>0.20133557265177715</v>
      </c>
      <c r="BH19" s="85">
        <v>0.20580361433166064</v>
      </c>
      <c r="BI19" s="85">
        <v>0.21614612553881443</v>
      </c>
      <c r="BJ19" s="86">
        <v>0.20737296082317833</v>
      </c>
      <c r="BK19" s="85">
        <v>0.20093372947810245</v>
      </c>
      <c r="BL19" s="125">
        <v>0.17582826189113313</v>
      </c>
      <c r="BM19" s="154">
        <v>0.18421988838445424</v>
      </c>
      <c r="BN19" s="154">
        <v>0.19287054508587106</v>
      </c>
      <c r="BO19" s="161">
        <v>0.18568282434268515</v>
      </c>
      <c r="BP19" s="154">
        <v>0.20662127942962927</v>
      </c>
      <c r="BQ19" s="154">
        <v>0.1909493906231928</v>
      </c>
      <c r="BR19" s="154">
        <v>0.19685364434012648</v>
      </c>
      <c r="BS19" s="154">
        <v>0.21350543728142349</v>
      </c>
      <c r="BT19" s="161">
        <v>0.19966160193537255</v>
      </c>
      <c r="BU19" s="154">
        <v>0.21317515749950766</v>
      </c>
      <c r="BV19" s="154">
        <v>0.20795172163094114</v>
      </c>
      <c r="BW19" s="154">
        <v>0.22317627553262145</v>
      </c>
      <c r="BX19" s="154">
        <v>0.24979999999999999</v>
      </c>
      <c r="BY19" s="154">
        <v>0.22283629573091954</v>
      </c>
      <c r="BZ19" s="154">
        <v>0.22029348022499151</v>
      </c>
      <c r="CA19" s="154">
        <v>0.2082558498910512</v>
      </c>
      <c r="CB19" s="154">
        <v>0.20465455633568366</v>
      </c>
      <c r="CC19" s="154">
        <v>0.21992194702995602</v>
      </c>
      <c r="CD19" s="154">
        <v>0.21016191250194097</v>
      </c>
      <c r="CE19" s="154">
        <v>0.19344143932290536</v>
      </c>
      <c r="CF19" s="154">
        <v>0.19621845770615573</v>
      </c>
      <c r="CG19" s="251">
        <v>0.21244178732475283</v>
      </c>
      <c r="CH19" s="99"/>
      <c r="CI19" s="99"/>
      <c r="CJ19" s="99"/>
      <c r="CK19" s="99"/>
      <c r="CL19" s="99"/>
      <c r="CM19" s="99"/>
      <c r="CN19" s="99"/>
      <c r="CO19" s="99"/>
      <c r="CP19" s="99"/>
      <c r="CQ19" s="99"/>
      <c r="CR19" s="99"/>
      <c r="CS19" s="99"/>
      <c r="CT19" s="99"/>
      <c r="CU19" s="99"/>
      <c r="CV19" s="99"/>
      <c r="CW19" s="99"/>
      <c r="CX19" s="99"/>
      <c r="CY19" s="99"/>
      <c r="CZ19" s="99"/>
      <c r="DA19" s="99"/>
      <c r="DB19" s="99"/>
      <c r="DC19" s="99"/>
      <c r="DD19" s="99"/>
      <c r="DE19" s="99"/>
      <c r="DF19" s="99"/>
      <c r="DG19" s="99"/>
      <c r="DH19" s="99"/>
      <c r="DI19" s="99"/>
      <c r="DJ19" s="99"/>
      <c r="DK19" s="99"/>
      <c r="DL19" s="99"/>
      <c r="DM19" s="99"/>
      <c r="DN19" s="99"/>
      <c r="DO19" s="99"/>
      <c r="DP19" s="99"/>
      <c r="DQ19" s="99"/>
      <c r="DR19" s="99"/>
      <c r="DS19" s="99"/>
      <c r="DT19" s="99"/>
      <c r="DU19" s="99"/>
      <c r="DV19" s="99"/>
      <c r="DW19" s="99"/>
      <c r="DX19" s="99"/>
      <c r="DY19" s="99"/>
      <c r="DZ19" s="99"/>
      <c r="EA19" s="99"/>
      <c r="EB19" s="99"/>
      <c r="EC19" s="99"/>
      <c r="ED19" s="99"/>
      <c r="EE19" s="99"/>
      <c r="EF19" s="99"/>
      <c r="EG19" s="99"/>
      <c r="EH19" s="99"/>
      <c r="EI19" s="99"/>
      <c r="EJ19" s="99"/>
      <c r="EK19" s="99"/>
      <c r="EL19" s="99"/>
      <c r="EM19" s="99"/>
      <c r="EN19" s="99"/>
      <c r="EO19" s="99"/>
      <c r="EP19" s="99"/>
      <c r="EQ19" s="99"/>
      <c r="ER19" s="99"/>
      <c r="ES19" s="99"/>
      <c r="ET19" s="99"/>
      <c r="EU19" s="99"/>
      <c r="EV19" s="99"/>
      <c r="EW19" s="99"/>
      <c r="EX19" s="99"/>
      <c r="EY19" s="99"/>
      <c r="EZ19" s="99"/>
      <c r="FA19" s="99"/>
      <c r="FB19" s="99"/>
      <c r="FC19" s="99"/>
      <c r="FD19" s="99"/>
    </row>
    <row r="20" spans="2:160">
      <c r="B20" s="72" t="str">
        <f>IF('Índice - Index'!$D$14="Português","Dinheiro","Cash")</f>
        <v>Dinheiro</v>
      </c>
      <c r="C20" s="85">
        <v>0.1953</v>
      </c>
      <c r="D20" s="85">
        <v>0.162465</v>
      </c>
      <c r="E20" s="85">
        <v>0.174791</v>
      </c>
      <c r="F20" s="85">
        <v>0.175729</v>
      </c>
      <c r="G20" s="98">
        <v>0.175567</v>
      </c>
      <c r="H20" s="85">
        <v>0.18620500000000001</v>
      </c>
      <c r="I20" s="85">
        <v>0.16328599999999999</v>
      </c>
      <c r="J20" s="85">
        <v>0.17851</v>
      </c>
      <c r="K20" s="85">
        <v>0.18907099999999999</v>
      </c>
      <c r="L20" s="98">
        <v>0.17988799999999999</v>
      </c>
      <c r="M20" s="85">
        <v>0.189359</v>
      </c>
      <c r="N20" s="85">
        <v>0.16450899999999999</v>
      </c>
      <c r="O20" s="85">
        <v>0.17691000000000001</v>
      </c>
      <c r="P20" s="85">
        <v>0.203928</v>
      </c>
      <c r="Q20" s="98">
        <v>0.18490899999999999</v>
      </c>
      <c r="R20" s="85">
        <v>0.19334799999999999</v>
      </c>
      <c r="S20" s="85">
        <v>0.17627599999999999</v>
      </c>
      <c r="T20" s="85">
        <v>0.171843</v>
      </c>
      <c r="U20" s="85">
        <v>0.189444</v>
      </c>
      <c r="V20" s="86">
        <v>0.18174799999999999</v>
      </c>
      <c r="W20" s="85">
        <v>0.19570000000000001</v>
      </c>
      <c r="X20" s="85">
        <v>0.168046</v>
      </c>
      <c r="Y20" s="85">
        <v>0.17411499999999999</v>
      </c>
      <c r="Z20" s="85">
        <v>0.17174400000000001</v>
      </c>
      <c r="AA20" s="86">
        <v>0.17452799999999999</v>
      </c>
      <c r="AB20" s="85">
        <v>0.17655199999999999</v>
      </c>
      <c r="AC20" s="85">
        <v>0.15845699999999999</v>
      </c>
      <c r="AD20" s="85">
        <v>0.17615600000000001</v>
      </c>
      <c r="AE20" s="85">
        <v>0.19423799999999999</v>
      </c>
      <c r="AF20" s="86">
        <v>0.17788100000000001</v>
      </c>
      <c r="AG20" s="85">
        <v>0.200433</v>
      </c>
      <c r="AH20" s="85">
        <v>0.18509600000000001</v>
      </c>
      <c r="AI20" s="85">
        <v>0.17960599999999999</v>
      </c>
      <c r="AJ20" s="85">
        <v>0.193133</v>
      </c>
      <c r="AK20" s="86">
        <v>0.191556</v>
      </c>
      <c r="AL20" s="85">
        <v>0.174872</v>
      </c>
      <c r="AM20" s="85">
        <v>0.151283</v>
      </c>
      <c r="AN20" s="85">
        <v>0.15563399999999999</v>
      </c>
      <c r="AO20" s="85">
        <v>0.16630500000000001</v>
      </c>
      <c r="AP20" s="86">
        <v>0.16224</v>
      </c>
      <c r="AQ20" s="85">
        <v>0.17499999999999999</v>
      </c>
      <c r="AR20" s="85">
        <v>0.144675</v>
      </c>
      <c r="AS20" s="85">
        <v>0.14406214063456882</v>
      </c>
      <c r="AT20" s="85">
        <v>0.16716383955740416</v>
      </c>
      <c r="AU20" s="86">
        <v>0.15444882725599438</v>
      </c>
      <c r="AV20" s="85">
        <v>0.15559179941744911</v>
      </c>
      <c r="AW20" s="85">
        <v>0.13324426221092336</v>
      </c>
      <c r="AX20" s="85">
        <v>0.14674453170588456</v>
      </c>
      <c r="AY20" s="85">
        <v>0.15123297897182508</v>
      </c>
      <c r="AZ20" s="86">
        <v>0.14668291492321414</v>
      </c>
      <c r="BA20" s="85">
        <v>0.14104480323286442</v>
      </c>
      <c r="BB20" s="85">
        <v>0.12410603713535771</v>
      </c>
      <c r="BC20" s="85">
        <v>0.13002997570528993</v>
      </c>
      <c r="BD20" s="85">
        <v>0.14151673111790619</v>
      </c>
      <c r="BE20" s="86">
        <v>0.13448036929973392</v>
      </c>
      <c r="BF20" s="85">
        <v>0.13742951628434497</v>
      </c>
      <c r="BG20" s="85">
        <v>8.7365741492445942E-2</v>
      </c>
      <c r="BH20" s="85">
        <v>0.1094527567834828</v>
      </c>
      <c r="BI20" s="85">
        <v>0.1297172204769142</v>
      </c>
      <c r="BJ20" s="86">
        <v>0.12198962092524002</v>
      </c>
      <c r="BK20" s="85">
        <v>9.4522753999318671E-2</v>
      </c>
      <c r="BL20" s="125">
        <v>9.1524039059906706E-2</v>
      </c>
      <c r="BM20" s="154">
        <v>8.2004389276488274E-2</v>
      </c>
      <c r="BN20" s="154">
        <v>7.7114311054092707E-2</v>
      </c>
      <c r="BO20" s="161">
        <v>8.8945496875870209E-2</v>
      </c>
      <c r="BP20" s="154">
        <v>7.2524868463031036E-2</v>
      </c>
      <c r="BQ20" s="154">
        <v>9.0125486592757514E-2</v>
      </c>
      <c r="BR20" s="154">
        <v>7.0199578863281098E-2</v>
      </c>
      <c r="BS20" s="154">
        <v>9.8567510972377356E-2</v>
      </c>
      <c r="BT20" s="161">
        <v>7.3674937061238885E-2</v>
      </c>
      <c r="BU20" s="154">
        <v>5.1171584119338087E-2</v>
      </c>
      <c r="BV20" s="154">
        <v>5.5353789819218534E-2</v>
      </c>
      <c r="BW20" s="154">
        <v>0.11631124153033114</v>
      </c>
      <c r="BX20" s="154">
        <v>8.0699999999999994E-2</v>
      </c>
      <c r="BY20" s="154">
        <v>7.0053323935441572E-2</v>
      </c>
      <c r="BZ20" s="154">
        <v>0.1241459264152092</v>
      </c>
      <c r="CA20" s="154">
        <v>7.3728834899561294E-2</v>
      </c>
      <c r="CB20" s="154">
        <v>7.1175891281812523E-2</v>
      </c>
      <c r="CC20" s="154">
        <v>7.7808166241546059E-2</v>
      </c>
      <c r="CD20" s="154">
        <v>8.0333731821576965E-2</v>
      </c>
      <c r="CE20" s="154">
        <v>6.7462317154364251E-2</v>
      </c>
      <c r="CF20" s="154">
        <v>6.8978680133136683E-2</v>
      </c>
      <c r="CG20" s="251">
        <v>7.1381135724278788E-2</v>
      </c>
      <c r="CH20" s="99"/>
      <c r="CI20" s="99"/>
      <c r="CJ20" s="99"/>
      <c r="CK20" s="99"/>
      <c r="CL20" s="99"/>
      <c r="CM20" s="99"/>
      <c r="CN20" s="99"/>
      <c r="CO20" s="99"/>
      <c r="CP20" s="99"/>
      <c r="CQ20" s="99"/>
      <c r="CR20" s="99"/>
      <c r="CS20" s="99"/>
      <c r="CT20" s="99"/>
      <c r="CU20" s="99"/>
      <c r="CV20" s="99"/>
      <c r="CW20" s="99"/>
      <c r="CX20" s="99"/>
      <c r="CY20" s="99"/>
      <c r="CZ20" s="99"/>
      <c r="DA20" s="99"/>
      <c r="DB20" s="99"/>
      <c r="DC20" s="99"/>
      <c r="DD20" s="99"/>
      <c r="DE20" s="99"/>
      <c r="DF20" s="99"/>
      <c r="DG20" s="99"/>
      <c r="DH20" s="99"/>
      <c r="DI20" s="99"/>
      <c r="DJ20" s="99"/>
      <c r="DK20" s="99"/>
      <c r="DL20" s="99"/>
      <c r="DM20" s="99"/>
      <c r="DN20" s="99"/>
      <c r="DO20" s="99"/>
      <c r="DP20" s="99"/>
      <c r="DQ20" s="99"/>
      <c r="DR20" s="99"/>
      <c r="DS20" s="99"/>
      <c r="DT20" s="99"/>
      <c r="DU20" s="99"/>
      <c r="DV20" s="99"/>
      <c r="DW20" s="99"/>
      <c r="DX20" s="99"/>
      <c r="DY20" s="99"/>
      <c r="DZ20" s="99"/>
      <c r="EA20" s="99"/>
      <c r="EB20" s="99"/>
      <c r="EC20" s="99"/>
      <c r="ED20" s="99"/>
      <c r="EE20" s="99"/>
      <c r="EF20" s="99"/>
      <c r="EG20" s="99"/>
      <c r="EH20" s="99"/>
      <c r="EI20" s="99"/>
      <c r="EJ20" s="99"/>
      <c r="EK20" s="99"/>
      <c r="EL20" s="99"/>
      <c r="EM20" s="99"/>
      <c r="EN20" s="99"/>
      <c r="EO20" s="99"/>
      <c r="EP20" s="99"/>
      <c r="EQ20" s="99"/>
      <c r="ER20" s="99"/>
      <c r="ES20" s="99"/>
      <c r="ET20" s="99"/>
      <c r="EU20" s="99"/>
      <c r="EV20" s="99"/>
      <c r="EW20" s="99"/>
      <c r="EX20" s="99"/>
      <c r="EY20" s="99"/>
      <c r="EZ20" s="99"/>
      <c r="FA20" s="99"/>
      <c r="FB20" s="99"/>
      <c r="FC20" s="99"/>
      <c r="FD20" s="99"/>
    </row>
    <row r="21" spans="2:160">
      <c r="B21" s="72" t="s">
        <v>36</v>
      </c>
      <c r="C21" s="85"/>
      <c r="D21" s="85"/>
      <c r="E21" s="85"/>
      <c r="F21" s="85"/>
      <c r="G21" s="98"/>
      <c r="H21" s="85"/>
      <c r="I21" s="85"/>
      <c r="J21" s="85"/>
      <c r="K21" s="85"/>
      <c r="L21" s="98"/>
      <c r="M21" s="85"/>
      <c r="N21" s="85"/>
      <c r="O21" s="85"/>
      <c r="P21" s="85"/>
      <c r="Q21" s="98"/>
      <c r="R21" s="85"/>
      <c r="S21" s="85"/>
      <c r="T21" s="85"/>
      <c r="U21" s="85"/>
      <c r="V21" s="86"/>
      <c r="W21" s="85"/>
      <c r="X21" s="85"/>
      <c r="Y21" s="85"/>
      <c r="Z21" s="85"/>
      <c r="AA21" s="86"/>
      <c r="AB21" s="85"/>
      <c r="AC21" s="85"/>
      <c r="AD21" s="85"/>
      <c r="AE21" s="85"/>
      <c r="AF21" s="86"/>
      <c r="AG21" s="85"/>
      <c r="AH21" s="85"/>
      <c r="AI21" s="85"/>
      <c r="AJ21" s="85"/>
      <c r="AK21" s="86"/>
      <c r="AL21" s="85"/>
      <c r="AM21" s="85"/>
      <c r="AN21" s="85"/>
      <c r="AO21" s="85"/>
      <c r="AP21" s="86"/>
      <c r="AQ21" s="85"/>
      <c r="AR21" s="85"/>
      <c r="AS21" s="85"/>
      <c r="AT21" s="85"/>
      <c r="AU21" s="86"/>
      <c r="AV21" s="85"/>
      <c r="AW21" s="85"/>
      <c r="AX21" s="85"/>
      <c r="AY21" s="85"/>
      <c r="AZ21" s="86"/>
      <c r="BA21" s="85"/>
      <c r="BB21" s="85"/>
      <c r="BC21" s="85"/>
      <c r="BD21" s="85"/>
      <c r="BE21" s="86"/>
      <c r="BF21" s="85"/>
      <c r="BG21" s="85"/>
      <c r="BH21" s="85"/>
      <c r="BI21" s="85"/>
      <c r="BJ21" s="86"/>
      <c r="BK21" s="85"/>
      <c r="BL21" s="125">
        <v>2.4016858664783517E-7</v>
      </c>
      <c r="BM21" s="154">
        <v>1.3320518280180842E-4</v>
      </c>
      <c r="BN21" s="154">
        <v>6.5015189052489613E-3</v>
      </c>
      <c r="BO21" s="161">
        <v>2.2941287758329746E-3</v>
      </c>
      <c r="BP21" s="154">
        <v>1.1313547017852017E-2</v>
      </c>
      <c r="BQ21" s="154">
        <v>1.3158916540497275E-2</v>
      </c>
      <c r="BR21" s="154">
        <v>1.5825293151170945E-2</v>
      </c>
      <c r="BS21" s="154">
        <v>2.1999982815066207E-2</v>
      </c>
      <c r="BT21" s="161">
        <v>1.6042691258418267E-2</v>
      </c>
      <c r="BU21" s="154">
        <v>2.3785011553535657E-2</v>
      </c>
      <c r="BV21" s="154">
        <v>2.9435638127226958E-2</v>
      </c>
      <c r="BW21" s="154">
        <v>3.7794398424568977E-2</v>
      </c>
      <c r="BX21" s="154">
        <v>4.87E-2</v>
      </c>
      <c r="BY21" s="154">
        <v>3.4191046532113037E-2</v>
      </c>
      <c r="BZ21" s="154">
        <v>6.4816480820872838E-2</v>
      </c>
      <c r="CA21" s="154">
        <v>7.6676127915388068E-2</v>
      </c>
      <c r="CB21" s="154">
        <v>7.3568635550875242E-2</v>
      </c>
      <c r="CC21" s="154">
        <v>8.1896300227063748E-2</v>
      </c>
      <c r="CD21" s="154">
        <v>9.2989319884587376E-2</v>
      </c>
      <c r="CE21" s="154">
        <v>9.3281652392168568E-2</v>
      </c>
      <c r="CF21" s="154">
        <v>0.10151596247733846</v>
      </c>
      <c r="CG21" s="251">
        <v>9.3274228145284632E-2</v>
      </c>
      <c r="CH21" s="99"/>
      <c r="CI21" s="99"/>
      <c r="CJ21" s="99"/>
      <c r="CK21" s="99"/>
      <c r="CL21" s="99"/>
      <c r="CM21" s="99"/>
      <c r="CN21" s="99"/>
      <c r="CO21" s="99"/>
      <c r="CP21" s="99"/>
      <c r="CQ21" s="99"/>
      <c r="CR21" s="99"/>
      <c r="CS21" s="99"/>
      <c r="CT21" s="99"/>
      <c r="CU21" s="99"/>
      <c r="CV21" s="99"/>
      <c r="CW21" s="99"/>
      <c r="CX21" s="99"/>
      <c r="CY21" s="99"/>
      <c r="CZ21" s="99"/>
      <c r="DA21" s="99"/>
      <c r="DB21" s="99"/>
      <c r="DC21" s="99"/>
      <c r="DD21" s="99"/>
      <c r="DE21" s="99"/>
      <c r="DF21" s="99"/>
      <c r="DG21" s="99"/>
      <c r="DH21" s="99"/>
      <c r="DI21" s="99"/>
      <c r="DJ21" s="99"/>
      <c r="DK21" s="99"/>
      <c r="DL21" s="99"/>
      <c r="DM21" s="99"/>
      <c r="DN21" s="99"/>
      <c r="DO21" s="99"/>
      <c r="DP21" s="99"/>
      <c r="DQ21" s="99"/>
      <c r="DR21" s="99"/>
      <c r="DS21" s="99"/>
      <c r="DT21" s="99"/>
      <c r="DU21" s="99"/>
      <c r="DV21" s="99"/>
      <c r="DW21" s="99"/>
      <c r="DX21" s="99"/>
      <c r="DY21" s="99"/>
      <c r="DZ21" s="99"/>
      <c r="EA21" s="99"/>
      <c r="EB21" s="99"/>
      <c r="EC21" s="99"/>
      <c r="ED21" s="99"/>
      <c r="EE21" s="99"/>
      <c r="EF21" s="99"/>
      <c r="EG21" s="99"/>
      <c r="EH21" s="99"/>
      <c r="EI21" s="99"/>
      <c r="EJ21" s="99"/>
      <c r="EK21" s="99"/>
      <c r="EL21" s="99"/>
      <c r="EM21" s="99"/>
      <c r="EN21" s="99"/>
      <c r="EO21" s="99"/>
      <c r="EP21" s="99"/>
      <c r="EQ21" s="99"/>
      <c r="ER21" s="99"/>
      <c r="ES21" s="99"/>
      <c r="ET21" s="99"/>
      <c r="EU21" s="99"/>
      <c r="EV21" s="99"/>
      <c r="EW21" s="99"/>
      <c r="EX21" s="99"/>
      <c r="EY21" s="99"/>
      <c r="EZ21" s="99"/>
      <c r="FA21" s="99"/>
      <c r="FB21" s="99"/>
      <c r="FC21" s="99"/>
      <c r="FD21" s="99"/>
    </row>
    <row r="22" spans="2:160">
      <c r="B22" s="72" t="s">
        <v>40</v>
      </c>
      <c r="C22" s="85"/>
      <c r="D22" s="85"/>
      <c r="E22" s="85"/>
      <c r="F22" s="85"/>
      <c r="G22" s="98"/>
      <c r="H22" s="85"/>
      <c r="I22" s="85"/>
      <c r="J22" s="85"/>
      <c r="K22" s="85"/>
      <c r="L22" s="98"/>
      <c r="M22" s="85"/>
      <c r="N22" s="85"/>
      <c r="O22" s="85"/>
      <c r="P22" s="85"/>
      <c r="Q22" s="98"/>
      <c r="R22" s="85"/>
      <c r="S22" s="85"/>
      <c r="T22" s="85"/>
      <c r="U22" s="85"/>
      <c r="V22" s="86"/>
      <c r="W22" s="85"/>
      <c r="X22" s="85"/>
      <c r="Y22" s="85"/>
      <c r="Z22" s="85"/>
      <c r="AA22" s="86"/>
      <c r="AB22" s="85"/>
      <c r="AC22" s="85"/>
      <c r="AD22" s="85"/>
      <c r="AE22" s="85"/>
      <c r="AF22" s="86"/>
      <c r="AG22" s="85"/>
      <c r="AH22" s="85"/>
      <c r="AI22" s="85"/>
      <c r="AJ22" s="85"/>
      <c r="AK22" s="86"/>
      <c r="AL22" s="85"/>
      <c r="AM22" s="85"/>
      <c r="AN22" s="85"/>
      <c r="AO22" s="85"/>
      <c r="AP22" s="86"/>
      <c r="AQ22" s="85"/>
      <c r="AR22" s="85"/>
      <c r="AS22" s="85"/>
      <c r="AT22" s="85"/>
      <c r="AU22" s="86"/>
      <c r="AV22" s="85"/>
      <c r="AW22" s="85"/>
      <c r="AX22" s="85"/>
      <c r="AY22" s="85"/>
      <c r="AZ22" s="86"/>
      <c r="BA22" s="85"/>
      <c r="BB22" s="85"/>
      <c r="BC22" s="85"/>
      <c r="BD22" s="85"/>
      <c r="BE22" s="86"/>
      <c r="BF22" s="85"/>
      <c r="BG22" s="85"/>
      <c r="BH22" s="85"/>
      <c r="BI22" s="85"/>
      <c r="BJ22" s="86"/>
      <c r="BK22" s="85"/>
      <c r="BL22" s="125"/>
      <c r="BM22" s="154"/>
      <c r="BN22" s="154"/>
      <c r="BO22" s="161"/>
      <c r="BP22" s="154"/>
      <c r="BQ22" s="154"/>
      <c r="BR22" s="154"/>
      <c r="BS22" s="154"/>
      <c r="BT22" s="161"/>
      <c r="BU22" s="154"/>
      <c r="BV22" s="154"/>
      <c r="BW22" s="154"/>
      <c r="BX22" s="154"/>
      <c r="BY22" s="154"/>
      <c r="BZ22" s="154"/>
      <c r="CA22" s="154"/>
      <c r="CB22" s="154">
        <v>5.2028215167051139E-2</v>
      </c>
      <c r="CC22" s="154">
        <v>2.4281146463817304E-2</v>
      </c>
      <c r="CD22" s="154">
        <v>2.0455975749359548E-2</v>
      </c>
      <c r="CE22" s="154">
        <v>3.6030968837064352E-2</v>
      </c>
      <c r="CF22" s="154">
        <v>2.0000000000000001E-4</v>
      </c>
      <c r="CG22" s="251">
        <v>3.6336865458877654E-2</v>
      </c>
      <c r="CH22" s="99"/>
      <c r="CI22" s="99"/>
      <c r="CJ22" s="99"/>
      <c r="CK22" s="99"/>
      <c r="CL22" s="99"/>
      <c r="CM22" s="99"/>
      <c r="CN22" s="99"/>
      <c r="CO22" s="99"/>
      <c r="CP22" s="99"/>
      <c r="CQ22" s="99"/>
      <c r="CR22" s="99"/>
      <c r="CS22" s="99"/>
      <c r="CT22" s="99"/>
      <c r="CU22" s="99"/>
      <c r="CV22" s="99"/>
      <c r="CW22" s="99"/>
      <c r="CX22" s="99"/>
      <c r="CY22" s="99"/>
      <c r="CZ22" s="99"/>
      <c r="DA22" s="99"/>
      <c r="DB22" s="99"/>
      <c r="DC22" s="99"/>
      <c r="DD22" s="99"/>
      <c r="DE22" s="99"/>
      <c r="DF22" s="99"/>
      <c r="DG22" s="99"/>
      <c r="DH22" s="99"/>
      <c r="DI22" s="99"/>
      <c r="DJ22" s="99"/>
      <c r="DK22" s="99"/>
      <c r="DL22" s="99"/>
      <c r="DM22" s="99"/>
      <c r="DN22" s="99"/>
      <c r="DO22" s="99"/>
      <c r="DP22" s="99"/>
      <c r="DQ22" s="99"/>
      <c r="DR22" s="99"/>
      <c r="DS22" s="99"/>
      <c r="DT22" s="99"/>
      <c r="DU22" s="99"/>
      <c r="DV22" s="99"/>
      <c r="DW22" s="99"/>
      <c r="DX22" s="99"/>
      <c r="DY22" s="99"/>
      <c r="DZ22" s="99"/>
      <c r="EA22" s="99"/>
      <c r="EB22" s="99"/>
      <c r="EC22" s="99"/>
      <c r="ED22" s="99"/>
      <c r="EE22" s="99"/>
      <c r="EF22" s="99"/>
      <c r="EG22" s="99"/>
      <c r="EH22" s="99"/>
      <c r="EI22" s="99"/>
      <c r="EJ22" s="99"/>
      <c r="EK22" s="99"/>
      <c r="EL22" s="99"/>
      <c r="EM22" s="99"/>
      <c r="EN22" s="99"/>
      <c r="EO22" s="99"/>
      <c r="EP22" s="99"/>
      <c r="EQ22" s="99"/>
      <c r="ER22" s="99"/>
      <c r="ES22" s="99"/>
      <c r="ET22" s="99"/>
      <c r="EU22" s="99"/>
      <c r="EV22" s="99"/>
      <c r="EW22" s="99"/>
      <c r="EX22" s="99"/>
      <c r="EY22" s="99"/>
      <c r="EZ22" s="99"/>
      <c r="FA22" s="99"/>
      <c r="FB22" s="99"/>
      <c r="FC22" s="99"/>
      <c r="FD22" s="99"/>
    </row>
    <row r="23" spans="2:160">
      <c r="B23" s="72"/>
      <c r="C23" s="27"/>
      <c r="D23" s="27"/>
      <c r="E23" s="27"/>
      <c r="F23" s="27"/>
      <c r="G23" s="94"/>
      <c r="H23" s="27"/>
      <c r="I23" s="27"/>
      <c r="J23" s="27"/>
      <c r="K23" s="27"/>
      <c r="L23" s="94"/>
      <c r="M23" s="27"/>
      <c r="N23" s="27"/>
      <c r="O23" s="27"/>
      <c r="P23" s="27"/>
      <c r="Q23" s="94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94"/>
      <c r="AG23" s="27"/>
      <c r="AH23" s="27"/>
      <c r="AI23" s="27"/>
      <c r="AJ23" s="27"/>
      <c r="AK23" s="94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N23" s="158"/>
      <c r="BO23" s="27"/>
      <c r="BP23" s="27"/>
      <c r="BQ23" s="27"/>
      <c r="BR23" s="27"/>
      <c r="BS23" s="27"/>
      <c r="BT23" s="189"/>
      <c r="BU23" s="189"/>
      <c r="BV23" s="189"/>
      <c r="BW23" s="189"/>
      <c r="BX23" s="189"/>
      <c r="BY23" s="189"/>
      <c r="BZ23" s="189"/>
      <c r="CA23" s="189"/>
      <c r="CB23" s="189"/>
      <c r="CC23" s="189"/>
      <c r="CD23" s="189"/>
      <c r="CE23" s="189"/>
      <c r="CF23" s="189"/>
    </row>
    <row r="24" spans="2:160">
      <c r="B24" s="87" t="str">
        <f>IF('Índice - Index'!$D$14="Português","Volume e Preço","Volume and price")</f>
        <v>Volume e Preço</v>
      </c>
      <c r="C24" s="27"/>
      <c r="D24" s="27"/>
      <c r="E24" s="27"/>
      <c r="F24" s="27"/>
      <c r="G24" s="94"/>
      <c r="H24" s="27"/>
      <c r="I24" s="27"/>
      <c r="J24" s="27"/>
      <c r="K24" s="27"/>
      <c r="L24" s="94"/>
      <c r="M24" s="27"/>
      <c r="N24" s="27"/>
      <c r="O24" s="27"/>
      <c r="P24" s="27"/>
      <c r="Q24" s="94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94"/>
      <c r="AG24" s="27"/>
      <c r="AH24" s="27"/>
      <c r="AI24" s="27"/>
      <c r="AJ24" s="27"/>
      <c r="AK24" s="94"/>
      <c r="AL24" s="91"/>
      <c r="AM24" s="91"/>
      <c r="AN24" s="91"/>
      <c r="AO24" s="100"/>
      <c r="AP24" s="93"/>
      <c r="AQ24" s="27"/>
      <c r="AR24" s="27"/>
      <c r="AS24" s="27"/>
      <c r="AT24" s="27"/>
      <c r="AU24" s="93"/>
      <c r="AV24" s="27"/>
      <c r="AW24" s="27"/>
      <c r="AX24" s="27"/>
      <c r="AY24" s="27"/>
      <c r="AZ24" s="93"/>
      <c r="BA24" s="27"/>
      <c r="BB24" s="27"/>
      <c r="BC24" s="27"/>
      <c r="BD24" s="27"/>
      <c r="BE24" s="93"/>
      <c r="BF24" s="100"/>
      <c r="BG24" s="100"/>
      <c r="BH24" s="100"/>
      <c r="BI24" s="100"/>
      <c r="BJ24" s="93"/>
      <c r="BK24" s="85"/>
      <c r="BL24" s="85"/>
      <c r="BM24" s="85"/>
      <c r="BN24" s="85"/>
      <c r="BO24" s="93"/>
      <c r="BP24" s="93"/>
      <c r="BQ24" s="93"/>
      <c r="BR24" s="93"/>
      <c r="BS24" s="93"/>
      <c r="BT24" s="93"/>
      <c r="BU24" s="93"/>
      <c r="BV24" s="93"/>
      <c r="BW24" s="93"/>
      <c r="BX24" s="93"/>
      <c r="BY24" s="93"/>
      <c r="BZ24" s="93"/>
      <c r="CA24" s="93"/>
      <c r="CB24" s="93"/>
      <c r="CC24" s="93"/>
      <c r="CD24" s="93"/>
      <c r="CE24" s="93"/>
      <c r="CF24" s="93"/>
    </row>
    <row r="25" spans="2:160">
      <c r="B25" s="72" t="str">
        <f>IF('Índice - Index'!$D$14="Português","Ticket Médio Private Label","Average ticket - private label")</f>
        <v>Ticket Médio Private Label</v>
      </c>
      <c r="C25" s="100">
        <v>81.540086206733847</v>
      </c>
      <c r="D25" s="100">
        <v>99.519786860600092</v>
      </c>
      <c r="E25" s="100">
        <v>90.815107774046055</v>
      </c>
      <c r="F25" s="100">
        <v>107.24648654190429</v>
      </c>
      <c r="G25" s="101">
        <v>96.541827839199158</v>
      </c>
      <c r="H25" s="100">
        <v>88.997461815292084</v>
      </c>
      <c r="I25" s="100">
        <v>102.15296284934446</v>
      </c>
      <c r="J25" s="100">
        <v>95.031198685099213</v>
      </c>
      <c r="K25" s="100">
        <v>108.80913273439334</v>
      </c>
      <c r="L25" s="101">
        <v>99.92218792433539</v>
      </c>
      <c r="M25" s="100">
        <v>93.269017616572327</v>
      </c>
      <c r="N25" s="100">
        <v>110.84306411242818</v>
      </c>
      <c r="O25" s="100">
        <v>102.2225304865089</v>
      </c>
      <c r="P25" s="100">
        <v>111.13698703248215</v>
      </c>
      <c r="Q25" s="101">
        <v>105.27327748638059</v>
      </c>
      <c r="R25" s="100">
        <v>96.641631236557558</v>
      </c>
      <c r="S25" s="100">
        <v>116.42025474143992</v>
      </c>
      <c r="T25" s="100">
        <v>110.93</v>
      </c>
      <c r="U25" s="100">
        <v>120.1861227469977</v>
      </c>
      <c r="V25" s="101">
        <v>113.14</v>
      </c>
      <c r="W25" s="100">
        <v>105.79828629053236</v>
      </c>
      <c r="X25" s="100">
        <v>117.69334825390661</v>
      </c>
      <c r="Y25" s="100">
        <v>110.53114201596576</v>
      </c>
      <c r="Z25" s="100">
        <v>134.81449543714407</v>
      </c>
      <c r="AA25" s="101">
        <v>119.5</v>
      </c>
      <c r="AB25" s="100">
        <v>112.15410936594557</v>
      </c>
      <c r="AC25" s="100">
        <v>126.16855161800834</v>
      </c>
      <c r="AD25" s="100">
        <v>116.84168158274082</v>
      </c>
      <c r="AE25" s="100">
        <v>132.77581809029763</v>
      </c>
      <c r="AF25" s="102">
        <v>123.08554673006834</v>
      </c>
      <c r="AG25" s="100">
        <v>104.73900809284416</v>
      </c>
      <c r="AH25" s="100">
        <v>117.58</v>
      </c>
      <c r="AI25" s="100">
        <v>112.03</v>
      </c>
      <c r="AJ25" s="100">
        <v>123.61228506348792</v>
      </c>
      <c r="AK25" s="102">
        <v>113.85729966738391</v>
      </c>
      <c r="AL25" s="100">
        <v>111.91197674435995</v>
      </c>
      <c r="AM25" s="100">
        <v>125.37112215750788</v>
      </c>
      <c r="AN25" s="100">
        <v>119.26423737640459</v>
      </c>
      <c r="AO25" s="100">
        <v>136.03324122420685</v>
      </c>
      <c r="AP25" s="102">
        <v>124.2795436570967</v>
      </c>
      <c r="AQ25" s="100">
        <v>120.10295505338317</v>
      </c>
      <c r="AR25" s="100">
        <v>135.43107332950854</v>
      </c>
      <c r="AS25" s="100">
        <v>125.65598441445962</v>
      </c>
      <c r="AT25" s="100">
        <v>137.4</v>
      </c>
      <c r="AU25" s="102">
        <v>128.13999999999999</v>
      </c>
      <c r="AV25" s="100">
        <v>118.34</v>
      </c>
      <c r="AW25" s="100">
        <v>140.31</v>
      </c>
      <c r="AX25" s="100">
        <v>130.26</v>
      </c>
      <c r="AY25" s="100">
        <v>138.03</v>
      </c>
      <c r="AZ25" s="102">
        <v>129.70772138808033</v>
      </c>
      <c r="BA25" s="100">
        <v>126.98442198457695</v>
      </c>
      <c r="BB25" s="100">
        <v>149.31226673539985</v>
      </c>
      <c r="BC25" s="100">
        <v>139.59616302393661</v>
      </c>
      <c r="BD25" s="100">
        <v>148.47999999999999</v>
      </c>
      <c r="BE25" s="102">
        <v>144.01</v>
      </c>
      <c r="BF25" s="100">
        <v>129.87</v>
      </c>
      <c r="BG25" s="100">
        <v>155.49</v>
      </c>
      <c r="BH25" s="100">
        <v>129.46</v>
      </c>
      <c r="BI25" s="100">
        <v>139.21</v>
      </c>
      <c r="BJ25" s="102">
        <v>145.08000000000001</v>
      </c>
      <c r="BK25" s="100">
        <v>145.44</v>
      </c>
      <c r="BL25" s="25">
        <v>187.78</v>
      </c>
      <c r="BM25" s="150">
        <v>175.4</v>
      </c>
      <c r="BN25" s="100">
        <v>197.69</v>
      </c>
      <c r="BO25" s="102">
        <v>193.32</v>
      </c>
      <c r="BP25" s="100">
        <v>180.85</v>
      </c>
      <c r="BQ25" s="100">
        <v>202.01819166088589</v>
      </c>
      <c r="BR25" s="100">
        <v>189.96</v>
      </c>
      <c r="BS25" s="100">
        <v>210.04</v>
      </c>
      <c r="BT25" s="102">
        <v>196.38</v>
      </c>
      <c r="BU25" s="171">
        <v>187.67</v>
      </c>
      <c r="BV25" s="171">
        <v>201.17</v>
      </c>
      <c r="BW25" s="171">
        <v>165.24</v>
      </c>
      <c r="BX25" s="171">
        <v>190.15981343344666</v>
      </c>
      <c r="BY25" s="171">
        <v>188.82195564415466</v>
      </c>
      <c r="BZ25" s="171">
        <v>196.24976423001337</v>
      </c>
      <c r="CA25" s="171">
        <v>215.24383018876281</v>
      </c>
      <c r="CB25" s="171">
        <v>199.58231674213263</v>
      </c>
      <c r="CC25" s="171">
        <v>206.41</v>
      </c>
      <c r="CD25" s="171">
        <v>185.54</v>
      </c>
      <c r="CE25" s="171">
        <v>212.94</v>
      </c>
      <c r="CF25" s="171">
        <v>185.52</v>
      </c>
      <c r="CG25" s="25">
        <v>207.46</v>
      </c>
    </row>
    <row r="26" spans="2:160" hidden="1" outlineLevel="1">
      <c r="B26" s="72" t="str">
        <f>IF('Índice - Index'!$D$14="Português","Ticket Médio Co-Branded","Average ticket - co-branded")</f>
        <v>Ticket Médio Co-Branded</v>
      </c>
      <c r="C26" s="100">
        <v>85.175558783008555</v>
      </c>
      <c r="D26" s="100">
        <v>98.251079301279304</v>
      </c>
      <c r="E26" s="100">
        <v>90.24201677388433</v>
      </c>
      <c r="F26" s="100">
        <v>97.49408273047365</v>
      </c>
      <c r="G26" s="101">
        <v>95.011944259637701</v>
      </c>
      <c r="H26" s="100">
        <v>83.350376042863815</v>
      </c>
      <c r="I26" s="100">
        <v>97.190784529193479</v>
      </c>
      <c r="J26" s="100">
        <v>91.208248921392311</v>
      </c>
      <c r="K26" s="100">
        <v>106.50809088976214</v>
      </c>
      <c r="L26" s="101">
        <v>96.397809905179486</v>
      </c>
      <c r="M26" s="100">
        <v>91.521326208259424</v>
      </c>
      <c r="N26" s="100">
        <v>104.73913245054541</v>
      </c>
      <c r="O26" s="100">
        <v>100.62192852171259</v>
      </c>
      <c r="P26" s="100">
        <v>100.77881638564585</v>
      </c>
      <c r="Q26" s="101">
        <v>101.20554673515757</v>
      </c>
      <c r="R26" s="100">
        <v>101.75009908964819</v>
      </c>
      <c r="S26" s="100">
        <v>113.97329661289638</v>
      </c>
      <c r="T26" s="100">
        <v>109.08</v>
      </c>
      <c r="U26" s="100">
        <v>121.64</v>
      </c>
      <c r="V26" s="101">
        <v>112.75</v>
      </c>
      <c r="W26" s="100">
        <v>112.75</v>
      </c>
      <c r="X26" s="100">
        <v>116.08</v>
      </c>
      <c r="Y26" s="100">
        <v>107.83767356111956</v>
      </c>
      <c r="Z26" s="100">
        <v>121.87423952670473</v>
      </c>
      <c r="AA26" s="101">
        <v>118.55</v>
      </c>
      <c r="AB26" s="100">
        <v>107.43615239701299</v>
      </c>
      <c r="AC26" s="100">
        <v>121.60557535508593</v>
      </c>
      <c r="AD26" s="100">
        <v>118.56312540226719</v>
      </c>
      <c r="AE26" s="100">
        <v>125.22763321512352</v>
      </c>
      <c r="AF26" s="102">
        <v>118.98928112480399</v>
      </c>
      <c r="AG26" s="100">
        <v>100.18</v>
      </c>
      <c r="AH26" s="100">
        <v>104.5747823</v>
      </c>
      <c r="AI26" s="100">
        <v>108.03</v>
      </c>
      <c r="AJ26" s="100">
        <v>111.24</v>
      </c>
      <c r="AK26" s="102">
        <v>104.17080604675419</v>
      </c>
      <c r="AL26" s="100">
        <v>99.387129845268973</v>
      </c>
      <c r="AM26" s="100">
        <v>111.19992063906257</v>
      </c>
      <c r="AN26" s="100">
        <v>104.21934428034436</v>
      </c>
      <c r="AO26" s="100">
        <v>113.81617564706612</v>
      </c>
      <c r="AP26" s="102">
        <v>107.68994140156086</v>
      </c>
      <c r="AQ26" s="100">
        <v>103.11340142435822</v>
      </c>
      <c r="AR26" s="100">
        <v>117.16458494318832</v>
      </c>
      <c r="AS26" s="100">
        <v>109.74</v>
      </c>
      <c r="AT26" s="100">
        <v>115.7594</v>
      </c>
      <c r="AU26" s="102">
        <v>111.9772</v>
      </c>
      <c r="AV26" s="100">
        <v>106.809</v>
      </c>
      <c r="AW26" s="100">
        <v>124.07</v>
      </c>
      <c r="AX26" s="100">
        <v>112.10015845124801</v>
      </c>
      <c r="AY26" s="100">
        <v>126.99881908895543</v>
      </c>
      <c r="AZ26" s="102">
        <v>118.24857759298079</v>
      </c>
      <c r="BA26" s="100">
        <v>116.51699413115591</v>
      </c>
      <c r="BB26" s="100">
        <v>131.5780663204155</v>
      </c>
      <c r="BC26" s="100">
        <v>127.25263408569697</v>
      </c>
      <c r="BD26" s="100">
        <v>137.80124472510519</v>
      </c>
      <c r="BE26" s="102">
        <v>133.75</v>
      </c>
      <c r="BF26" s="100">
        <v>117.58</v>
      </c>
      <c r="BG26" s="100">
        <v>134.38999999999999</v>
      </c>
      <c r="BH26" s="100">
        <v>131.29</v>
      </c>
      <c r="BI26" s="100">
        <v>134.70258740840515</v>
      </c>
      <c r="BJ26" s="102">
        <v>128.41999999999999</v>
      </c>
      <c r="BK26" s="100" t="s">
        <v>25</v>
      </c>
      <c r="BL26" s="25">
        <v>158.47</v>
      </c>
      <c r="BM26" s="150">
        <v>142.4</v>
      </c>
      <c r="BN26" s="100">
        <v>155</v>
      </c>
      <c r="BO26" s="102">
        <v>156.55000000000001</v>
      </c>
      <c r="BP26" s="100">
        <v>142.38999999999999</v>
      </c>
      <c r="BQ26" s="100">
        <v>165.01580562505509</v>
      </c>
      <c r="BR26" s="100">
        <v>156.5</v>
      </c>
      <c r="BS26" s="100">
        <v>174.11</v>
      </c>
      <c r="BT26" s="102">
        <v>160.75</v>
      </c>
      <c r="BU26" s="171">
        <v>154.77000000000001</v>
      </c>
      <c r="BV26" s="171">
        <v>173.66</v>
      </c>
      <c r="BW26" s="171"/>
      <c r="BX26" s="171"/>
      <c r="BY26" s="171">
        <v>155.29958457179518</v>
      </c>
      <c r="BZ26" s="171"/>
      <c r="CA26" s="171"/>
      <c r="CB26" s="171"/>
      <c r="CC26" s="171" t="s">
        <v>44</v>
      </c>
      <c r="CD26" s="171" t="s">
        <v>44</v>
      </c>
      <c r="CE26" s="171" t="s">
        <v>44</v>
      </c>
      <c r="CF26" s="171"/>
    </row>
    <row r="27" spans="2:160" collapsed="1">
      <c r="B27" s="72" t="str">
        <f>IF('Índice - Index'!$D$14="Português","Ticket Médio Marisa","Average ticket - Marisa")</f>
        <v>Ticket Médio Marisa</v>
      </c>
      <c r="C27" s="100">
        <v>55.530597037582403</v>
      </c>
      <c r="D27" s="100">
        <v>71.066207188354042</v>
      </c>
      <c r="E27" s="100">
        <v>64.618317545048541</v>
      </c>
      <c r="F27" s="100">
        <v>72.124177699557777</v>
      </c>
      <c r="G27" s="102">
        <v>67.356362181798147</v>
      </c>
      <c r="H27" s="100">
        <v>62.244546680021706</v>
      </c>
      <c r="I27" s="100">
        <v>72.023983266922897</v>
      </c>
      <c r="J27" s="100">
        <v>66.478079986514118</v>
      </c>
      <c r="K27" s="100">
        <v>74.578234758934983</v>
      </c>
      <c r="L27" s="102">
        <v>69.962396640875454</v>
      </c>
      <c r="M27" s="100">
        <v>67.339647171435658</v>
      </c>
      <c r="N27" s="100">
        <v>79.664879287712779</v>
      </c>
      <c r="O27" s="100">
        <v>71.752733859753263</v>
      </c>
      <c r="P27" s="100">
        <v>77.170213431999187</v>
      </c>
      <c r="Q27" s="101">
        <v>74.741415763353785</v>
      </c>
      <c r="R27" s="100">
        <v>70.936509369228588</v>
      </c>
      <c r="S27" s="100">
        <v>86.271703137515644</v>
      </c>
      <c r="T27" s="100">
        <v>80.290000000000006</v>
      </c>
      <c r="U27" s="100">
        <v>85.436032357061848</v>
      </c>
      <c r="V27" s="102">
        <v>81.889496845291177</v>
      </c>
      <c r="W27" s="100">
        <v>77.44</v>
      </c>
      <c r="X27" s="100">
        <v>87.280198488572395</v>
      </c>
      <c r="Y27" s="100">
        <v>80.28</v>
      </c>
      <c r="Z27" s="100">
        <v>90.754113603281326</v>
      </c>
      <c r="AA27" s="102">
        <v>84.603282765036823</v>
      </c>
      <c r="AB27" s="100">
        <v>79.173514242428823</v>
      </c>
      <c r="AC27" s="100">
        <v>90.123177580533437</v>
      </c>
      <c r="AD27" s="100">
        <v>81.240176958361786</v>
      </c>
      <c r="AE27" s="100">
        <v>87.486926311555095</v>
      </c>
      <c r="AF27" s="102">
        <v>84.88</v>
      </c>
      <c r="AG27" s="100">
        <v>77.295928683861078</v>
      </c>
      <c r="AH27" s="100">
        <v>86.804756984449668</v>
      </c>
      <c r="AI27" s="100">
        <v>84.024190558420841</v>
      </c>
      <c r="AJ27" s="100">
        <v>89.532331321112039</v>
      </c>
      <c r="AK27" s="102">
        <v>84.903263093372317</v>
      </c>
      <c r="AL27" s="100">
        <v>86.033491748281278</v>
      </c>
      <c r="AM27" s="100">
        <v>96.890494760227512</v>
      </c>
      <c r="AN27" s="100">
        <v>86.321365687961531</v>
      </c>
      <c r="AO27" s="100">
        <v>97.59</v>
      </c>
      <c r="AP27" s="102">
        <v>92.315299999999993</v>
      </c>
      <c r="AQ27" s="100">
        <v>85.052793049618401</v>
      </c>
      <c r="AR27" s="100">
        <v>102.78260839830043</v>
      </c>
      <c r="AS27" s="100">
        <v>94.299584878965206</v>
      </c>
      <c r="AT27" s="100">
        <v>98.483602894844225</v>
      </c>
      <c r="AU27" s="102">
        <v>96.721093365418099</v>
      </c>
      <c r="AV27" s="100">
        <v>91.675044393098702</v>
      </c>
      <c r="AW27" s="100">
        <v>106.72784078984581</v>
      </c>
      <c r="AX27" s="100">
        <v>98.139774202652802</v>
      </c>
      <c r="AY27" s="100">
        <v>105.94388475166906</v>
      </c>
      <c r="AZ27" s="102">
        <v>101.00292528246601</v>
      </c>
      <c r="BA27" s="100">
        <v>93.165923979557775</v>
      </c>
      <c r="BB27" s="100">
        <v>106.58893285249199</v>
      </c>
      <c r="BC27" s="100">
        <v>100.5486972597668</v>
      </c>
      <c r="BD27" s="100">
        <v>117.81770494846697</v>
      </c>
      <c r="BE27" s="102">
        <v>112.0746020419832</v>
      </c>
      <c r="BF27" s="100">
        <v>105.07406825592282</v>
      </c>
      <c r="BG27" s="100">
        <v>114.9047038178517</v>
      </c>
      <c r="BH27" s="100">
        <v>118.9259907176714</v>
      </c>
      <c r="BI27" s="100">
        <v>120.69964903406267</v>
      </c>
      <c r="BJ27" s="102">
        <v>115.44177975115016</v>
      </c>
      <c r="BK27" s="100">
        <v>115.44177975115016</v>
      </c>
      <c r="BL27" s="150">
        <v>138.87483493814867</v>
      </c>
      <c r="BM27" s="150">
        <v>123.96533159666372</v>
      </c>
      <c r="BN27" s="100">
        <v>130.48206669754862</v>
      </c>
      <c r="BO27" s="102">
        <v>130</v>
      </c>
      <c r="BP27" s="100">
        <v>125.21833432441476</v>
      </c>
      <c r="BQ27" s="100">
        <v>144.13609101225651</v>
      </c>
      <c r="BR27" s="100">
        <v>135.80711234033012</v>
      </c>
      <c r="BS27" s="100">
        <v>148.01</v>
      </c>
      <c r="BT27" s="102">
        <v>139.44999999999999</v>
      </c>
      <c r="BU27" s="100">
        <v>136.24</v>
      </c>
      <c r="BV27" s="100">
        <v>153</v>
      </c>
      <c r="BW27" s="100">
        <v>129.21</v>
      </c>
      <c r="BX27" s="100">
        <v>136.79</v>
      </c>
      <c r="BY27" s="100">
        <v>140.21</v>
      </c>
      <c r="BZ27" s="100">
        <v>125.08</v>
      </c>
      <c r="CA27" s="100">
        <v>134.99</v>
      </c>
      <c r="CB27" s="100">
        <v>136.61957787904842</v>
      </c>
      <c r="CC27" s="100">
        <v>130.6</v>
      </c>
      <c r="CD27" s="100">
        <v>116.4</v>
      </c>
      <c r="CE27" s="100">
        <v>138.51</v>
      </c>
      <c r="CF27" s="100">
        <v>120.9</v>
      </c>
      <c r="CG27" s="150">
        <v>127.2</v>
      </c>
    </row>
    <row r="28" spans="2:160">
      <c r="B28" s="72" t="str">
        <f>IF('Índice - Index'!$D$14="Português","Preço Médio Marisa","Average price - Marisa")</f>
        <v>Preço Médio Marisa</v>
      </c>
      <c r="C28" s="100">
        <v>18.953513029410065</v>
      </c>
      <c r="D28" s="100">
        <v>24.091437891968436</v>
      </c>
      <c r="E28" s="100">
        <v>20.217983648704834</v>
      </c>
      <c r="F28" s="100">
        <v>21.456062230116682</v>
      </c>
      <c r="G28" s="102">
        <v>21.254001575491511</v>
      </c>
      <c r="H28" s="100">
        <v>20.126604849696168</v>
      </c>
      <c r="I28" s="100">
        <v>23.40740522574713</v>
      </c>
      <c r="J28" s="100">
        <v>21.133275281388816</v>
      </c>
      <c r="K28" s="100">
        <v>23.58991113969007</v>
      </c>
      <c r="L28" s="101">
        <v>22.293418914009372</v>
      </c>
      <c r="M28" s="100">
        <v>22.713320241723785</v>
      </c>
      <c r="N28" s="100">
        <v>27.442771673539788</v>
      </c>
      <c r="O28" s="100">
        <v>23.774617670578465</v>
      </c>
      <c r="P28" s="100">
        <v>25.280668730010284</v>
      </c>
      <c r="Q28" s="101">
        <v>24.895941745775247</v>
      </c>
      <c r="R28" s="100">
        <v>24.294421245456739</v>
      </c>
      <c r="S28" s="100">
        <v>29.521109163297279</v>
      </c>
      <c r="T28" s="100">
        <v>26.27</v>
      </c>
      <c r="U28" s="100">
        <v>28.189440396691587</v>
      </c>
      <c r="V28" s="102">
        <v>27.232583403320554</v>
      </c>
      <c r="W28" s="100">
        <v>26.823111950391915</v>
      </c>
      <c r="X28" s="100">
        <v>30.71132050033135</v>
      </c>
      <c r="Y28" s="100">
        <v>27.46522327141918</v>
      </c>
      <c r="Z28" s="100">
        <v>29.93</v>
      </c>
      <c r="AA28" s="102">
        <v>28.88</v>
      </c>
      <c r="AB28" s="100">
        <v>27.963355502574053</v>
      </c>
      <c r="AC28" s="100">
        <v>31.950076280000001</v>
      </c>
      <c r="AD28" s="100">
        <v>27.33</v>
      </c>
      <c r="AE28" s="100">
        <v>28.03</v>
      </c>
      <c r="AF28" s="102">
        <v>28.71</v>
      </c>
      <c r="AG28" s="100">
        <v>26.801512076694426</v>
      </c>
      <c r="AH28" s="100">
        <v>30.381978312521525</v>
      </c>
      <c r="AI28" s="100">
        <v>29.023152470423398</v>
      </c>
      <c r="AJ28" s="100">
        <v>30.302060269960368</v>
      </c>
      <c r="AK28" s="102">
        <v>29.263118714433748</v>
      </c>
      <c r="AL28" s="100">
        <v>31.445522133403227</v>
      </c>
      <c r="AM28" s="100">
        <v>33.004391473745848</v>
      </c>
      <c r="AN28" s="100">
        <v>32.471114177505157</v>
      </c>
      <c r="AO28" s="100">
        <v>34.28</v>
      </c>
      <c r="AP28" s="102">
        <v>33.299999999999997</v>
      </c>
      <c r="AQ28" s="100">
        <v>32.850498636051881</v>
      </c>
      <c r="AR28" s="100">
        <v>36.32243706828082</v>
      </c>
      <c r="AS28" s="100">
        <v>30.460048440289366</v>
      </c>
      <c r="AT28" s="100">
        <v>33.369016033519877</v>
      </c>
      <c r="AU28" s="102">
        <v>33.136523387917606</v>
      </c>
      <c r="AV28" s="100">
        <v>31.914034243605364</v>
      </c>
      <c r="AW28" s="100">
        <v>37.460781954108377</v>
      </c>
      <c r="AX28" s="100">
        <v>32.689860111486979</v>
      </c>
      <c r="AY28" s="100">
        <v>37.349769319993079</v>
      </c>
      <c r="AZ28" s="102">
        <v>34.950067100745549</v>
      </c>
      <c r="BA28" s="100">
        <v>34.455682538808126</v>
      </c>
      <c r="BB28" s="100">
        <v>36.70376572186192</v>
      </c>
      <c r="BC28" s="100">
        <v>36.629483834553035</v>
      </c>
      <c r="BD28" s="100">
        <v>38.973326493022718</v>
      </c>
      <c r="BE28" s="102">
        <v>36.877466857907756</v>
      </c>
      <c r="BF28" s="100">
        <v>35.187477459867722</v>
      </c>
      <c r="BG28" s="100">
        <v>34.835197927256992</v>
      </c>
      <c r="BH28" s="100">
        <v>33.988334758944475</v>
      </c>
      <c r="BI28" s="100">
        <v>37.028885029813715</v>
      </c>
      <c r="BJ28" s="102">
        <v>35.515303908557613</v>
      </c>
      <c r="BK28" s="100">
        <v>37.44</v>
      </c>
      <c r="BL28" s="150">
        <v>44.987038311358909</v>
      </c>
      <c r="BM28" s="150">
        <v>41.151061334220103</v>
      </c>
      <c r="BN28" s="100">
        <v>42.665625911490331</v>
      </c>
      <c r="BO28" s="102">
        <v>41.11</v>
      </c>
      <c r="BP28" s="100">
        <v>42.506237553984228</v>
      </c>
      <c r="BQ28" s="100">
        <v>50.135802803708067</v>
      </c>
      <c r="BR28" s="100">
        <v>46.74623792365793</v>
      </c>
      <c r="BS28" s="100">
        <v>49.51</v>
      </c>
      <c r="BT28" s="102">
        <v>47.59</v>
      </c>
      <c r="BU28" s="100">
        <v>48.93</v>
      </c>
      <c r="BV28" s="100">
        <v>58.26</v>
      </c>
      <c r="BW28" s="100">
        <v>53.84</v>
      </c>
      <c r="BX28" s="100">
        <v>51.44</v>
      </c>
      <c r="BY28" s="100">
        <v>53.11</v>
      </c>
      <c r="BZ28" s="100">
        <v>44.57</v>
      </c>
      <c r="CA28" s="100">
        <v>51.73</v>
      </c>
      <c r="CB28" s="100">
        <v>45.42</v>
      </c>
      <c r="CC28" s="100">
        <v>40.6</v>
      </c>
      <c r="CD28" s="100">
        <v>38.97</v>
      </c>
      <c r="CE28" s="100">
        <v>45.93</v>
      </c>
      <c r="CF28" s="100">
        <f>'DRE Consolidado | P&amp;L '!CD6/CF29</f>
        <v>39.635363120353972</v>
      </c>
      <c r="CG28" s="100">
        <f>'DRE Consolidado | P&amp;L '!CE6/CG29</f>
        <v>42.804366845913293</v>
      </c>
    </row>
    <row r="29" spans="2:160">
      <c r="B29" s="72" t="str">
        <f>IF('Índice - Index'!$D$14="Português","Número de Peças (mil)","Number of items ('000)")</f>
        <v>Número de Peças (mil)</v>
      </c>
      <c r="C29" s="91">
        <v>17307</v>
      </c>
      <c r="D29" s="91">
        <v>19772</v>
      </c>
      <c r="E29" s="91">
        <v>22089.504000000001</v>
      </c>
      <c r="F29" s="91">
        <v>32653</v>
      </c>
      <c r="G29" s="97">
        <v>91821.504000000001</v>
      </c>
      <c r="H29" s="91">
        <v>19973.21</v>
      </c>
      <c r="I29" s="91">
        <v>24248.436999999998</v>
      </c>
      <c r="J29" s="91">
        <v>24940.134999999998</v>
      </c>
      <c r="K29" s="91">
        <v>34863.258999999998</v>
      </c>
      <c r="L29" s="97">
        <v>104025.041</v>
      </c>
      <c r="M29" s="91">
        <v>22321.675999999999</v>
      </c>
      <c r="N29" s="91">
        <v>25147.737999999998</v>
      </c>
      <c r="O29" s="91">
        <v>25876.991000000002</v>
      </c>
      <c r="P29" s="91">
        <v>35581.728999999999</v>
      </c>
      <c r="Q29" s="97">
        <v>108928.13399999999</v>
      </c>
      <c r="R29" s="91">
        <v>22602.422999999999</v>
      </c>
      <c r="S29" s="91">
        <v>26358.896000000001</v>
      </c>
      <c r="T29" s="91">
        <v>29935</v>
      </c>
      <c r="U29" s="91">
        <v>38671.250999999997</v>
      </c>
      <c r="V29" s="92">
        <v>117567.891</v>
      </c>
      <c r="W29" s="91">
        <v>24096.281999999999</v>
      </c>
      <c r="X29" s="91">
        <v>26817.418000000001</v>
      </c>
      <c r="Y29" s="91">
        <v>28910.437000000002</v>
      </c>
      <c r="Z29" s="91">
        <v>39626</v>
      </c>
      <c r="AA29" s="92">
        <v>119450</v>
      </c>
      <c r="AB29" s="91">
        <v>24572.936000000002</v>
      </c>
      <c r="AC29" s="91">
        <v>27453</v>
      </c>
      <c r="AD29" s="91">
        <v>30105</v>
      </c>
      <c r="AE29" s="91">
        <v>42421.817000000003</v>
      </c>
      <c r="AF29" s="92">
        <v>124552.753</v>
      </c>
      <c r="AG29" s="91">
        <v>24916.752</v>
      </c>
      <c r="AH29" s="91">
        <v>27519.474000000002</v>
      </c>
      <c r="AI29" s="91">
        <v>27455.233</v>
      </c>
      <c r="AJ29" s="91">
        <v>35741.320999999996</v>
      </c>
      <c r="AK29" s="92">
        <v>115632.78</v>
      </c>
      <c r="AL29" s="91">
        <v>19459.05</v>
      </c>
      <c r="AM29" s="91">
        <v>25818.277999999998</v>
      </c>
      <c r="AN29" s="91">
        <v>19746.683000000001</v>
      </c>
      <c r="AO29" s="91">
        <v>26600.055</v>
      </c>
      <c r="AP29" s="92">
        <v>91624.065999999992</v>
      </c>
      <c r="AQ29" s="91">
        <v>18242.263000000006</v>
      </c>
      <c r="AR29" s="91">
        <v>20085.538999999993</v>
      </c>
      <c r="AS29" s="91">
        <v>24353.075000000001</v>
      </c>
      <c r="AT29" s="91">
        <v>27029.935000000001</v>
      </c>
      <c r="AU29" s="92">
        <v>89712.583000000028</v>
      </c>
      <c r="AV29" s="91">
        <v>17937.421999999995</v>
      </c>
      <c r="AW29" s="91">
        <v>18940.177999999993</v>
      </c>
      <c r="AX29" s="91">
        <v>22093.165000000001</v>
      </c>
      <c r="AY29" s="91">
        <v>23687.184999999998</v>
      </c>
      <c r="AZ29" s="92">
        <v>82658.097999999954</v>
      </c>
      <c r="BA29" s="91">
        <v>17535.566999999999</v>
      </c>
      <c r="BB29" s="91">
        <v>19641.201000000001</v>
      </c>
      <c r="BC29" s="91">
        <v>20062.792000000001</v>
      </c>
      <c r="BD29" s="91">
        <v>24295.192999999999</v>
      </c>
      <c r="BE29" s="92">
        <v>81536.870999999999</v>
      </c>
      <c r="BF29" s="91">
        <v>15910.51</v>
      </c>
      <c r="BG29" s="91">
        <v>5746.2020000000002</v>
      </c>
      <c r="BH29" s="91">
        <v>17709.364000000001</v>
      </c>
      <c r="BI29" s="91">
        <v>23894.038</v>
      </c>
      <c r="BJ29" s="92">
        <v>62893.372000000003</v>
      </c>
      <c r="BK29" s="91">
        <v>10380.218000000001</v>
      </c>
      <c r="BL29" s="91">
        <v>14978.976000000001</v>
      </c>
      <c r="BM29" s="151">
        <v>17248.968000000001</v>
      </c>
      <c r="BN29" s="151">
        <v>22129.966</v>
      </c>
      <c r="BO29" s="92">
        <v>64738.128000000004</v>
      </c>
      <c r="BP29" s="91">
        <v>13772.078</v>
      </c>
      <c r="BQ29" s="91">
        <v>16066.58</v>
      </c>
      <c r="BR29" s="91">
        <v>14408.647000000001</v>
      </c>
      <c r="BS29" s="91">
        <v>18901.178</v>
      </c>
      <c r="BT29" s="92">
        <v>63148.483</v>
      </c>
      <c r="BU29" s="91">
        <v>11428.505999999999</v>
      </c>
      <c r="BV29" s="91">
        <v>9324.0210000000006</v>
      </c>
      <c r="BW29" s="91">
        <v>6428.8159999999998</v>
      </c>
      <c r="BX29" s="91">
        <v>10503.933999999999</v>
      </c>
      <c r="BY29" s="91">
        <v>37685.277000000002</v>
      </c>
      <c r="BZ29" s="91">
        <v>7530.3969999999999</v>
      </c>
      <c r="CA29" s="91">
        <v>8429.0720000000001</v>
      </c>
      <c r="CB29" s="91">
        <v>10462</v>
      </c>
      <c r="CC29" s="91">
        <f>'DRE Consolidado | P&amp;L '!BZ6/'Dados Operacionais'!CC28</f>
        <v>15845.575615024622</v>
      </c>
      <c r="CD29" s="91">
        <f>'DRE Consolidado | P&amp;L '!CB6/CD28</f>
        <v>10318.944823197331</v>
      </c>
      <c r="CE29" s="91">
        <f>'DRE Consolidado | P&amp;L '!CC6/CE28</f>
        <v>11636.43179817113</v>
      </c>
      <c r="CF29" s="91">
        <v>11300</v>
      </c>
      <c r="CG29" s="173">
        <f>47700-SUM(CD29:CF29)</f>
        <v>14444.623378631542</v>
      </c>
    </row>
    <row r="30" spans="2:160">
      <c r="B30" s="72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25"/>
      <c r="AU30" s="103"/>
      <c r="AV30" s="125"/>
      <c r="AW30" s="125"/>
      <c r="AX30" s="125"/>
      <c r="AY30" s="125"/>
      <c r="AZ30" s="103"/>
      <c r="BA30" s="125"/>
      <c r="BB30" s="125"/>
      <c r="BC30" s="125"/>
      <c r="BD30" s="125"/>
      <c r="BE30" s="103"/>
      <c r="BF30" s="103"/>
      <c r="BG30" s="103"/>
      <c r="BH30" s="103"/>
      <c r="BI30" s="103"/>
      <c r="BJ30" s="103"/>
      <c r="BK30" s="103"/>
      <c r="BN30" s="157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</row>
    <row r="31" spans="2:160">
      <c r="B31" s="87" t="str">
        <f>IF('Índice - Index'!$D$14="Português","Vendas Com Juros - Cartão","Sales Bearing Interest - Marisa Card")</f>
        <v>Vendas Com Juros - Cartão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</row>
    <row r="32" spans="2:160">
      <c r="B32" s="72" t="s">
        <v>2</v>
      </c>
      <c r="C32" s="85">
        <v>0.2517054891205967</v>
      </c>
      <c r="D32" s="85">
        <v>0.27443208538537056</v>
      </c>
      <c r="E32" s="85">
        <v>0.17494970365601009</v>
      </c>
      <c r="F32" s="85">
        <v>0.25884836221513868</v>
      </c>
      <c r="G32" s="86">
        <v>0.2421980349349</v>
      </c>
      <c r="H32" s="85">
        <v>0.1925574046930065</v>
      </c>
      <c r="I32" s="85">
        <v>0.20323206390713808</v>
      </c>
      <c r="J32" s="85">
        <v>0.18012374216803267</v>
      </c>
      <c r="K32" s="85">
        <v>0.25249558409068501</v>
      </c>
      <c r="L32" s="86">
        <v>0.21349553694564855</v>
      </c>
      <c r="M32" s="85">
        <v>0.20274848302110765</v>
      </c>
      <c r="N32" s="85">
        <v>0.21520068163266451</v>
      </c>
      <c r="O32" s="85">
        <v>0.19258114744366464</v>
      </c>
      <c r="P32" s="85">
        <v>0.23565589162147182</v>
      </c>
      <c r="Q32" s="86">
        <v>0.21448497529062485</v>
      </c>
      <c r="R32" s="85">
        <v>0.19031184466795864</v>
      </c>
      <c r="S32" s="85">
        <v>0.18083300012697301</v>
      </c>
      <c r="T32" s="85">
        <v>0.18792849396489342</v>
      </c>
      <c r="U32" s="85">
        <v>0.23026688979198162</v>
      </c>
      <c r="V32" s="86">
        <v>0.21047815849869853</v>
      </c>
      <c r="W32" s="85">
        <v>0.19819999999999999</v>
      </c>
      <c r="X32" s="85">
        <v>0.19680298601847701</v>
      </c>
      <c r="Y32" s="85">
        <v>0.18918238240992696</v>
      </c>
      <c r="Z32" s="85">
        <v>0.23880058320081901</v>
      </c>
      <c r="AA32" s="86">
        <v>0.21106544015883999</v>
      </c>
      <c r="AB32" s="85">
        <v>0.18866157509118886</v>
      </c>
      <c r="AC32" s="85">
        <v>0.20016476936291</v>
      </c>
      <c r="AD32" s="85">
        <v>0.183607066381693</v>
      </c>
      <c r="AE32" s="85">
        <v>0.22320000000000001</v>
      </c>
      <c r="AF32" s="86">
        <v>0.20100000000000001</v>
      </c>
      <c r="AG32" s="85">
        <v>0.16703658089329326</v>
      </c>
      <c r="AH32" s="85">
        <v>0.19139999999999999</v>
      </c>
      <c r="AI32" s="85">
        <v>0.193266938141918</v>
      </c>
      <c r="AJ32" s="85">
        <v>0.22450000000000001</v>
      </c>
      <c r="AK32" s="86">
        <v>0.1973</v>
      </c>
      <c r="AL32" s="85">
        <v>0.22116666666666701</v>
      </c>
      <c r="AM32" s="85">
        <v>0.21825537365237827</v>
      </c>
      <c r="AN32" s="85">
        <v>0.22220610352087605</v>
      </c>
      <c r="AO32" s="85">
        <v>0.25253066337935343</v>
      </c>
      <c r="AP32" s="86">
        <v>0.2317823973934163</v>
      </c>
      <c r="AQ32" s="85">
        <v>0.22882082330237</v>
      </c>
      <c r="AR32" s="85">
        <v>0.22200631831825857</v>
      </c>
      <c r="AS32" s="85">
        <v>0.20545466828684961</v>
      </c>
      <c r="AT32" s="85">
        <v>0.216</v>
      </c>
      <c r="AU32" s="86">
        <v>0.221</v>
      </c>
      <c r="AV32" s="85">
        <v>0.20972303901151743</v>
      </c>
      <c r="AW32" s="85">
        <v>0.21260000000000001</v>
      </c>
      <c r="AX32" s="85">
        <v>0.19196536794369295</v>
      </c>
      <c r="AY32" s="85">
        <v>0.21951388293476343</v>
      </c>
      <c r="AZ32" s="86">
        <v>0.20899999999999999</v>
      </c>
      <c r="BA32" s="85">
        <v>0.19434221094735005</v>
      </c>
      <c r="BB32" s="85">
        <v>0.19274722428022523</v>
      </c>
      <c r="BC32" s="85">
        <v>0.18084740538923463</v>
      </c>
      <c r="BD32" s="85">
        <v>0.18084740538923463</v>
      </c>
      <c r="BE32" s="86">
        <v>0.18935786642823285</v>
      </c>
      <c r="BF32" s="85">
        <v>0.18443455563419209</v>
      </c>
      <c r="BG32" s="85">
        <v>0.10028486161324388</v>
      </c>
      <c r="BH32" s="85">
        <v>0.17299999999999999</v>
      </c>
      <c r="BI32" s="85">
        <v>0.21402581328060699</v>
      </c>
      <c r="BJ32" s="86">
        <v>0.19794465034680703</v>
      </c>
      <c r="BK32" s="85">
        <v>0.20399999999999999</v>
      </c>
      <c r="BL32" s="85">
        <v>0.19500000000000001</v>
      </c>
      <c r="BM32" s="85">
        <v>0.21283696649804143</v>
      </c>
      <c r="BN32" s="85">
        <v>0.22028985507246379</v>
      </c>
      <c r="BO32" s="86">
        <v>0.1854802614952461</v>
      </c>
      <c r="BP32" s="85">
        <v>0.18732429238445591</v>
      </c>
      <c r="BQ32" s="85">
        <v>0.15490585932050921</v>
      </c>
      <c r="BR32" s="85">
        <v>0.15341223580687002</v>
      </c>
      <c r="BS32" s="85">
        <v>0.17555059048834981</v>
      </c>
      <c r="BT32" s="86">
        <v>0.16656074681297398</v>
      </c>
      <c r="BU32" s="85">
        <v>0.15875785066294484</v>
      </c>
      <c r="BV32" s="85">
        <v>0.14984825493171472</v>
      </c>
      <c r="BW32" s="85">
        <v>0.12145523474503574</v>
      </c>
      <c r="BX32" s="85">
        <v>0.14451118280660272</v>
      </c>
      <c r="BY32" s="85">
        <v>0.15515267805183722</v>
      </c>
      <c r="BZ32" s="85">
        <v>0.20366861422664026</v>
      </c>
      <c r="CA32" s="85">
        <v>0.20228099144594888</v>
      </c>
      <c r="CB32" s="85">
        <v>0.21512374501264295</v>
      </c>
      <c r="CC32" s="85">
        <v>0.23486476813352852</v>
      </c>
      <c r="CD32" s="85">
        <v>0.21800027120011792</v>
      </c>
      <c r="CE32" s="85">
        <v>0.23862859541907588</v>
      </c>
      <c r="CF32" s="85">
        <v>0.22393436146138737</v>
      </c>
      <c r="CG32" s="252">
        <v>0.24817587320816642</v>
      </c>
    </row>
    <row r="33" spans="2:85">
      <c r="B33" s="72" t="str">
        <f>IF('Índice - Index'!$D$14="Português","Private Label - total das vendas","Private Label - total sales")</f>
        <v>Private Label - total das vendas</v>
      </c>
      <c r="C33" s="85">
        <f>C32*C15</f>
        <v>0.12608934772007171</v>
      </c>
      <c r="D33" s="85">
        <f t="shared" ref="D33:F33" si="4">D32*D15</f>
        <v>0.14089672582187387</v>
      </c>
      <c r="E33" s="85">
        <f t="shared" si="4"/>
        <v>8.7786962099327376E-2</v>
      </c>
      <c r="F33" s="85">
        <f t="shared" si="4"/>
        <v>0.13735322413894346</v>
      </c>
      <c r="G33" s="86">
        <v>0.12468960333535989</v>
      </c>
      <c r="H33" s="85">
        <v>9.260855821305454E-2</v>
      </c>
      <c r="I33" s="85">
        <v>0.10059844900958601</v>
      </c>
      <c r="J33" s="85">
        <v>8.5024350386802963E-2</v>
      </c>
      <c r="K33" s="85">
        <v>0.11506501512155015</v>
      </c>
      <c r="L33" s="86">
        <v>0.10107604603832618</v>
      </c>
      <c r="M33" s="85">
        <v>8.4780697414657311E-2</v>
      </c>
      <c r="N33" s="85">
        <v>9.5851890003960202E-2</v>
      </c>
      <c r="O33" s="85">
        <v>8.1796338821779779E-2</v>
      </c>
      <c r="P33" s="85">
        <v>9.7207819637965501E-2</v>
      </c>
      <c r="Q33" s="86">
        <v>9.1106568469223423E-2</v>
      </c>
      <c r="R33" s="85">
        <v>7.7342733673058384E-2</v>
      </c>
      <c r="S33" s="85">
        <v>8.141354831916503E-2</v>
      </c>
      <c r="T33" s="85">
        <v>8.1926675230019425E-2</v>
      </c>
      <c r="U33" s="85">
        <v>9.7019500010504578E-2</v>
      </c>
      <c r="V33" s="86">
        <v>9.0394475686753059E-2</v>
      </c>
      <c r="W33" s="85">
        <v>8.00728E-2</v>
      </c>
      <c r="X33" s="85">
        <v>8.4221247457649182E-2</v>
      </c>
      <c r="Y33" s="85">
        <v>7.9055912326225095E-2</v>
      </c>
      <c r="Z33" s="85">
        <v>0.10955812556378774</v>
      </c>
      <c r="AA33" s="86">
        <v>9.1108930029845187E-2</v>
      </c>
      <c r="AB33" s="85">
        <v>7.6266441730613102E-2</v>
      </c>
      <c r="AC33" s="85">
        <v>8.6185144909357511E-2</v>
      </c>
      <c r="AD33" s="85">
        <v>7.5098227863174535E-2</v>
      </c>
      <c r="AE33" s="85">
        <v>9.1033236000000003E-2</v>
      </c>
      <c r="AF33" s="86">
        <v>8.3011794000000014E-2</v>
      </c>
      <c r="AG33" s="85">
        <v>6.0194471546773411E-2</v>
      </c>
      <c r="AH33" s="85">
        <v>7.2018460799999989E-2</v>
      </c>
      <c r="AI33" s="85">
        <v>7.1284577464265031E-2</v>
      </c>
      <c r="AJ33" s="85">
        <v>8.1268999999999994E-2</v>
      </c>
      <c r="AK33" s="86">
        <v>7.2222848800000003E-2</v>
      </c>
      <c r="AL33" s="85">
        <v>8.3740777333333474E-2</v>
      </c>
      <c r="AM33" s="85">
        <v>8.8049237604963387E-2</v>
      </c>
      <c r="AN33" s="85">
        <v>9.2961923262890184E-2</v>
      </c>
      <c r="AO33" s="85">
        <v>0.10637626917258221</v>
      </c>
      <c r="AP33" s="86">
        <v>9.4255934376814496E-2</v>
      </c>
      <c r="AQ33" s="85">
        <v>9.0384225204436147E-2</v>
      </c>
      <c r="AR33" s="85">
        <v>9.1482365595723134E-2</v>
      </c>
      <c r="AS33" s="85">
        <v>8.1441648788924431E-2</v>
      </c>
      <c r="AT33" s="85">
        <v>8.2944000000000004E-2</v>
      </c>
      <c r="AU33" s="86">
        <v>8.7682770923396797E-2</v>
      </c>
      <c r="AV33" s="85">
        <v>7.7225755007773095E-2</v>
      </c>
      <c r="AW33" s="85">
        <v>8.4091513005925919E-2</v>
      </c>
      <c r="AX33" s="85">
        <v>6.9500640882599662E-2</v>
      </c>
      <c r="AY33" s="85">
        <v>8.0104046802685916E-2</v>
      </c>
      <c r="AZ33" s="86">
        <v>7.7805562887934568E-2</v>
      </c>
      <c r="BA33" s="85">
        <v>6.7486668716408918E-2</v>
      </c>
      <c r="BB33" s="85">
        <v>7.3635682767201921E-2</v>
      </c>
      <c r="BC33" s="85">
        <v>6.5163415889457579E-2</v>
      </c>
      <c r="BD33" s="85">
        <v>6.5630879938960343E-2</v>
      </c>
      <c r="BE33" s="86">
        <v>6.885399439699319E-2</v>
      </c>
      <c r="BF33" s="85">
        <v>6.3071636559680802E-2</v>
      </c>
      <c r="BG33" s="85">
        <v>3.0905669042030928E-2</v>
      </c>
      <c r="BH33" s="85">
        <v>5.8750199489839429E-2</v>
      </c>
      <c r="BI33" s="85">
        <v>7.3545948729710292E-2</v>
      </c>
      <c r="BJ33" s="86">
        <v>6.7086445805589673E-2</v>
      </c>
      <c r="BK33" s="85">
        <v>7.275894668303047E-2</v>
      </c>
      <c r="BL33" s="85">
        <v>7.1955000000000005E-2</v>
      </c>
      <c r="BM33" s="85">
        <v>7.5999999999999998E-2</v>
      </c>
      <c r="BN33" s="85">
        <v>7.5999999999999998E-2</v>
      </c>
      <c r="BO33" s="156">
        <v>6.6000000000000003E-2</v>
      </c>
      <c r="BP33" s="125">
        <v>6.4000000000000001E-2</v>
      </c>
      <c r="BQ33" s="125">
        <v>5.1855748459966329E-2</v>
      </c>
      <c r="BR33" s="125">
        <v>4.9000000000000002E-2</v>
      </c>
      <c r="BS33" s="125">
        <v>5.5E-2</v>
      </c>
      <c r="BT33" s="156">
        <v>5.3800000000000001E-2</v>
      </c>
      <c r="BU33" s="154">
        <v>4.5499999999999999E-2</v>
      </c>
      <c r="BV33" s="154">
        <v>3.95E-2</v>
      </c>
      <c r="BW33" s="154">
        <v>2.7199999999999998E-2</v>
      </c>
      <c r="BX33" s="154">
        <v>3.2833748653223457E-2</v>
      </c>
      <c r="BY33" s="154">
        <v>3.5728933693711239E-2</v>
      </c>
      <c r="BZ33" s="154">
        <v>4.1686707123079536E-2</v>
      </c>
      <c r="CA33" s="154">
        <v>4.3604495135833782E-2</v>
      </c>
      <c r="CB33" s="154">
        <v>4.8306474130749712E-2</v>
      </c>
      <c r="CC33" s="154">
        <v>5.519869254065779E-2</v>
      </c>
      <c r="CD33" s="154">
        <v>4.9471082085515171E-2</v>
      </c>
      <c r="CE33" s="154">
        <v>6.1631869025513313E-2</v>
      </c>
      <c r="CF33" s="154">
        <v>5.6838350700664092E-2</v>
      </c>
      <c r="CG33" s="252">
        <v>6.4166491618554922E-2</v>
      </c>
    </row>
    <row r="34" spans="2:85">
      <c r="B34" s="72" t="s">
        <v>3</v>
      </c>
      <c r="C34" s="85">
        <v>0.21826838979806207</v>
      </c>
      <c r="D34" s="85">
        <v>0.21981388229078835</v>
      </c>
      <c r="E34" s="85">
        <v>0.13465617915136019</v>
      </c>
      <c r="F34" s="85">
        <v>0.18150755140627517</v>
      </c>
      <c r="G34" s="86">
        <v>0.17722258579054495</v>
      </c>
      <c r="H34" s="85">
        <v>0.13479134577618113</v>
      </c>
      <c r="I34" s="85">
        <v>0.13501170942799823</v>
      </c>
      <c r="J34" s="85">
        <v>0.12526518510908691</v>
      </c>
      <c r="K34" s="85">
        <v>0.19560526125572608</v>
      </c>
      <c r="L34" s="86">
        <v>0.15540181809384679</v>
      </c>
      <c r="M34" s="85">
        <v>0.14289524406482967</v>
      </c>
      <c r="N34" s="85">
        <v>0.16473287921327251</v>
      </c>
      <c r="O34" s="85">
        <v>0.14218042203609305</v>
      </c>
      <c r="P34" s="85">
        <v>0.17551323166179555</v>
      </c>
      <c r="Q34" s="86">
        <v>0.15874388775979809</v>
      </c>
      <c r="R34" s="85">
        <v>0.12406602316448415</v>
      </c>
      <c r="S34" s="85">
        <v>0.13878399999999999</v>
      </c>
      <c r="T34" s="85">
        <v>0.12257260716985351</v>
      </c>
      <c r="U34" s="85">
        <v>0.13189999999999999</v>
      </c>
      <c r="V34" s="86">
        <v>0.122</v>
      </c>
      <c r="W34" s="85">
        <v>0.122</v>
      </c>
      <c r="X34" s="85">
        <v>0.139694139316382</v>
      </c>
      <c r="Y34" s="85">
        <v>0.13259884083480439</v>
      </c>
      <c r="Z34" s="85">
        <v>0.15058003127653599</v>
      </c>
      <c r="AA34" s="86">
        <v>0.13831571931915801</v>
      </c>
      <c r="AB34" s="85">
        <v>0.12166110890482772</v>
      </c>
      <c r="AC34" s="85">
        <v>0.14149897429431499</v>
      </c>
      <c r="AD34" s="85">
        <v>0.13102508703392499</v>
      </c>
      <c r="AE34" s="85">
        <v>0.16900000000000001</v>
      </c>
      <c r="AF34" s="86">
        <v>0.14399999999999999</v>
      </c>
      <c r="AG34" s="85">
        <v>0.1305</v>
      </c>
      <c r="AH34" s="85">
        <v>0.14729999999999999</v>
      </c>
      <c r="AI34" s="85">
        <v>0.14511850868893511</v>
      </c>
      <c r="AJ34" s="85">
        <v>0.16500000000000001</v>
      </c>
      <c r="AK34" s="86">
        <v>0.14899999999999999</v>
      </c>
      <c r="AL34" s="85">
        <v>0.152</v>
      </c>
      <c r="AM34" s="85">
        <v>0.14810926357525062</v>
      </c>
      <c r="AN34" s="85">
        <v>0.14065669497438554</v>
      </c>
      <c r="AO34" s="85">
        <v>0.1541686242625698</v>
      </c>
      <c r="AP34" s="86">
        <v>0.14807492794736732</v>
      </c>
      <c r="AQ34" s="85">
        <v>0.13116703243914246</v>
      </c>
      <c r="AR34" s="85">
        <v>0.11929943948747034</v>
      </c>
      <c r="AS34" s="85">
        <v>9.4911308914836956E-2</v>
      </c>
      <c r="AT34" s="85">
        <v>0.1177014623639001</v>
      </c>
      <c r="AU34" s="86">
        <v>0.115</v>
      </c>
      <c r="AV34" s="85">
        <v>0.10199999999999999</v>
      </c>
      <c r="AW34" s="85">
        <v>0.108</v>
      </c>
      <c r="AX34" s="85">
        <v>8.7053505822741975E-2</v>
      </c>
      <c r="AY34" s="85">
        <v>0.10912856734230703</v>
      </c>
      <c r="AZ34" s="86">
        <v>0.10199999999999999</v>
      </c>
      <c r="BA34" s="85">
        <v>8.4221551346363555E-2</v>
      </c>
      <c r="BB34" s="85">
        <v>8.6282167779174274E-2</v>
      </c>
      <c r="BC34" s="85">
        <v>7.8E-2</v>
      </c>
      <c r="BD34" s="85">
        <v>7.8E-2</v>
      </c>
      <c r="BE34" s="86">
        <v>8.5017389446800665E-2</v>
      </c>
      <c r="BF34" s="85">
        <v>7.7254922969699047E-2</v>
      </c>
      <c r="BG34" s="85">
        <v>5.377331917123495E-2</v>
      </c>
      <c r="BH34" s="85">
        <v>5.0859143437687125E-2</v>
      </c>
      <c r="BI34" s="85">
        <v>6.6307615793240293E-2</v>
      </c>
      <c r="BJ34" s="86">
        <v>6.0999999999999999E-2</v>
      </c>
      <c r="BK34" s="85">
        <v>5.2999999999999999E-2</v>
      </c>
      <c r="BL34" s="85">
        <v>5.0999999999999997E-2</v>
      </c>
      <c r="BM34" s="85">
        <v>6.4919022530672138E-2</v>
      </c>
      <c r="BN34" s="85">
        <v>6.3829787234042548E-2</v>
      </c>
      <c r="BO34" s="86">
        <v>4.3797448769641582E-2</v>
      </c>
      <c r="BP34" s="85">
        <v>4.2614129401647598E-2</v>
      </c>
      <c r="BQ34" s="85">
        <v>4.2745545554284212E-2</v>
      </c>
      <c r="BR34" s="85">
        <v>4.0736219477983088E-2</v>
      </c>
      <c r="BS34" s="85">
        <v>4.9295774647887321E-2</v>
      </c>
      <c r="BT34" s="86">
        <v>4.4345898004434586E-2</v>
      </c>
      <c r="BU34" s="85">
        <v>0.1134020618556701</v>
      </c>
      <c r="BV34" s="85">
        <v>0</v>
      </c>
      <c r="BW34" s="154">
        <v>0</v>
      </c>
      <c r="BX34" s="154">
        <v>0</v>
      </c>
      <c r="BY34" s="154">
        <v>3.596020435673216E-2</v>
      </c>
      <c r="BZ34" s="85">
        <v>0</v>
      </c>
      <c r="CA34" s="85">
        <v>0</v>
      </c>
      <c r="CB34" s="85">
        <v>0</v>
      </c>
      <c r="CC34" s="85">
        <v>0</v>
      </c>
      <c r="CD34" s="85">
        <v>0</v>
      </c>
      <c r="CE34" s="85">
        <v>0</v>
      </c>
      <c r="CF34" s="85">
        <v>0</v>
      </c>
      <c r="CG34" s="252">
        <v>0</v>
      </c>
    </row>
    <row r="35" spans="2:85">
      <c r="B35" s="72" t="str">
        <f>IF('Índice - Index'!$D$14="Português","Co-Branded - total das vendas","Co-Branded - total sales")</f>
        <v>Co-Branded - total das vendas</v>
      </c>
      <c r="C35" s="85">
        <f t="shared" ref="C35:F35" si="5">C34*C16</f>
        <v>9.5972610994207893E-4</v>
      </c>
      <c r="D35" s="85">
        <f t="shared" si="5"/>
        <v>5.591625537713074E-3</v>
      </c>
      <c r="E35" s="85">
        <f t="shared" si="5"/>
        <v>4.8458719191199987E-3</v>
      </c>
      <c r="F35" s="85">
        <f t="shared" si="5"/>
        <v>6.3876137490896361E-3</v>
      </c>
      <c r="G35" s="86">
        <v>4.930686781864542E-3</v>
      </c>
      <c r="H35" s="85">
        <v>4.7398028828736331E-3</v>
      </c>
      <c r="I35" s="85">
        <v>5.1681132251943443E-3</v>
      </c>
      <c r="J35" s="85">
        <v>5.0354099110150752E-3</v>
      </c>
      <c r="K35" s="85">
        <v>8.1704317626516785E-3</v>
      </c>
      <c r="L35" s="86">
        <v>6.1180141765366548E-3</v>
      </c>
      <c r="M35" s="85">
        <v>5.7896866037747035E-3</v>
      </c>
      <c r="N35" s="85">
        <v>7.1836713967323874E-3</v>
      </c>
      <c r="O35" s="85">
        <v>6.569730761021751E-3</v>
      </c>
      <c r="P35" s="85">
        <v>7.2265818004427704E-3</v>
      </c>
      <c r="Q35" s="86">
        <v>6.8063029315891021E-3</v>
      </c>
      <c r="R35" s="85">
        <v>4.3423108107569454E-3</v>
      </c>
      <c r="S35" s="85">
        <v>5.5512212159999994E-3</v>
      </c>
      <c r="T35" s="85">
        <v>4.9361214633371706E-3</v>
      </c>
      <c r="U35" s="85">
        <v>5.1799767999999996E-3</v>
      </c>
      <c r="V35" s="86">
        <v>4.8519399999999999E-3</v>
      </c>
      <c r="W35" s="85">
        <v>4.7031E-3</v>
      </c>
      <c r="X35" s="85">
        <v>5.3832533526960965E-3</v>
      </c>
      <c r="Y35" s="85">
        <v>5.6095939615163999E-3</v>
      </c>
      <c r="Z35" s="85">
        <v>5.6402762315252084E-3</v>
      </c>
      <c r="AA35" s="86">
        <v>5.3149198305579657E-3</v>
      </c>
      <c r="AB35" s="85">
        <v>4.8085336683544103E-3</v>
      </c>
      <c r="AC35" s="85">
        <v>5.5819930369364317E-3</v>
      </c>
      <c r="AD35" s="85">
        <v>5.3838208262239782E-3</v>
      </c>
      <c r="AE35" s="85">
        <v>6.5501020000000004E-3</v>
      </c>
      <c r="AF35" s="86">
        <v>5.7039839999999996E-3</v>
      </c>
      <c r="AG35" s="85">
        <v>5.0879340000000006E-3</v>
      </c>
      <c r="AH35" s="85">
        <v>5.7282023999999992E-3</v>
      </c>
      <c r="AI35" s="85">
        <v>6.0861251359052492E-3</v>
      </c>
      <c r="AJ35" s="85">
        <v>6.2975549999999998E-3</v>
      </c>
      <c r="AK35" s="86">
        <v>5.7329240000000004E-3</v>
      </c>
      <c r="AL35" s="85">
        <v>6.0348559999999999E-3</v>
      </c>
      <c r="AM35" s="85">
        <v>5.6817675692737643E-3</v>
      </c>
      <c r="AN35" s="85">
        <v>5.1048534307053745E-3</v>
      </c>
      <c r="AO35" s="85">
        <v>5.214291209808636E-3</v>
      </c>
      <c r="AP35" s="86">
        <v>5.3851889795898545E-3</v>
      </c>
      <c r="AQ35" s="85">
        <v>4.8531802002482706E-3</v>
      </c>
      <c r="AR35" s="85">
        <v>4.3126747374720529E-3</v>
      </c>
      <c r="AS35" s="85">
        <v>3.8309019306240438E-3</v>
      </c>
      <c r="AT35" s="85">
        <v>4.8943737611738865E-3</v>
      </c>
      <c r="AU35" s="86">
        <v>4.4365611493375505E-3</v>
      </c>
      <c r="AV35" s="85">
        <v>4.5133791496995502E-3</v>
      </c>
      <c r="AW35" s="85">
        <v>5.2082052552123153E-3</v>
      </c>
      <c r="AX35" s="85">
        <v>4.0629112297905414E-3</v>
      </c>
      <c r="AY35" s="85">
        <v>5.2646036399636199E-3</v>
      </c>
      <c r="AZ35" s="86">
        <v>4.7977759536942588E-3</v>
      </c>
      <c r="BA35" s="85">
        <v>4.2630097689579614E-3</v>
      </c>
      <c r="BB35" s="85">
        <v>4.5329615636121928E-3</v>
      </c>
      <c r="BC35" s="85">
        <v>4.2207571208108547E-3</v>
      </c>
      <c r="BD35" s="85">
        <v>3.9620173930068371E-3</v>
      </c>
      <c r="BE35" s="86">
        <v>4.4185186194640319E-3</v>
      </c>
      <c r="BF35" s="85">
        <v>4.286157594258877E-3</v>
      </c>
      <c r="BG35" s="85">
        <v>1.9756078990390631E-3</v>
      </c>
      <c r="BH35" s="85">
        <v>2.0697937450259302E-3</v>
      </c>
      <c r="BI35" s="85">
        <v>2.7767455350796531E-3</v>
      </c>
      <c r="BJ35" s="86">
        <v>2.6987024686802555E-3</v>
      </c>
      <c r="BK35" s="85">
        <v>2.5185832539000382E-3</v>
      </c>
      <c r="BL35" s="85">
        <v>2.3969999999999998E-3</v>
      </c>
      <c r="BM35" s="85">
        <v>3.0000000000000001E-3</v>
      </c>
      <c r="BN35" s="85">
        <v>3.0000000000000001E-3</v>
      </c>
      <c r="BO35" s="156">
        <v>2E-3</v>
      </c>
      <c r="BP35" s="125">
        <v>2E-3</v>
      </c>
      <c r="BQ35" s="125">
        <v>1.9968381482050658E-3</v>
      </c>
      <c r="BR35" s="125">
        <v>1.9E-3</v>
      </c>
      <c r="BS35" s="125">
        <v>2.0999999999999999E-3</v>
      </c>
      <c r="BT35" s="156">
        <v>2E-3</v>
      </c>
      <c r="BU35" s="154">
        <v>4.4000000000000003E-3</v>
      </c>
      <c r="BV35" s="154">
        <v>0</v>
      </c>
      <c r="BW35" s="154">
        <v>0</v>
      </c>
      <c r="BX35" s="154">
        <v>0</v>
      </c>
      <c r="BY35" s="154">
        <v>3.9875972867366643E-4</v>
      </c>
      <c r="BZ35" s="154">
        <v>0</v>
      </c>
      <c r="CA35" s="154">
        <v>0</v>
      </c>
      <c r="CB35" s="154">
        <v>0</v>
      </c>
      <c r="CC35" s="154">
        <v>0</v>
      </c>
      <c r="CD35" s="154">
        <v>0</v>
      </c>
      <c r="CE35" s="154">
        <v>0</v>
      </c>
      <c r="CF35" s="154">
        <v>0</v>
      </c>
      <c r="CG35" s="252">
        <v>0</v>
      </c>
    </row>
    <row r="36" spans="2:85"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</row>
    <row r="37" spans="2:85">
      <c r="B37" s="87" t="s">
        <v>13</v>
      </c>
      <c r="C37" s="88">
        <f t="shared" ref="C37:F37" si="6">SUM(C38:C43)</f>
        <v>11.5</v>
      </c>
      <c r="D37" s="88">
        <f t="shared" si="6"/>
        <v>21.5</v>
      </c>
      <c r="E37" s="88">
        <f t="shared" si="6"/>
        <v>12.2</v>
      </c>
      <c r="F37" s="88">
        <f t="shared" si="6"/>
        <v>26</v>
      </c>
      <c r="G37" s="89">
        <v>71.2</v>
      </c>
      <c r="H37" s="88">
        <v>23</v>
      </c>
      <c r="I37" s="88">
        <v>45.2</v>
      </c>
      <c r="J37" s="88">
        <v>76.799999999999983</v>
      </c>
      <c r="K37" s="88">
        <v>99.1</v>
      </c>
      <c r="L37" s="89">
        <v>244.1</v>
      </c>
      <c r="M37" s="88">
        <v>42.9</v>
      </c>
      <c r="N37" s="88">
        <v>52.699999999999996</v>
      </c>
      <c r="O37" s="88">
        <v>77.400000000000006</v>
      </c>
      <c r="P37" s="88">
        <v>82</v>
      </c>
      <c r="Q37" s="89">
        <v>255</v>
      </c>
      <c r="R37" s="88">
        <v>35.4</v>
      </c>
      <c r="S37" s="88">
        <v>22.2</v>
      </c>
      <c r="T37" s="88">
        <v>48.000000000000007</v>
      </c>
      <c r="U37" s="88">
        <v>78.099999999999994</v>
      </c>
      <c r="V37" s="89">
        <v>183.70000000000002</v>
      </c>
      <c r="W37" s="88">
        <v>54.3</v>
      </c>
      <c r="X37" s="88">
        <v>47.600999999999999</v>
      </c>
      <c r="Y37" s="88">
        <v>88.64700000000002</v>
      </c>
      <c r="Z37" s="88">
        <v>75.510320030000003</v>
      </c>
      <c r="AA37" s="89">
        <v>266.05832003</v>
      </c>
      <c r="AB37" s="88">
        <v>51.088561539999802</v>
      </c>
      <c r="AC37" s="88">
        <v>69.502703390000292</v>
      </c>
      <c r="AD37" s="88">
        <v>55.219222110000004</v>
      </c>
      <c r="AE37" s="88">
        <v>44.56666158000003</v>
      </c>
      <c r="AF37" s="89">
        <v>220.37714862000013</v>
      </c>
      <c r="AG37" s="88">
        <v>32.799999999999997</v>
      </c>
      <c r="AH37" s="88">
        <v>30.9</v>
      </c>
      <c r="AI37" s="88">
        <v>23.244000000000003</v>
      </c>
      <c r="AJ37" s="88">
        <v>26.06</v>
      </c>
      <c r="AK37" s="89">
        <v>113.00400000000002</v>
      </c>
      <c r="AL37" s="88">
        <v>26.99125128</v>
      </c>
      <c r="AM37" s="88">
        <v>33.551748720000006</v>
      </c>
      <c r="AN37" s="88">
        <v>27.300847289999879</v>
      </c>
      <c r="AO37" s="88">
        <v>19.501951340000076</v>
      </c>
      <c r="AP37" s="89">
        <v>107.34579862999995</v>
      </c>
      <c r="AQ37" s="88">
        <v>12.497724000000005</v>
      </c>
      <c r="AR37" s="88">
        <v>11.332752800000026</v>
      </c>
      <c r="AS37" s="88">
        <v>11.526744109999999</v>
      </c>
      <c r="AT37" s="88">
        <v>20.5</v>
      </c>
      <c r="AU37" s="89">
        <v>56</v>
      </c>
      <c r="AV37" s="88">
        <v>10.5</v>
      </c>
      <c r="AW37" s="88">
        <v>15.574999999999998</v>
      </c>
      <c r="AX37" s="88">
        <v>23.7</v>
      </c>
      <c r="AY37" s="88">
        <v>12.3</v>
      </c>
      <c r="AZ37" s="89">
        <v>62.074999999999989</v>
      </c>
      <c r="BA37" s="88">
        <v>15.5</v>
      </c>
      <c r="BB37" s="88">
        <v>14.13</v>
      </c>
      <c r="BC37" s="88">
        <v>12.64</v>
      </c>
      <c r="BD37" s="88">
        <v>17.220492380000003</v>
      </c>
      <c r="BE37" s="89">
        <v>59.490492379999999</v>
      </c>
      <c r="BF37" s="88">
        <v>10.0162514</v>
      </c>
      <c r="BG37" s="88">
        <v>10.577408369999997</v>
      </c>
      <c r="BH37" s="88">
        <v>11.881331919999994</v>
      </c>
      <c r="BI37" s="88">
        <v>21.558508710000002</v>
      </c>
      <c r="BJ37" s="89">
        <v>54.033500399999994</v>
      </c>
      <c r="BK37" s="88">
        <v>11.45</v>
      </c>
      <c r="BL37" s="88">
        <v>18.468761699999998</v>
      </c>
      <c r="BM37" s="88">
        <v>18.714979450000001</v>
      </c>
      <c r="BN37" s="88">
        <v>31.276914930000004</v>
      </c>
      <c r="BO37" s="159">
        <v>79.910656079999995</v>
      </c>
      <c r="BP37" s="88">
        <v>17.617925260000003</v>
      </c>
      <c r="BQ37" s="88">
        <v>15.86351168</v>
      </c>
      <c r="BR37" s="88">
        <v>14.648744809999991</v>
      </c>
      <c r="BS37" s="88">
        <v>23.74945494</v>
      </c>
      <c r="BT37" s="159">
        <v>71.879636689999984</v>
      </c>
      <c r="BU37" s="160">
        <v>9.7233461599999984</v>
      </c>
      <c r="BV37" s="160">
        <v>1.8845616300000001</v>
      </c>
      <c r="BW37" s="160">
        <v>1.879779939999999</v>
      </c>
      <c r="BX37" s="160">
        <v>2.1546041499999995</v>
      </c>
      <c r="BY37" s="230">
        <v>15.642291879999997</v>
      </c>
      <c r="BZ37" s="230">
        <v>1.5008719500000161</v>
      </c>
      <c r="CA37" s="230">
        <v>0.74486449000000077</v>
      </c>
      <c r="CB37" s="230">
        <v>1.3221668700000011</v>
      </c>
      <c r="CC37" s="230">
        <f>SUM(CC38:CC43)</f>
        <v>0.8</v>
      </c>
      <c r="CD37" s="230">
        <f>SUM(CD38:CD43)</f>
        <v>4.4000000000000004</v>
      </c>
      <c r="CE37" s="230">
        <f>SUM(CE38:CE43)</f>
        <v>2.758</v>
      </c>
      <c r="CF37" s="230">
        <f>SUM(CF38:CF43)</f>
        <v>6.3570000000000002</v>
      </c>
      <c r="CG37" s="231">
        <v>7.9</v>
      </c>
    </row>
    <row r="38" spans="2:85">
      <c r="B38" s="72" t="str">
        <f>IF('Índice - Index'!$D$14="Português","Novas Lojas","New Stores")</f>
        <v>Novas Lojas</v>
      </c>
      <c r="C38" s="88">
        <v>7.5</v>
      </c>
      <c r="D38" s="88">
        <v>5.9</v>
      </c>
      <c r="E38" s="88">
        <v>5.7</v>
      </c>
      <c r="F38" s="88">
        <v>12.9</v>
      </c>
      <c r="G38" s="104">
        <v>32</v>
      </c>
      <c r="H38" s="88">
        <v>17.7</v>
      </c>
      <c r="I38" s="88">
        <v>23</v>
      </c>
      <c r="J38" s="88">
        <v>62.1</v>
      </c>
      <c r="K38" s="88">
        <v>78.099999999999994</v>
      </c>
      <c r="L38" s="104">
        <v>180.9</v>
      </c>
      <c r="M38" s="88">
        <v>29.2</v>
      </c>
      <c r="N38" s="88">
        <v>32.9</v>
      </c>
      <c r="O38" s="88">
        <v>52.7</v>
      </c>
      <c r="P38" s="88">
        <v>65.599999999999994</v>
      </c>
      <c r="Q38" s="104">
        <v>180.39999999999998</v>
      </c>
      <c r="R38" s="88">
        <v>21.5</v>
      </c>
      <c r="S38" s="88">
        <v>11.8</v>
      </c>
      <c r="T38" s="88">
        <v>27.1</v>
      </c>
      <c r="U38" s="88">
        <v>55.7</v>
      </c>
      <c r="V38" s="101">
        <v>116.1</v>
      </c>
      <c r="W38" s="88">
        <v>28.8</v>
      </c>
      <c r="X38" s="88">
        <v>23.959499999999998</v>
      </c>
      <c r="Y38" s="88">
        <v>44.578603420000022</v>
      </c>
      <c r="Z38" s="88">
        <v>31.259994239999997</v>
      </c>
      <c r="AA38" s="104">
        <v>128.59809766000001</v>
      </c>
      <c r="AB38" s="88">
        <v>17.189194310000005</v>
      </c>
      <c r="AC38" s="88">
        <v>4.6850159599999985</v>
      </c>
      <c r="AD38" s="88">
        <v>9.5479176599999995</v>
      </c>
      <c r="AE38" s="88">
        <v>6.3352034499999981</v>
      </c>
      <c r="AF38" s="104">
        <v>37.757331379999997</v>
      </c>
      <c r="AG38" s="88">
        <v>0.9</v>
      </c>
      <c r="AH38" s="88">
        <v>0.1</v>
      </c>
      <c r="AI38" s="88">
        <v>0.61089044999999997</v>
      </c>
      <c r="AJ38" s="88">
        <v>3.5910000000000002</v>
      </c>
      <c r="AK38" s="104">
        <v>5.2018904500000005</v>
      </c>
      <c r="AL38" s="88">
        <v>0.39711080999999998</v>
      </c>
      <c r="AM38" s="88">
        <v>0.90594165999999887</v>
      </c>
      <c r="AN38" s="88">
        <v>0.25669825999999996</v>
      </c>
      <c r="AO38" s="88">
        <v>2.8602549500000003</v>
      </c>
      <c r="AP38" s="89">
        <v>4.4200056799999992</v>
      </c>
      <c r="AQ38" s="88">
        <v>0</v>
      </c>
      <c r="AR38" s="88">
        <v>0</v>
      </c>
      <c r="AS38" s="88">
        <v>0</v>
      </c>
      <c r="AT38" s="88" t="s">
        <v>14</v>
      </c>
      <c r="AU38" s="89" t="s">
        <v>14</v>
      </c>
      <c r="AV38" s="88">
        <v>0</v>
      </c>
      <c r="AW38" s="88">
        <v>0</v>
      </c>
      <c r="AX38" s="88">
        <v>0</v>
      </c>
      <c r="AY38" s="88">
        <v>0</v>
      </c>
      <c r="AZ38" s="89">
        <v>0</v>
      </c>
      <c r="BA38" s="88">
        <v>0</v>
      </c>
      <c r="BB38" s="88">
        <v>0</v>
      </c>
      <c r="BC38" s="88">
        <v>0</v>
      </c>
      <c r="BD38" s="88">
        <v>0</v>
      </c>
      <c r="BE38" s="89">
        <v>0</v>
      </c>
      <c r="BF38" s="88">
        <v>0</v>
      </c>
      <c r="BG38" s="88">
        <v>0</v>
      </c>
      <c r="BH38" s="88">
        <v>0</v>
      </c>
      <c r="BI38" s="88">
        <v>0</v>
      </c>
      <c r="BJ38" s="89">
        <v>0</v>
      </c>
      <c r="BK38" s="88">
        <v>0</v>
      </c>
      <c r="BL38" s="88">
        <v>0</v>
      </c>
      <c r="BM38" s="88">
        <v>0</v>
      </c>
      <c r="BN38" s="160">
        <v>0</v>
      </c>
      <c r="BO38" s="159">
        <v>0</v>
      </c>
      <c r="BP38" s="160">
        <v>0</v>
      </c>
      <c r="BQ38" s="160">
        <v>0</v>
      </c>
      <c r="BR38" s="160">
        <v>0</v>
      </c>
      <c r="BS38" s="160">
        <v>0</v>
      </c>
      <c r="BT38" s="159">
        <v>0</v>
      </c>
      <c r="BU38" s="160">
        <v>0</v>
      </c>
      <c r="BV38" s="160">
        <v>0</v>
      </c>
      <c r="BW38" s="160">
        <v>0</v>
      </c>
      <c r="BX38" s="160">
        <v>0</v>
      </c>
      <c r="BY38" s="160">
        <v>0</v>
      </c>
      <c r="BZ38" s="160">
        <v>0</v>
      </c>
      <c r="CA38" s="160">
        <v>0</v>
      </c>
      <c r="CB38" s="160">
        <v>0</v>
      </c>
      <c r="CC38" s="160">
        <v>0</v>
      </c>
      <c r="CD38" s="160" t="s">
        <v>14</v>
      </c>
      <c r="CE38" s="160" t="s">
        <v>14</v>
      </c>
      <c r="CF38" s="160" t="s">
        <v>14</v>
      </c>
      <c r="CG38" s="214" t="s">
        <v>14</v>
      </c>
    </row>
    <row r="39" spans="2:85">
      <c r="B39" s="72" t="str">
        <f>IF('Índice - Index'!$D$14="Português","Ampliações e Reformas","Stores remodeling")</f>
        <v>Ampliações e Reformas</v>
      </c>
      <c r="C39" s="88">
        <v>1.6</v>
      </c>
      <c r="D39" s="88">
        <v>1.8</v>
      </c>
      <c r="E39" s="88">
        <v>1.5</v>
      </c>
      <c r="F39" s="88">
        <v>7</v>
      </c>
      <c r="G39" s="104">
        <v>11.9</v>
      </c>
      <c r="H39" s="88">
        <v>1.1000000000000001</v>
      </c>
      <c r="I39" s="88">
        <v>9.8000000000000007</v>
      </c>
      <c r="J39" s="88">
        <v>8</v>
      </c>
      <c r="K39" s="88">
        <v>8.1</v>
      </c>
      <c r="L39" s="104">
        <v>27</v>
      </c>
      <c r="M39" s="88">
        <v>5</v>
      </c>
      <c r="N39" s="88">
        <v>8</v>
      </c>
      <c r="O39" s="88">
        <v>14.1</v>
      </c>
      <c r="P39" s="88">
        <v>8.3000000000000007</v>
      </c>
      <c r="Q39" s="104">
        <v>35.400000000000006</v>
      </c>
      <c r="R39" s="88">
        <v>4</v>
      </c>
      <c r="S39" s="88">
        <v>1.9</v>
      </c>
      <c r="T39" s="88">
        <v>7.7</v>
      </c>
      <c r="U39" s="88">
        <v>4.2</v>
      </c>
      <c r="V39" s="101">
        <v>17.8</v>
      </c>
      <c r="W39" s="88">
        <v>9.4</v>
      </c>
      <c r="X39" s="88">
        <v>9.9160000000000004</v>
      </c>
      <c r="Y39" s="88">
        <v>25.72093907</v>
      </c>
      <c r="Z39" s="88">
        <v>26.475670600000001</v>
      </c>
      <c r="AA39" s="104">
        <v>71.512609670000003</v>
      </c>
      <c r="AB39" s="88">
        <v>18.771505380000001</v>
      </c>
      <c r="AC39" s="88">
        <v>14.356999999999999</v>
      </c>
      <c r="AD39" s="88">
        <v>11.26672422</v>
      </c>
      <c r="AE39" s="88">
        <v>10.66672859</v>
      </c>
      <c r="AF39" s="104">
        <v>55.061958189999999</v>
      </c>
      <c r="AG39" s="88">
        <v>4.7</v>
      </c>
      <c r="AH39" s="88">
        <v>3.8</v>
      </c>
      <c r="AI39" s="88">
        <v>10.398066640000001</v>
      </c>
      <c r="AJ39" s="88">
        <v>9.048</v>
      </c>
      <c r="AK39" s="104">
        <v>27.946066640000005</v>
      </c>
      <c r="AL39" s="88">
        <v>16.60125442</v>
      </c>
      <c r="AM39" s="88">
        <v>22.000355130000006</v>
      </c>
      <c r="AN39" s="88">
        <v>17.518429659999956</v>
      </c>
      <c r="AO39" s="88">
        <v>9.041566280000076</v>
      </c>
      <c r="AP39" s="89">
        <v>65.161605489999999</v>
      </c>
      <c r="AQ39" s="88">
        <v>1.12486427</v>
      </c>
      <c r="AR39" s="88">
        <v>1.5893424199999997</v>
      </c>
      <c r="AS39" s="88">
        <v>2.5228036999999999</v>
      </c>
      <c r="AT39" s="88">
        <v>4</v>
      </c>
      <c r="AU39" s="89">
        <v>9.1999999999999993</v>
      </c>
      <c r="AV39" s="88">
        <v>1</v>
      </c>
      <c r="AW39" s="88">
        <v>5.4969999999999999</v>
      </c>
      <c r="AX39" s="88">
        <v>7.2</v>
      </c>
      <c r="AY39" s="88">
        <v>2.6</v>
      </c>
      <c r="AZ39" s="89">
        <v>16.297000000000001</v>
      </c>
      <c r="BA39" s="88">
        <v>2.4</v>
      </c>
      <c r="BB39" s="88">
        <v>2.9</v>
      </c>
      <c r="BC39" s="88">
        <v>4.49</v>
      </c>
      <c r="BD39" s="88">
        <v>4.4151559999999996</v>
      </c>
      <c r="BE39" s="89">
        <v>14.205155999999999</v>
      </c>
      <c r="BF39" s="88">
        <v>2.7543371900000002</v>
      </c>
      <c r="BG39" s="88">
        <v>2.6636115099999995</v>
      </c>
      <c r="BH39" s="88">
        <v>6.1229706499999992</v>
      </c>
      <c r="BI39" s="88">
        <v>4.6987379200000019</v>
      </c>
      <c r="BJ39" s="89">
        <v>16.239657270000002</v>
      </c>
      <c r="BK39" s="88">
        <v>2.23</v>
      </c>
      <c r="BL39" s="88">
        <v>2.47961141</v>
      </c>
      <c r="BM39" s="88">
        <v>2.6255456199999996</v>
      </c>
      <c r="BN39" s="160">
        <v>15.525398610000003</v>
      </c>
      <c r="BO39" s="159">
        <v>22.860555640000001</v>
      </c>
      <c r="BP39" s="160">
        <v>3.7935139000000002</v>
      </c>
      <c r="BQ39" s="160">
        <v>2.2584202999999996</v>
      </c>
      <c r="BR39" s="160">
        <v>1.12659767</v>
      </c>
      <c r="BS39" s="160">
        <v>5.5306296400000026</v>
      </c>
      <c r="BT39" s="159">
        <v>12.709161510000001</v>
      </c>
      <c r="BU39" s="160">
        <v>1.3223589599999999</v>
      </c>
      <c r="BV39" s="160">
        <v>0.30740764000000004</v>
      </c>
      <c r="BW39" s="160">
        <v>1.854955229999999</v>
      </c>
      <c r="BX39" s="160">
        <v>1.9720322299999997</v>
      </c>
      <c r="BY39" s="160">
        <v>5.4567540599999989</v>
      </c>
      <c r="BZ39" s="160">
        <v>0.20314190999999998</v>
      </c>
      <c r="CA39" s="160">
        <v>0.25891692999999982</v>
      </c>
      <c r="CB39" s="160">
        <v>0.96556515000000109</v>
      </c>
      <c r="CC39" s="160">
        <v>0.6</v>
      </c>
      <c r="CD39" s="160">
        <v>1.6</v>
      </c>
      <c r="CE39" s="160">
        <v>0.47499999999999998</v>
      </c>
      <c r="CF39" s="160">
        <v>1.1919999999999999</v>
      </c>
      <c r="CG39" s="25">
        <v>2.1</v>
      </c>
    </row>
    <row r="40" spans="2:85">
      <c r="B40" s="72" t="str">
        <f>IF('Índice - Index'!$D$14="Português","Logística","Logistics")</f>
        <v>Logística</v>
      </c>
      <c r="C40" s="88">
        <v>0</v>
      </c>
      <c r="D40" s="88">
        <v>8.3354660000000003</v>
      </c>
      <c r="E40" s="88">
        <v>0.71545519999999918</v>
      </c>
      <c r="F40" s="88">
        <v>0.27390300000000067</v>
      </c>
      <c r="G40" s="104">
        <v>9.3248242000000001</v>
      </c>
      <c r="H40" s="88">
        <v>0.151863</v>
      </c>
      <c r="I40" s="88">
        <v>1.0490079999999999</v>
      </c>
      <c r="J40" s="88">
        <v>2.03172335</v>
      </c>
      <c r="K40" s="88">
        <v>4.9000000000000004</v>
      </c>
      <c r="L40" s="104">
        <v>8.1325943500000015</v>
      </c>
      <c r="M40" s="88">
        <v>3.3</v>
      </c>
      <c r="N40" s="88">
        <v>4.8</v>
      </c>
      <c r="O40" s="88">
        <v>3.9</v>
      </c>
      <c r="P40" s="88">
        <v>1.9</v>
      </c>
      <c r="Q40" s="104">
        <v>13.9</v>
      </c>
      <c r="R40" s="88">
        <v>0.4</v>
      </c>
      <c r="S40" s="88">
        <v>0.7</v>
      </c>
      <c r="T40" s="88">
        <v>0.5</v>
      </c>
      <c r="U40" s="88">
        <v>4.5999999999999996</v>
      </c>
      <c r="V40" s="101">
        <v>6.1999999999999993</v>
      </c>
      <c r="W40" s="88">
        <v>0.5</v>
      </c>
      <c r="X40" s="88">
        <v>2.9784999999999999</v>
      </c>
      <c r="Y40" s="88">
        <v>10.309763139999999</v>
      </c>
      <c r="Z40" s="88">
        <v>3.3540121899999997</v>
      </c>
      <c r="AA40" s="104">
        <v>17.14227533</v>
      </c>
      <c r="AB40" s="88">
        <v>0.30479227999999997</v>
      </c>
      <c r="AC40" s="88">
        <v>0.66500000000000004</v>
      </c>
      <c r="AD40" s="88">
        <v>0.30476063000000003</v>
      </c>
      <c r="AE40" s="88">
        <v>6.003647149999999</v>
      </c>
      <c r="AF40" s="104">
        <v>7.2782000599999996</v>
      </c>
      <c r="AG40" s="88">
        <v>1.9</v>
      </c>
      <c r="AH40" s="88">
        <v>3.3</v>
      </c>
      <c r="AI40" s="88">
        <v>3.0474580000000001E-2</v>
      </c>
      <c r="AJ40" s="88">
        <v>0.128</v>
      </c>
      <c r="AK40" s="104">
        <v>5.3584745799999993</v>
      </c>
      <c r="AL40" s="88">
        <v>3.9437600000000003E-2</v>
      </c>
      <c r="AM40" s="88">
        <v>1.2068229999999999E-2</v>
      </c>
      <c r="AN40" s="88">
        <v>6.0307210000000007E-2</v>
      </c>
      <c r="AO40" s="88">
        <v>0.14818049999999999</v>
      </c>
      <c r="AP40" s="89">
        <v>0.25999353999999997</v>
      </c>
      <c r="AQ40" s="88">
        <v>9.4832E-2</v>
      </c>
      <c r="AR40" s="88">
        <v>4.0683050000000005E-2</v>
      </c>
      <c r="AS40" s="88">
        <v>2.7619999999999999E-2</v>
      </c>
      <c r="AT40" s="88">
        <v>0.3</v>
      </c>
      <c r="AU40" s="89">
        <v>0.4</v>
      </c>
      <c r="AV40" s="88">
        <v>0.3</v>
      </c>
      <c r="AW40" s="88">
        <v>0.22600000000000001</v>
      </c>
      <c r="AX40" s="88">
        <v>0</v>
      </c>
      <c r="AY40" s="88">
        <v>0.2</v>
      </c>
      <c r="AZ40" s="89">
        <v>0.72599999999999998</v>
      </c>
      <c r="BA40" s="88" t="s">
        <v>14</v>
      </c>
      <c r="BB40" s="88">
        <v>0.16</v>
      </c>
      <c r="BC40" s="88">
        <v>0</v>
      </c>
      <c r="BD40" s="88">
        <v>0</v>
      </c>
      <c r="BE40" s="89">
        <v>0.16</v>
      </c>
      <c r="BF40" s="88">
        <v>0</v>
      </c>
      <c r="BG40" s="88">
        <v>0</v>
      </c>
      <c r="BH40" s="88">
        <v>0</v>
      </c>
      <c r="BI40" s="88">
        <v>0</v>
      </c>
      <c r="BJ40" s="89">
        <v>0</v>
      </c>
      <c r="BK40" s="88">
        <v>0</v>
      </c>
      <c r="BL40" s="88">
        <v>0</v>
      </c>
      <c r="BM40" s="88">
        <v>0</v>
      </c>
      <c r="BN40" s="160">
        <v>0</v>
      </c>
      <c r="BO40" s="159">
        <v>0</v>
      </c>
      <c r="BP40" s="160">
        <v>0</v>
      </c>
      <c r="BQ40" s="160">
        <v>0</v>
      </c>
      <c r="BR40" s="160">
        <v>0</v>
      </c>
      <c r="BS40" s="160">
        <v>0</v>
      </c>
      <c r="BT40" s="159">
        <v>0</v>
      </c>
      <c r="BU40" s="160">
        <v>0</v>
      </c>
      <c r="BV40" s="160">
        <v>0</v>
      </c>
      <c r="BW40" s="160">
        <v>0</v>
      </c>
      <c r="BX40" s="160">
        <v>0</v>
      </c>
      <c r="BY40" s="160">
        <v>0</v>
      </c>
      <c r="BZ40" s="160">
        <v>0</v>
      </c>
      <c r="CA40" s="160">
        <v>0</v>
      </c>
      <c r="CB40" s="160">
        <v>0</v>
      </c>
      <c r="CC40" s="160">
        <v>0</v>
      </c>
      <c r="CD40" s="160" t="s">
        <v>14</v>
      </c>
      <c r="CE40" s="160" t="s">
        <v>14</v>
      </c>
      <c r="CF40" s="160"/>
      <c r="CG40" s="214" t="s">
        <v>14</v>
      </c>
    </row>
    <row r="41" spans="2:85">
      <c r="B41" s="72" t="str">
        <f>IF('Índice - Index'!$D$14="Português","TI","IT")</f>
        <v>TI</v>
      </c>
      <c r="C41" s="88">
        <v>1.502845</v>
      </c>
      <c r="D41" s="88">
        <v>4.0390090000000001</v>
      </c>
      <c r="E41" s="88">
        <v>1.5640129800000002</v>
      </c>
      <c r="F41" s="88">
        <v>1.2099543500000001</v>
      </c>
      <c r="G41" s="104">
        <v>8.3158213300000003</v>
      </c>
      <c r="H41" s="88">
        <v>2.4172761</v>
      </c>
      <c r="I41" s="88">
        <v>3.3555269999999999</v>
      </c>
      <c r="J41" s="88">
        <v>3.1878316799999995</v>
      </c>
      <c r="K41" s="88">
        <v>3.1</v>
      </c>
      <c r="L41" s="104">
        <v>12.060634779999999</v>
      </c>
      <c r="M41" s="88">
        <v>2.5</v>
      </c>
      <c r="N41" s="88">
        <v>3.5</v>
      </c>
      <c r="O41" s="88">
        <v>4</v>
      </c>
      <c r="P41" s="88">
        <v>2.9</v>
      </c>
      <c r="Q41" s="104">
        <v>12.9</v>
      </c>
      <c r="R41" s="88">
        <v>3.2</v>
      </c>
      <c r="S41" s="88">
        <v>6.1</v>
      </c>
      <c r="T41" s="88">
        <v>7.7</v>
      </c>
      <c r="U41" s="88">
        <v>6.3</v>
      </c>
      <c r="V41" s="101">
        <v>23.3</v>
      </c>
      <c r="W41" s="88">
        <v>9.8000000000000007</v>
      </c>
      <c r="X41" s="88">
        <v>4.9429999999999996</v>
      </c>
      <c r="Y41" s="88">
        <v>4.6032719900000005</v>
      </c>
      <c r="Z41" s="88">
        <v>4.752665659999999</v>
      </c>
      <c r="AA41" s="104">
        <v>24.09893765</v>
      </c>
      <c r="AB41" s="88">
        <v>6.2384340800000002</v>
      </c>
      <c r="AC41" s="88">
        <v>9.3022306999999991</v>
      </c>
      <c r="AD41" s="88">
        <v>11.263500349999999</v>
      </c>
      <c r="AE41" s="88">
        <v>8.0091358100000001</v>
      </c>
      <c r="AF41" s="104">
        <v>34.813300940000005</v>
      </c>
      <c r="AG41" s="88">
        <v>3.6</v>
      </c>
      <c r="AH41" s="88">
        <v>4.4000000000000004</v>
      </c>
      <c r="AI41" s="88">
        <v>3.8397527900000004</v>
      </c>
      <c r="AJ41" s="88">
        <v>1.998</v>
      </c>
      <c r="AK41" s="104">
        <v>13.83775279</v>
      </c>
      <c r="AL41" s="88">
        <v>2.2385609899999999</v>
      </c>
      <c r="AM41" s="88">
        <v>5.8125256300000014</v>
      </c>
      <c r="AN41" s="88">
        <v>2.1074424999999963</v>
      </c>
      <c r="AO41" s="88">
        <v>2.9350289100000007</v>
      </c>
      <c r="AP41" s="89">
        <v>13.093558029999997</v>
      </c>
      <c r="AQ41" s="88">
        <v>8.4658971400000027</v>
      </c>
      <c r="AR41" s="88">
        <v>6.5237898599999813</v>
      </c>
      <c r="AS41" s="88">
        <v>6.4777864699999999</v>
      </c>
      <c r="AT41" s="88">
        <v>10</v>
      </c>
      <c r="AU41" s="89">
        <v>31.5</v>
      </c>
      <c r="AV41" s="88">
        <v>7.7</v>
      </c>
      <c r="AW41" s="88">
        <v>9.7029999999999994</v>
      </c>
      <c r="AX41" s="88">
        <v>14.2</v>
      </c>
      <c r="AY41" s="88">
        <v>9.5</v>
      </c>
      <c r="AZ41" s="89">
        <v>41.102999999999994</v>
      </c>
      <c r="BA41" s="88">
        <v>13.1</v>
      </c>
      <c r="BB41" s="88">
        <v>11.07</v>
      </c>
      <c r="BC41" s="88">
        <v>8.15</v>
      </c>
      <c r="BD41" s="88">
        <v>12.805336380000002</v>
      </c>
      <c r="BE41" s="89">
        <v>45.12533638</v>
      </c>
      <c r="BF41" s="88">
        <v>7.1722262099999998</v>
      </c>
      <c r="BG41" s="88">
        <v>7.7687968599999984</v>
      </c>
      <c r="BH41" s="88">
        <v>5.6082227699999949</v>
      </c>
      <c r="BI41" s="88">
        <v>16.6569191</v>
      </c>
      <c r="BJ41" s="89">
        <v>37.206164939999994</v>
      </c>
      <c r="BK41" s="88">
        <v>9.02</v>
      </c>
      <c r="BL41" s="88">
        <v>15.798814459999999</v>
      </c>
      <c r="BM41" s="88">
        <v>16.024863670000002</v>
      </c>
      <c r="BN41" s="160">
        <v>15.40488631</v>
      </c>
      <c r="BO41" s="159">
        <v>56.248564440000003</v>
      </c>
      <c r="BP41" s="160">
        <v>13.816717220000003</v>
      </c>
      <c r="BQ41" s="160">
        <v>13.605091380000001</v>
      </c>
      <c r="BR41" s="160">
        <v>13.522147139999991</v>
      </c>
      <c r="BS41" s="160">
        <v>18.218825299999995</v>
      </c>
      <c r="BT41" s="159">
        <v>59.162781039999985</v>
      </c>
      <c r="BU41" s="160">
        <v>8.4009871999999994</v>
      </c>
      <c r="BV41" s="160">
        <v>1.57715399</v>
      </c>
      <c r="BW41" s="160">
        <v>2.4824710000000003E-2</v>
      </c>
      <c r="BX41" s="160">
        <v>0.18257191999999997</v>
      </c>
      <c r="BY41" s="160">
        <v>10.185537819999999</v>
      </c>
      <c r="BZ41" s="160">
        <v>1.297730040000016</v>
      </c>
      <c r="CA41" s="160">
        <v>0.485947560000001</v>
      </c>
      <c r="CB41" s="160">
        <v>0.35660171999999996</v>
      </c>
      <c r="CC41" s="160">
        <v>0.2</v>
      </c>
      <c r="CD41" s="160">
        <v>2.8</v>
      </c>
      <c r="CE41" s="160">
        <v>1.883</v>
      </c>
      <c r="CF41" s="160">
        <v>4.9080000000000004</v>
      </c>
      <c r="CG41" s="25">
        <v>5.4</v>
      </c>
    </row>
    <row r="42" spans="2:85">
      <c r="B42" s="72" t="str">
        <f>IF('Índice - Index'!$D$14="Português","Outros","Others")</f>
        <v>Outros</v>
      </c>
      <c r="C42" s="88">
        <v>0.89715499999999992</v>
      </c>
      <c r="D42" s="88">
        <v>1.4255250000000004</v>
      </c>
      <c r="E42" s="88">
        <v>2.7205318200000006</v>
      </c>
      <c r="F42" s="88">
        <v>4.6161426499999987</v>
      </c>
      <c r="G42" s="104">
        <v>9.6593544700000002</v>
      </c>
      <c r="H42" s="88">
        <v>1.6308609000000005</v>
      </c>
      <c r="I42" s="88">
        <v>7.9954649999999994</v>
      </c>
      <c r="J42" s="88">
        <v>1.4804449700000006</v>
      </c>
      <c r="K42" s="88">
        <v>4.9000000000000004</v>
      </c>
      <c r="L42" s="104">
        <v>16.00677087</v>
      </c>
      <c r="M42" s="88">
        <v>2.9</v>
      </c>
      <c r="N42" s="88">
        <v>3.5</v>
      </c>
      <c r="O42" s="88">
        <v>2.7</v>
      </c>
      <c r="P42" s="88">
        <v>3.3</v>
      </c>
      <c r="Q42" s="104">
        <v>12.400000000000002</v>
      </c>
      <c r="R42" s="88">
        <v>6.3</v>
      </c>
      <c r="S42" s="88">
        <v>1.7</v>
      </c>
      <c r="T42" s="88">
        <v>5</v>
      </c>
      <c r="U42" s="88">
        <v>7.3</v>
      </c>
      <c r="V42" s="101">
        <v>20.3</v>
      </c>
      <c r="W42" s="88">
        <v>5.8</v>
      </c>
      <c r="X42" s="88">
        <v>5.8040000000000003</v>
      </c>
      <c r="Y42" s="88">
        <v>3.4344223800000004</v>
      </c>
      <c r="Z42" s="88">
        <v>9.6679773400000002</v>
      </c>
      <c r="AA42" s="104">
        <v>24.70639972</v>
      </c>
      <c r="AB42" s="88">
        <v>8.5846354899997976</v>
      </c>
      <c r="AC42" s="88">
        <v>14.467000000000001</v>
      </c>
      <c r="AD42" s="88">
        <v>22.836319250000003</v>
      </c>
      <c r="AE42" s="88">
        <v>13.551946580000031</v>
      </c>
      <c r="AF42" s="104">
        <v>59.439901319999834</v>
      </c>
      <c r="AG42" s="88">
        <v>21.7</v>
      </c>
      <c r="AH42" s="88">
        <v>19.3</v>
      </c>
      <c r="AI42" s="88">
        <v>8.3648155400000022</v>
      </c>
      <c r="AJ42" s="88">
        <v>11.295</v>
      </c>
      <c r="AK42" s="104">
        <v>60.659815540000004</v>
      </c>
      <c r="AL42" s="88">
        <v>7.7148874599999999</v>
      </c>
      <c r="AM42" s="88">
        <v>4.8208580699999963</v>
      </c>
      <c r="AN42" s="88">
        <v>7.3579696599999229</v>
      </c>
      <c r="AO42" s="88">
        <v>4.5169207</v>
      </c>
      <c r="AP42" s="89">
        <v>24.41063588999992</v>
      </c>
      <c r="AQ42" s="88">
        <v>2.8121305900000015</v>
      </c>
      <c r="AR42" s="88">
        <v>3.1789374700000446</v>
      </c>
      <c r="AS42" s="88">
        <v>2.4985339399999988</v>
      </c>
      <c r="AT42" s="88">
        <v>6.2</v>
      </c>
      <c r="AU42" s="89">
        <v>14.9</v>
      </c>
      <c r="AV42" s="88">
        <v>1.5</v>
      </c>
      <c r="AW42" s="88">
        <v>0.14899999999999991</v>
      </c>
      <c r="AX42" s="88">
        <v>2.2999999999999998</v>
      </c>
      <c r="AY42" s="88">
        <v>0</v>
      </c>
      <c r="AZ42" s="89">
        <v>3.9489999999999998</v>
      </c>
      <c r="BA42" s="88">
        <v>0</v>
      </c>
      <c r="BB42" s="88">
        <v>0</v>
      </c>
      <c r="BC42" s="88">
        <v>0</v>
      </c>
      <c r="BD42" s="88">
        <v>0</v>
      </c>
      <c r="BE42" s="89">
        <v>0</v>
      </c>
      <c r="BF42" s="88">
        <v>8.9688000000000004E-2</v>
      </c>
      <c r="BG42" s="88">
        <v>0.14499999999999999</v>
      </c>
      <c r="BH42" s="88">
        <v>0.15013849999999998</v>
      </c>
      <c r="BI42" s="88">
        <v>0.20285169</v>
      </c>
      <c r="BJ42" s="89">
        <v>0.58767818999999999</v>
      </c>
      <c r="BK42" s="88">
        <v>0.2</v>
      </c>
      <c r="BL42" s="88">
        <v>0.19033583000000001</v>
      </c>
      <c r="BM42" s="88">
        <v>6.4570160000000001E-2</v>
      </c>
      <c r="BN42" s="160">
        <v>0.34663000999999999</v>
      </c>
      <c r="BO42" s="159">
        <v>0.80153600000000003</v>
      </c>
      <c r="BP42" s="160">
        <v>7.6941400000000004E-3</v>
      </c>
      <c r="BQ42" s="160">
        <v>0</v>
      </c>
      <c r="BR42" s="160">
        <v>0</v>
      </c>
      <c r="BS42" s="160">
        <v>0</v>
      </c>
      <c r="BT42" s="159">
        <v>7.6941400000000004E-3</v>
      </c>
      <c r="BU42" s="160">
        <v>0</v>
      </c>
      <c r="BV42" s="160">
        <v>0</v>
      </c>
      <c r="BW42" s="160">
        <v>0</v>
      </c>
      <c r="BX42" s="160">
        <v>0</v>
      </c>
      <c r="BY42" s="160">
        <v>0</v>
      </c>
      <c r="BZ42" s="160">
        <v>0</v>
      </c>
      <c r="CA42" s="160">
        <v>0</v>
      </c>
      <c r="CB42" s="160">
        <v>0</v>
      </c>
      <c r="CC42" s="160">
        <v>0</v>
      </c>
      <c r="CD42" s="160" t="s">
        <v>14</v>
      </c>
      <c r="CE42" s="160">
        <v>0.4</v>
      </c>
      <c r="CF42" s="160">
        <v>0.25700000000000001</v>
      </c>
      <c r="CG42" s="25">
        <v>0.4</v>
      </c>
    </row>
    <row r="43" spans="2:85">
      <c r="B43" s="72" t="str">
        <f>IF('Índice - Index'!$D$14="Português","Aquisição Netpoints","Netpoints Acquisition")</f>
        <v>Aquisição Netpoints</v>
      </c>
      <c r="C43" s="88">
        <v>0</v>
      </c>
      <c r="D43" s="88">
        <v>0</v>
      </c>
      <c r="E43" s="88">
        <v>0</v>
      </c>
      <c r="F43" s="88">
        <v>0</v>
      </c>
      <c r="G43" s="104">
        <v>0</v>
      </c>
      <c r="H43" s="88">
        <v>0</v>
      </c>
      <c r="I43" s="88">
        <v>0</v>
      </c>
      <c r="J43" s="88">
        <v>0</v>
      </c>
      <c r="K43" s="88">
        <v>0</v>
      </c>
      <c r="L43" s="104">
        <v>0</v>
      </c>
      <c r="M43" s="88">
        <v>0</v>
      </c>
      <c r="N43" s="88">
        <v>0</v>
      </c>
      <c r="O43" s="88">
        <v>0</v>
      </c>
      <c r="P43" s="88">
        <v>0</v>
      </c>
      <c r="Q43" s="104">
        <v>0</v>
      </c>
      <c r="R43" s="88">
        <v>0</v>
      </c>
      <c r="S43" s="88">
        <v>0</v>
      </c>
      <c r="T43" s="88">
        <v>0</v>
      </c>
      <c r="U43" s="88">
        <v>0</v>
      </c>
      <c r="V43" s="101">
        <v>0</v>
      </c>
      <c r="W43" s="88">
        <v>0</v>
      </c>
      <c r="X43" s="88">
        <v>0</v>
      </c>
      <c r="Y43" s="88">
        <v>0</v>
      </c>
      <c r="Z43" s="88">
        <v>0</v>
      </c>
      <c r="AA43" s="104">
        <v>0</v>
      </c>
      <c r="AB43" s="88">
        <v>0</v>
      </c>
      <c r="AC43" s="88">
        <v>26.026456730000298</v>
      </c>
      <c r="AD43" s="88">
        <v>0</v>
      </c>
      <c r="AE43" s="88">
        <v>0</v>
      </c>
      <c r="AF43" s="104">
        <v>26.026456730000298</v>
      </c>
      <c r="AG43" s="88">
        <v>0</v>
      </c>
      <c r="AH43" s="88">
        <v>0</v>
      </c>
      <c r="AI43" s="88">
        <v>0</v>
      </c>
      <c r="AJ43" s="88">
        <v>0</v>
      </c>
      <c r="AK43" s="101">
        <v>0</v>
      </c>
      <c r="AL43" s="88">
        <v>0</v>
      </c>
      <c r="AM43" s="88">
        <v>0</v>
      </c>
      <c r="AN43" s="88">
        <v>0</v>
      </c>
      <c r="AO43" s="88">
        <v>0</v>
      </c>
      <c r="AP43" s="89">
        <v>0</v>
      </c>
      <c r="AQ43" s="88">
        <v>0</v>
      </c>
      <c r="AR43" s="88">
        <v>0</v>
      </c>
      <c r="AS43" s="88">
        <v>0</v>
      </c>
      <c r="AT43" s="88" t="s">
        <v>14</v>
      </c>
      <c r="AU43" s="89" t="s">
        <v>14</v>
      </c>
      <c r="AV43" s="88">
        <v>0</v>
      </c>
      <c r="AW43" s="88">
        <v>0</v>
      </c>
      <c r="AX43" s="88">
        <v>0</v>
      </c>
      <c r="AY43" s="88">
        <v>0</v>
      </c>
      <c r="AZ43" s="89">
        <v>0</v>
      </c>
      <c r="BA43" s="88">
        <v>0</v>
      </c>
      <c r="BB43" s="88">
        <v>0</v>
      </c>
      <c r="BC43" s="88">
        <v>0</v>
      </c>
      <c r="BD43" s="88">
        <v>0</v>
      </c>
      <c r="BE43" s="89">
        <v>0</v>
      </c>
      <c r="BF43" s="88">
        <v>0</v>
      </c>
      <c r="BG43" s="88">
        <v>0</v>
      </c>
      <c r="BH43" s="88">
        <v>0</v>
      </c>
      <c r="BI43" s="88">
        <v>0</v>
      </c>
      <c r="BJ43" s="89">
        <v>0</v>
      </c>
      <c r="BK43" s="88">
        <v>0</v>
      </c>
      <c r="BL43" s="88">
        <v>0</v>
      </c>
      <c r="BM43" s="88">
        <v>0</v>
      </c>
      <c r="BN43" s="160">
        <v>0</v>
      </c>
      <c r="BO43" s="159">
        <v>0</v>
      </c>
      <c r="BP43" s="160">
        <v>0</v>
      </c>
      <c r="BQ43" s="160">
        <v>0</v>
      </c>
      <c r="BR43" s="160">
        <v>0</v>
      </c>
      <c r="BS43" s="160">
        <v>0</v>
      </c>
      <c r="BT43" s="159">
        <v>0</v>
      </c>
      <c r="BU43" s="160">
        <v>0</v>
      </c>
      <c r="BV43" s="160">
        <v>0</v>
      </c>
      <c r="BW43" s="160">
        <v>0</v>
      </c>
      <c r="BX43" s="160">
        <v>0</v>
      </c>
      <c r="BY43" s="160">
        <v>0</v>
      </c>
      <c r="BZ43" s="160">
        <v>0</v>
      </c>
      <c r="CA43" s="160">
        <v>0</v>
      </c>
      <c r="CB43" s="160">
        <v>0</v>
      </c>
      <c r="CC43" s="160">
        <v>0</v>
      </c>
      <c r="CD43" s="160" t="s">
        <v>14</v>
      </c>
      <c r="CE43" s="160" t="s">
        <v>14</v>
      </c>
      <c r="CF43" s="160"/>
    </row>
  </sheetData>
  <pageMargins left="0.15748031496062992" right="0.15748031496062992" top="0.27559055118110237" bottom="0.27559055118110237" header="0.11811023622047245" footer="0.15748031496062992"/>
  <pageSetup scale="53" orientation="portrait" r:id="rId1"/>
  <headerFooter>
    <oddFooter>&amp;R_x000D_&amp;1#&amp;"Calibri"&amp;10&amp;K000000 Classificação Interna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Índice - Index</vt:lpstr>
      <vt:lpstr>Balanço - Balance Sheet</vt:lpstr>
      <vt:lpstr>DRE Consolidado | P&amp;L </vt:lpstr>
      <vt:lpstr>Fluxo de Caixa - Cash Flow</vt:lpstr>
      <vt:lpstr>Dados Operacionais</vt:lpstr>
      <vt:lpstr>'Dados Operacionais'!Area_de_impressao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Boralli Razza</dc:creator>
  <cp:lastModifiedBy>Jose Salvio Moraes</cp:lastModifiedBy>
  <dcterms:created xsi:type="dcterms:W3CDTF">2012-10-18T13:38:58Z</dcterms:created>
  <dcterms:modified xsi:type="dcterms:W3CDTF">2026-05-20T19:15:36Z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Fundamentos_MZ_Marisa_1T17.xlsx</vt:lpwstr>
  </property>
  <property fmtid="{D5CDD505-2E9C-101B-9397-08002B2CF9AE}" pid="3" name="MSIP_Label_49450225-3ba2-475e-9f38-1fb492461405_Enabled">
    <vt:lpwstr>true</vt:lpwstr>
  </property>
  <property fmtid="{D5CDD505-2E9C-101B-9397-08002B2CF9AE}" pid="4" name="MSIP_Label_49450225-3ba2-475e-9f38-1fb492461405_SetDate">
    <vt:lpwstr>2023-01-17T19:05:31Z</vt:lpwstr>
  </property>
  <property fmtid="{D5CDD505-2E9C-101B-9397-08002B2CF9AE}" pid="5" name="MSIP_Label_49450225-3ba2-475e-9f38-1fb492461405_Method">
    <vt:lpwstr>Privileged</vt:lpwstr>
  </property>
  <property fmtid="{D5CDD505-2E9C-101B-9397-08002B2CF9AE}" pid="6" name="MSIP_Label_49450225-3ba2-475e-9f38-1fb492461405_Name">
    <vt:lpwstr>Interno</vt:lpwstr>
  </property>
  <property fmtid="{D5CDD505-2E9C-101B-9397-08002B2CF9AE}" pid="7" name="MSIP_Label_49450225-3ba2-475e-9f38-1fb492461405_SiteId">
    <vt:lpwstr>f304c535-573b-44d3-8e86-3d78cbe82b05</vt:lpwstr>
  </property>
  <property fmtid="{D5CDD505-2E9C-101B-9397-08002B2CF9AE}" pid="8" name="MSIP_Label_49450225-3ba2-475e-9f38-1fb492461405_ActionId">
    <vt:lpwstr>b7d5a2b2-7336-461e-89b9-283003e63dc6</vt:lpwstr>
  </property>
  <property fmtid="{D5CDD505-2E9C-101B-9397-08002B2CF9AE}" pid="9" name="MSIP_Label_49450225-3ba2-475e-9f38-1fb492461405_ContentBits">
    <vt:lpwstr>2</vt:lpwstr>
  </property>
</Properties>
</file>