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8. Divulgação de Resultados\2021\1T21\11. Planilha Dinâmica\"/>
    </mc:Choice>
  </mc:AlternateContent>
  <xr:revisionPtr revIDLastSave="0" documentId="13_ncr:1_{73A2E4A5-38EE-43F3-B831-FE324BAECDD4}" xr6:coauthVersionLast="46" xr6:coauthVersionMax="46" xr10:uidLastSave="{00000000-0000-0000-0000-000000000000}"/>
  <bookViews>
    <workbookView xWindow="-120" yWindow="-120" windowWidth="20730" windowHeight="11160" tabRatio="744" xr2:uid="{C989D257-D0D6-4F8E-BB50-1BB580E4F9C6}"/>
  </bookViews>
  <sheets>
    <sheet name="Cover" sheetId="1" r:id="rId1"/>
    <sheet name="Resultados" sheetId="2" r:id="rId2"/>
    <sheet name="Fluxo de Caixa" sheetId="7" r:id="rId3"/>
    <sheet name="Balanço Patrimonial" sheetId="4" r:id="rId4"/>
    <sheet name="Custos e Despesas" sheetId="5" r:id="rId5"/>
    <sheet name="Dados Operacionais" sheetId="6" r:id="rId6"/>
  </sheets>
  <definedNames>
    <definedName name="_xlnm._FilterDatabase" localSheetId="4" hidden="1">'Custos e Despesas'!$B$3:$K$29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7" l="1"/>
  <c r="M19" i="7"/>
  <c r="H19" i="7"/>
  <c r="M17" i="7"/>
  <c r="H17" i="7"/>
  <c r="M16" i="7"/>
  <c r="H16" i="7"/>
  <c r="M15" i="7"/>
  <c r="H15" i="7"/>
  <c r="M14" i="7"/>
  <c r="H14" i="7"/>
  <c r="M13" i="7"/>
  <c r="H13" i="7"/>
  <c r="M12" i="7"/>
  <c r="H12" i="7"/>
  <c r="M11" i="7"/>
  <c r="K10" i="7"/>
  <c r="K18" i="7" s="1"/>
  <c r="M9" i="7"/>
  <c r="H9" i="7"/>
  <c r="N8" i="7"/>
  <c r="N10" i="7" s="1"/>
  <c r="N18" i="7" s="1"/>
  <c r="L8" i="7"/>
  <c r="L10" i="7" s="1"/>
  <c r="L18" i="7" s="1"/>
  <c r="K8" i="7"/>
  <c r="J8" i="7"/>
  <c r="J10" i="7" s="1"/>
  <c r="J18" i="7" s="1"/>
  <c r="I8" i="7"/>
  <c r="I10" i="7" s="1"/>
  <c r="G8" i="7"/>
  <c r="G10" i="7" s="1"/>
  <c r="G18" i="7" s="1"/>
  <c r="G20" i="7" s="1"/>
  <c r="F8" i="7"/>
  <c r="F10" i="7" s="1"/>
  <c r="F18" i="7" s="1"/>
  <c r="E8" i="7"/>
  <c r="E10" i="7" s="1"/>
  <c r="E18" i="7" s="1"/>
  <c r="D8" i="7"/>
  <c r="M7" i="7"/>
  <c r="H7" i="7"/>
  <c r="M6" i="7"/>
  <c r="H6" i="7"/>
  <c r="M5" i="7"/>
  <c r="M4" i="7"/>
  <c r="H4" i="7"/>
  <c r="H8" i="7" l="1"/>
  <c r="H10" i="7" s="1"/>
  <c r="D10" i="7"/>
  <c r="M8" i="7"/>
  <c r="M10" i="7" s="1"/>
  <c r="N20" i="7"/>
  <c r="E20" i="7"/>
  <c r="I18" i="7"/>
  <c r="J20" i="7"/>
  <c r="F20" i="7"/>
  <c r="L20" i="7"/>
  <c r="K20" i="7"/>
  <c r="M18" i="7" l="1"/>
  <c r="I20" i="7"/>
  <c r="M20" i="7" l="1"/>
  <c r="K26" i="5" l="1"/>
  <c r="L26" i="5"/>
  <c r="C26" i="5"/>
  <c r="G26" i="5"/>
  <c r="E26" i="5"/>
  <c r="D26" i="5"/>
  <c r="F26" i="5"/>
  <c r="N29" i="5"/>
  <c r="C51" i="4"/>
  <c r="L40" i="4"/>
  <c r="L51" i="4" s="1"/>
  <c r="K40" i="4"/>
  <c r="J40" i="4"/>
  <c r="J51" i="4" s="1"/>
  <c r="I40" i="4"/>
  <c r="I51" i="4" s="1"/>
  <c r="H40" i="4"/>
  <c r="H51" i="4" s="1"/>
  <c r="H60" i="4" s="1"/>
  <c r="G40" i="4"/>
  <c r="F40" i="4"/>
  <c r="E40" i="4"/>
  <c r="E51" i="4" s="1"/>
  <c r="D40" i="4"/>
  <c r="D51" i="4" s="1"/>
  <c r="C40" i="4"/>
  <c r="L53" i="4"/>
  <c r="L60" i="4" s="1"/>
  <c r="K53" i="4"/>
  <c r="J53" i="4"/>
  <c r="J60" i="4" s="1"/>
  <c r="I53" i="4"/>
  <c r="H53" i="4"/>
  <c r="G53" i="4"/>
  <c r="G60" i="4" s="1"/>
  <c r="F53" i="4"/>
  <c r="F60" i="4" s="1"/>
  <c r="E53" i="4"/>
  <c r="D53" i="4"/>
  <c r="C53" i="4"/>
  <c r="C60" i="4" s="1"/>
  <c r="L27" i="4"/>
  <c r="K27" i="4"/>
  <c r="K51" i="4" s="1"/>
  <c r="J27" i="4"/>
  <c r="I27" i="4"/>
  <c r="H27" i="4"/>
  <c r="G27" i="4"/>
  <c r="G51" i="4" s="1"/>
  <c r="F27" i="4"/>
  <c r="F51" i="4" s="1"/>
  <c r="E27" i="4"/>
  <c r="D27" i="4"/>
  <c r="C27" i="4"/>
  <c r="K25" i="4"/>
  <c r="L12" i="4"/>
  <c r="L25" i="4" s="1"/>
  <c r="K12" i="4"/>
  <c r="J12" i="4"/>
  <c r="J25" i="4" s="1"/>
  <c r="I12" i="4"/>
  <c r="I25" i="4" s="1"/>
  <c r="H12" i="4"/>
  <c r="H25" i="4" s="1"/>
  <c r="G12" i="4"/>
  <c r="F12" i="4"/>
  <c r="E12" i="4"/>
  <c r="E25" i="4" s="1"/>
  <c r="D12" i="4"/>
  <c r="D25" i="4" s="1"/>
  <c r="C12" i="4"/>
  <c r="L4" i="4"/>
  <c r="K4" i="4"/>
  <c r="J4" i="4"/>
  <c r="I4" i="4"/>
  <c r="H4" i="4"/>
  <c r="G4" i="4"/>
  <c r="F4" i="4"/>
  <c r="F25" i="4" s="1"/>
  <c r="E4" i="4"/>
  <c r="D4" i="4"/>
  <c r="C4" i="4"/>
  <c r="C25" i="4" s="1"/>
  <c r="H29" i="2"/>
  <c r="D60" i="4" l="1"/>
  <c r="E60" i="4"/>
  <c r="I60" i="4"/>
  <c r="K60" i="4"/>
  <c r="G25" i="4"/>
  <c r="L5" i="2" l="1"/>
  <c r="M10" i="2"/>
  <c r="M4" i="2" s="1"/>
  <c r="M19" i="2" s="1"/>
  <c r="M21" i="2" s="1"/>
  <c r="M23" i="2" s="1"/>
  <c r="M28" i="2" s="1"/>
  <c r="M30" i="2" s="1"/>
  <c r="L9" i="2"/>
  <c r="K10" i="2"/>
  <c r="K4" i="2" s="1"/>
  <c r="J5" i="2"/>
  <c r="J4" i="2" s="1"/>
  <c r="N27" i="2"/>
  <c r="M27" i="2"/>
  <c r="L27" i="2"/>
  <c r="K27" i="2"/>
  <c r="J27" i="2"/>
  <c r="I27" i="2"/>
  <c r="G27" i="2"/>
  <c r="F27" i="2"/>
  <c r="E27" i="2"/>
  <c r="D27" i="2"/>
  <c r="N11" i="2"/>
  <c r="M11" i="2"/>
  <c r="L11" i="2"/>
  <c r="K11" i="2"/>
  <c r="J11" i="2"/>
  <c r="I11" i="2"/>
  <c r="H11" i="2"/>
  <c r="G11" i="2"/>
  <c r="F11" i="2"/>
  <c r="E11" i="2"/>
  <c r="D11" i="2"/>
  <c r="C11" i="2"/>
  <c r="N4" i="2"/>
  <c r="N19" i="2" s="1"/>
  <c r="N21" i="2" s="1"/>
  <c r="N23" i="2" s="1"/>
  <c r="I4" i="2"/>
  <c r="I19" i="2" s="1"/>
  <c r="I21" i="2" s="1"/>
  <c r="I23" i="2" s="1"/>
  <c r="H4" i="2"/>
  <c r="H19" i="2" s="1"/>
  <c r="H21" i="2" s="1"/>
  <c r="H23" i="2" s="1"/>
  <c r="G4" i="2"/>
  <c r="F4" i="2"/>
  <c r="E4" i="2"/>
  <c r="E19" i="2" s="1"/>
  <c r="E21" i="2" s="1"/>
  <c r="E23" i="2" s="1"/>
  <c r="D4" i="2"/>
  <c r="D19" i="2" s="1"/>
  <c r="D21" i="2" s="1"/>
  <c r="D23" i="2" s="1"/>
  <c r="C4" i="2"/>
  <c r="C25" i="2"/>
  <c r="C27" i="2" s="1"/>
  <c r="G19" i="2" l="1"/>
  <c r="G21" i="2" s="1"/>
  <c r="G23" i="2" s="1"/>
  <c r="I28" i="2"/>
  <c r="I30" i="2" s="1"/>
  <c r="C19" i="2"/>
  <c r="C21" i="2" s="1"/>
  <c r="C23" i="2" s="1"/>
  <c r="C28" i="2"/>
  <c r="C30" i="2" s="1"/>
  <c r="F19" i="2"/>
  <c r="F21" i="2" s="1"/>
  <c r="F23" i="2" s="1"/>
  <c r="K19" i="2"/>
  <c r="K21" i="2" s="1"/>
  <c r="K23" i="2" s="1"/>
  <c r="K28" i="2" s="1"/>
  <c r="K30" i="2" s="1"/>
  <c r="L10" i="2"/>
  <c r="L4" i="2" s="1"/>
  <c r="L19" i="2" s="1"/>
  <c r="L21" i="2" s="1"/>
  <c r="L23" i="2" s="1"/>
  <c r="L28" i="2" s="1"/>
  <c r="L30" i="2" s="1"/>
  <c r="N28" i="2"/>
  <c r="N30" i="2" s="1"/>
  <c r="J19" i="2"/>
  <c r="J21" i="2" s="1"/>
  <c r="J23" i="2" s="1"/>
  <c r="J28" i="2" s="1"/>
  <c r="J30" i="2" s="1"/>
  <c r="G28" i="2"/>
  <c r="G30" i="2" s="1"/>
  <c r="F28" i="2"/>
  <c r="F30" i="2" s="1"/>
  <c r="E28" i="2"/>
  <c r="E30" i="2" s="1"/>
  <c r="D28" i="2"/>
  <c r="D30" i="2" s="1"/>
  <c r="H26" i="2" l="1"/>
  <c r="H27" i="2" l="1"/>
  <c r="H28" i="2" s="1"/>
  <c r="H30" i="2" s="1"/>
  <c r="Q18" i="6"/>
  <c r="P24" i="6"/>
  <c r="P23" i="6"/>
  <c r="P28" i="6"/>
  <c r="P27" i="6"/>
  <c r="R15" i="6"/>
  <c r="R18" i="6" s="1"/>
  <c r="R19" i="6" s="1"/>
  <c r="Q15" i="6"/>
  <c r="Q19" i="6" s="1"/>
  <c r="P15" i="6"/>
  <c r="P18" i="6" s="1"/>
  <c r="R14" i="6"/>
  <c r="Q14" i="6"/>
  <c r="P14" i="6"/>
  <c r="P19" i="6" l="1"/>
  <c r="M29" i="5"/>
  <c r="L29" i="5"/>
  <c r="K29" i="5"/>
  <c r="J29" i="5"/>
  <c r="I29" i="5"/>
  <c r="H29" i="5"/>
  <c r="G29" i="5"/>
  <c r="F29" i="5"/>
  <c r="E29" i="5"/>
  <c r="D29" i="5"/>
  <c r="C29" i="5"/>
  <c r="D18" i="7" l="1"/>
  <c r="H11" i="7"/>
  <c r="H18" i="7" s="1"/>
  <c r="H20" i="7" l="1"/>
  <c r="D20" i="7"/>
</calcChain>
</file>

<file path=xl/sharedStrings.xml><?xml version="1.0" encoding="utf-8"?>
<sst xmlns="http://schemas.openxmlformats.org/spreadsheetml/2006/main" count="223" uniqueCount="156">
  <si>
    <t/>
  </si>
  <si>
    <t xml:space="preserve">Demonstração dos Resultados  - R$ mil </t>
  </si>
  <si>
    <t>1T19</t>
  </si>
  <si>
    <t>2T19</t>
  </si>
  <si>
    <t>3T19</t>
  </si>
  <si>
    <t>4T19</t>
  </si>
  <si>
    <t>1T20</t>
  </si>
  <si>
    <t>2T20</t>
  </si>
  <si>
    <t>3T20</t>
  </si>
  <si>
    <t>4T20</t>
  </si>
  <si>
    <t>Receita operacional bruta</t>
  </si>
  <si>
    <t>Instrumentos financeiros derivativos</t>
  </si>
  <si>
    <t>Outras receitas</t>
  </si>
  <si>
    <t>Deduções à receita operacional</t>
  </si>
  <si>
    <t>Quota para a reserva global de reversão - RGR</t>
  </si>
  <si>
    <t>Pesquisa e desenvolvimento - P&amp;D</t>
  </si>
  <si>
    <t>Imposto sobre serviços - ISS</t>
  </si>
  <si>
    <t>COFINS sobre receitas operacionais</t>
  </si>
  <si>
    <t>PIS sobre receitas operacionais</t>
  </si>
  <si>
    <t>Compensação financeira pela utilização de recursos hídricos</t>
  </si>
  <si>
    <t>Taxa de fiscalização do setor elétrico - TFSE</t>
  </si>
  <si>
    <t>Receita operacional líquida</t>
  </si>
  <si>
    <t>Custo com energia elétrica</t>
  </si>
  <si>
    <t>Lucro operacional bruto</t>
  </si>
  <si>
    <t>Despesas operacionais</t>
  </si>
  <si>
    <t>Lucro (prejuízo) operacional antes do resultado financeiro</t>
  </si>
  <si>
    <t>Receitas financeiras</t>
  </si>
  <si>
    <t>Despesas financeiras</t>
  </si>
  <si>
    <t>Variação cambial líquida</t>
  </si>
  <si>
    <t>Resultado financeiro</t>
  </si>
  <si>
    <t>Resultado antes dos Tributos</t>
  </si>
  <si>
    <t>Imposto de renda e contribuição social líquido</t>
  </si>
  <si>
    <t xml:space="preserve">Resultado líquido </t>
  </si>
  <si>
    <t>Fluxo de Caixa - R$ mil</t>
  </si>
  <si>
    <t>EBITDA ajustado</t>
  </si>
  <si>
    <t>IR/CSLL caixa</t>
  </si>
  <si>
    <t>Capital de giro</t>
  </si>
  <si>
    <t>CAPEX</t>
  </si>
  <si>
    <t>Fluxo de caixa operacional</t>
  </si>
  <si>
    <t>Fluxo de caixa operacional após o serviço da dívida</t>
  </si>
  <si>
    <t>Pagamento de litígio</t>
  </si>
  <si>
    <t>Desbloqueio Judicial</t>
  </si>
  <si>
    <t>Captações</t>
  </si>
  <si>
    <t>Amortizações</t>
  </si>
  <si>
    <t>Pagamento da outorga</t>
  </si>
  <si>
    <t>Dividendos</t>
  </si>
  <si>
    <t>Fluxo de caixa livre</t>
  </si>
  <si>
    <t>Saldo de caixa inicial</t>
  </si>
  <si>
    <t>Saldo de caixa final</t>
  </si>
  <si>
    <t>Balanço Patrimonial - R$ mil</t>
  </si>
  <si>
    <t>Circulante</t>
  </si>
  <si>
    <t>Caixa e equivalentes de caixa</t>
  </si>
  <si>
    <t>Contas a receber</t>
  </si>
  <si>
    <t>Tributos a recuperar</t>
  </si>
  <si>
    <t>Contratos futuros de energia</t>
  </si>
  <si>
    <t>Despesas antecipadas</t>
  </si>
  <si>
    <t>Outros ativos</t>
  </si>
  <si>
    <t>Não circulante</t>
  </si>
  <si>
    <t>Cauções e depósitos judiciais</t>
  </si>
  <si>
    <t>IR e CSLL líquidos diferidos</t>
  </si>
  <si>
    <t>Almoxarifado</t>
  </si>
  <si>
    <t>Ativo sujeito à indenização</t>
  </si>
  <si>
    <t>Investimentos</t>
  </si>
  <si>
    <t>Intangível</t>
  </si>
  <si>
    <t>Imobilizado</t>
  </si>
  <si>
    <t>Direito de uso sobre contratos de arrendamento</t>
  </si>
  <si>
    <t>Total do ativo</t>
  </si>
  <si>
    <t>Passivo circulante</t>
  </si>
  <si>
    <t>Fornecedores</t>
  </si>
  <si>
    <t>Empréstimos e financiamentos</t>
  </si>
  <si>
    <t>Arrendamento mercantil</t>
  </si>
  <si>
    <t>Obrigações estimadas e folha de pagamento</t>
  </si>
  <si>
    <t>Tributos a recolher</t>
  </si>
  <si>
    <t>Encargos setoriais</t>
  </si>
  <si>
    <t>Dividendos a pagar e juros sobre capital próprio</t>
  </si>
  <si>
    <t>UBP - Uso do bem público</t>
  </si>
  <si>
    <t>Obrigações socioambientais</t>
  </si>
  <si>
    <t>Outros passivos</t>
  </si>
  <si>
    <t>Provisão para litígios</t>
  </si>
  <si>
    <t>Total do Passivo</t>
  </si>
  <si>
    <t>Patrimônio Líquido</t>
  </si>
  <si>
    <t>Capital social</t>
  </si>
  <si>
    <t>Reservas de capital</t>
  </si>
  <si>
    <t>Reservas de lucros</t>
  </si>
  <si>
    <t>Ajustes de avaliação patrimonial</t>
  </si>
  <si>
    <t>Outros resultados abrangentes</t>
  </si>
  <si>
    <t>Lucros (prejuízos) acumulados</t>
  </si>
  <si>
    <t>Total do Passivo e Patrimônio Líquido</t>
  </si>
  <si>
    <t xml:space="preserve">Natureza dos Custos e Despesas - R$ Mil </t>
  </si>
  <si>
    <t>Energia comprada</t>
  </si>
  <si>
    <t>Pessoal</t>
  </si>
  <si>
    <t>PDV - Programa de demissão voluntária</t>
  </si>
  <si>
    <t>Administradores</t>
  </si>
  <si>
    <t>Materiais</t>
  </si>
  <si>
    <t>Serviços de terceiros</t>
  </si>
  <si>
    <t>Seguros</t>
  </si>
  <si>
    <t>Depreciação/Amortização</t>
  </si>
  <si>
    <t>Aluguéis</t>
  </si>
  <si>
    <t>Execução Acordo MP-MS</t>
  </si>
  <si>
    <t>Provisão/Reversão para compromissos socioambientais</t>
  </si>
  <si>
    <t>Reversão da diferença de quotas RGR 2018 e 2017</t>
  </si>
  <si>
    <t>Reversão/(Provisão) Honorários ad exitum</t>
  </si>
  <si>
    <t>Provisão para redução ao valor realizável de almoxarifados</t>
  </si>
  <si>
    <t>Provisão/Reversão para litígios</t>
  </si>
  <si>
    <t>Despesas com depósitos judiciais</t>
  </si>
  <si>
    <t xml:space="preserve">Reversão de impairment de ativo imobilizado </t>
  </si>
  <si>
    <t>Ajuste ativo contingente - Ilha Solteira e Jupiá</t>
  </si>
  <si>
    <t>Provisão PIS/COFINS sobre atualização de depósitos judiciais</t>
  </si>
  <si>
    <t>Outras despesas ou receitas</t>
  </si>
  <si>
    <t>Total</t>
  </si>
  <si>
    <t>Dados gerais</t>
  </si>
  <si>
    <r>
      <t>Área do resevatório (km</t>
    </r>
    <r>
      <rPr>
        <b/>
        <vertAlign val="superscript"/>
        <sz val="9"/>
        <color rgb="FF595959"/>
        <rFont val="Segoe UI"/>
        <family val="2"/>
      </rPr>
      <t>2</t>
    </r>
    <r>
      <rPr>
        <b/>
        <sz val="9"/>
        <color rgb="FF595959"/>
        <rFont val="Segoe UI"/>
        <family val="2"/>
      </rPr>
      <t>)</t>
    </r>
  </si>
  <si>
    <t>Prazo de concessão</t>
  </si>
  <si>
    <t>Extensão da barragem (km)</t>
  </si>
  <si>
    <t>Unidades geradoras</t>
  </si>
  <si>
    <t>Início de operação</t>
  </si>
  <si>
    <t>Município</t>
  </si>
  <si>
    <t>Porto Primavera</t>
  </si>
  <si>
    <t>Paraibuna</t>
  </si>
  <si>
    <t>Jaguari</t>
  </si>
  <si>
    <t>Balanço energético (MW médio)</t>
  </si>
  <si>
    <t>GSF</t>
  </si>
  <si>
    <t>Garantia Física</t>
  </si>
  <si>
    <t>Garantia Física Ajustada</t>
  </si>
  <si>
    <t>Secundária (Déficit)</t>
  </si>
  <si>
    <t>Requisito</t>
  </si>
  <si>
    <t>Déficit/ (Sobra de Energia)</t>
  </si>
  <si>
    <t>Energia vendida</t>
  </si>
  <si>
    <t>Preço médio de compra (R$)</t>
  </si>
  <si>
    <t>Recurso Total</t>
  </si>
  <si>
    <t>1T18</t>
  </si>
  <si>
    <t>2T18</t>
  </si>
  <si>
    <t>3T18</t>
  </si>
  <si>
    <t>4T18</t>
  </si>
  <si>
    <t>Potência (MW)</t>
  </si>
  <si>
    <t>Garantia física (MW médio)</t>
  </si>
  <si>
    <t>Índice de disponibilidade (%)</t>
  </si>
  <si>
    <t>Operações de trading</t>
  </si>
  <si>
    <t>Benefícios pós-emprego</t>
  </si>
  <si>
    <t>1T21</t>
  </si>
  <si>
    <t>Mercado Livre - Contratos Bilaterais</t>
  </si>
  <si>
    <t>Mercado Regulado - Leilões de energia</t>
  </si>
  <si>
    <t>Energia de Curto Prazo</t>
  </si>
  <si>
    <t xml:space="preserve"> - </t>
  </si>
  <si>
    <t>Plano de Recompra - Fim Programa de ADR</t>
  </si>
  <si>
    <t>Impostos, taxas e contribuições</t>
  </si>
  <si>
    <t>Manutenção e conservação</t>
  </si>
  <si>
    <t>Obs</t>
  </si>
  <si>
    <t>Usina entregue em 31/12/2020</t>
  </si>
  <si>
    <t>Extensão de concessão concedida em mar/2021</t>
  </si>
  <si>
    <t>Rosana (SP)</t>
  </si>
  <si>
    <t>Paraibuna (SP)</t>
  </si>
  <si>
    <t>São José dos Campos (SP)</t>
  </si>
  <si>
    <t>Serviço da dívida</t>
  </si>
  <si>
    <t>Nota: A partir do 2T19 as despesas de atualização monetária sobre provisão para litígios foram reclassificadas de “Outras despesas Operacionais” para “Despesas Financeiras”. Os períodos comparativos foram alterados para refletir a reclassificação.</t>
  </si>
  <si>
    <t>Nota: 2019 alterado para base de comparação com 2020. A linha de desbloqueio judicial passou a ser contabilizada no Capital e Giro e a linha de serviços de dívida passou a desconsiderar as receitas financeiras, que também estão englobadas no Capital de Giro.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</si>
</sst>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rgb="FF32686A"/>
      <name val="Segoe UI"/>
      <family val="2"/>
    </font>
    <font>
      <b/>
      <sz val="9"/>
      <color rgb="FF595959"/>
      <name val="Segoe UI"/>
      <family val="2"/>
    </font>
    <font>
      <sz val="9"/>
      <color rgb="FF595959"/>
      <name val="Segoe UI"/>
      <family val="2"/>
    </font>
    <font>
      <b/>
      <sz val="11"/>
      <color theme="1"/>
      <name val="Verdana"/>
      <family val="2"/>
    </font>
    <font>
      <sz val="10"/>
      <color theme="1"/>
      <name val="Segoe UI"/>
      <family val="2"/>
    </font>
    <font>
      <sz val="10"/>
      <color rgb="FF595959"/>
      <name val="Segoe UI"/>
      <family val="2"/>
    </font>
    <font>
      <b/>
      <vertAlign val="superscript"/>
      <sz val="9"/>
      <color rgb="FF59595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quotePrefix="1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164" fontId="5" fillId="3" borderId="0" xfId="0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center" indent="1"/>
    </xf>
    <xf numFmtId="164" fontId="5" fillId="4" borderId="0" xfId="0" applyNumberFormat="1" applyFont="1" applyFill="1" applyAlignment="1">
      <alignment horizontal="right" vertical="top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4" fillId="3" borderId="0" xfId="0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4" borderId="0" xfId="0" applyNumberFormat="1" applyFont="1" applyFill="1" applyAlignment="1">
      <alignment horizontal="righ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/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165" fontId="4" fillId="2" borderId="0" xfId="1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4" fillId="4" borderId="0" xfId="1" applyNumberFormat="1" applyFont="1" applyFill="1" applyAlignment="1">
      <alignment horizontal="right" vertical="center"/>
    </xf>
    <xf numFmtId="165" fontId="5" fillId="3" borderId="0" xfId="1" applyNumberFormat="1" applyFont="1" applyFill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165" fontId="4" fillId="3" borderId="0" xfId="1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165" fontId="4" fillId="0" borderId="0" xfId="1" applyNumberFormat="1" applyFont="1" applyAlignment="1">
      <alignment horizontal="right" vertical="center"/>
    </xf>
    <xf numFmtId="165" fontId="5" fillId="4" borderId="0" xfId="1" applyNumberFormat="1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horizontal="right" vertical="top" wrapText="1"/>
    </xf>
    <xf numFmtId="0" fontId="8" fillId="0" borderId="0" xfId="0" applyFont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3" fontId="7" fillId="0" borderId="0" xfId="0" applyNumberFormat="1" applyFont="1"/>
    <xf numFmtId="3" fontId="8" fillId="0" borderId="0" xfId="0" applyNumberFormat="1" applyFont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15" fontId="5" fillId="0" borderId="0" xfId="0" applyNumberFormat="1" applyFont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15" fontId="5" fillId="2" borderId="0" xfId="0" applyNumberFormat="1" applyFont="1" applyFill="1" applyAlignment="1">
      <alignment horizontal="left" vertical="center"/>
    </xf>
    <xf numFmtId="4" fontId="4" fillId="2" borderId="0" xfId="0" applyNumberFormat="1" applyFont="1" applyFill="1" applyAlignment="1">
      <alignment horizontal="left" vertical="center"/>
    </xf>
    <xf numFmtId="3" fontId="2" fillId="0" borderId="0" xfId="0" applyNumberFormat="1" applyFont="1" applyAlignment="1">
      <alignment vertical="center"/>
    </xf>
    <xf numFmtId="4" fontId="5" fillId="2" borderId="0" xfId="0" applyNumberFormat="1" applyFont="1" applyFill="1" applyAlignment="1">
      <alignment horizontal="left" vertical="center" indent="1"/>
    </xf>
    <xf numFmtId="4" fontId="5" fillId="2" borderId="0" xfId="0" applyNumberFormat="1" applyFont="1" applyFill="1" applyAlignment="1">
      <alignment horizontal="left" vertical="center" indent="2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4" fillId="2" borderId="0" xfId="0" applyNumberFormat="1" applyFont="1" applyFill="1" applyAlignment="1">
      <alignment horizontal="left" vertical="center"/>
    </xf>
    <xf numFmtId="167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4" borderId="0" xfId="0" applyFont="1" applyFill="1" applyAlignment="1">
      <alignment horizontal="left" vertical="center" indent="1"/>
    </xf>
    <xf numFmtId="3" fontId="5" fillId="0" borderId="0" xfId="0" applyNumberFormat="1" applyFont="1" applyFill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right" vertical="top" wrapText="1"/>
    </xf>
    <xf numFmtId="165" fontId="5" fillId="0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65" fontId="4" fillId="0" borderId="0" xfId="1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left" vertical="center"/>
    </xf>
    <xf numFmtId="17" fontId="3" fillId="0" borderId="1" xfId="0" applyNumberFormat="1" applyFont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6" fontId="5" fillId="2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Alignment="1">
      <alignment vertical="top"/>
    </xf>
    <xf numFmtId="49" fontId="5" fillId="3" borderId="0" xfId="0" applyNumberFormat="1" applyFont="1" applyFill="1" applyAlignment="1">
      <alignment horizontal="left" vertical="center" wrapText="1" shrinkToFit="1"/>
    </xf>
    <xf numFmtId="49" fontId="5" fillId="3" borderId="0" xfId="0" applyNumberFormat="1" applyFont="1" applyFill="1" applyAlignment="1">
      <alignment horizontal="left" vertical="center" wrapText="1" shrinkToFi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ustos e Despesas'!A1"/><Relationship Id="rId2" Type="http://schemas.openxmlformats.org/officeDocument/2006/relationships/hyperlink" Target="#'Fluxo de Caixa'!A1"/><Relationship Id="rId1" Type="http://schemas.openxmlformats.org/officeDocument/2006/relationships/hyperlink" Target="#Resultados!A1"/><Relationship Id="rId6" Type="http://schemas.openxmlformats.org/officeDocument/2006/relationships/hyperlink" Target="#'Dados Operacionais'!A1"/><Relationship Id="rId5" Type="http://schemas.openxmlformats.org/officeDocument/2006/relationships/image" Target="../media/image1.png"/><Relationship Id="rId4" Type="http://schemas.openxmlformats.org/officeDocument/2006/relationships/hyperlink" Target="#'Balan&#231;o Patrimonial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382663</xdr:colOff>
      <xdr:row>1</xdr:row>
      <xdr:rowOff>113074</xdr:rowOff>
    </xdr:from>
    <xdr:to>
      <xdr:col>19</xdr:col>
      <xdr:colOff>580724</xdr:colOff>
      <xdr:row>6</xdr:row>
      <xdr:rowOff>94024</xdr:rowOff>
    </xdr:to>
    <xdr:sp macro="" textlink="">
      <xdr:nvSpPr>
        <xdr:cNvPr id="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D2C1E8-9381-4936-A2DC-9E3F030E42E1}"/>
            </a:ext>
          </a:extLst>
        </xdr:cNvPr>
        <xdr:cNvSpPr/>
      </xdr:nvSpPr>
      <xdr:spPr>
        <a:xfrm>
          <a:off x="7697863" y="303574"/>
          <a:ext cx="4465261" cy="933450"/>
        </a:xfrm>
        <a:prstGeom prst="roundRect">
          <a:avLst/>
        </a:prstGeom>
        <a:solidFill>
          <a:srgbClr val="C00000">
            <a:alpha val="77255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900"/>
            </a:lnSpc>
          </a:pPr>
          <a:r>
            <a:rPr lang="pt-BR" sz="1600" b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Demonstrativo de Resultados (DRE)</a:t>
          </a:r>
        </a:p>
      </xdr:txBody>
    </xdr:sp>
    <xdr:clientData/>
  </xdr:twoCellAnchor>
  <xdr:twoCellAnchor>
    <xdr:from>
      <xdr:col>12</xdr:col>
      <xdr:colOff>382663</xdr:colOff>
      <xdr:row>7</xdr:row>
      <xdr:rowOff>77101</xdr:rowOff>
    </xdr:from>
    <xdr:to>
      <xdr:col>19</xdr:col>
      <xdr:colOff>580724</xdr:colOff>
      <xdr:row>12</xdr:row>
      <xdr:rowOff>58051</xdr:rowOff>
    </xdr:to>
    <xdr:sp macro="" textlink="">
      <xdr:nvSpPr>
        <xdr:cNvPr id="3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00646E-5237-45DC-A611-DD9BA4E2409E}"/>
            </a:ext>
          </a:extLst>
        </xdr:cNvPr>
        <xdr:cNvSpPr/>
      </xdr:nvSpPr>
      <xdr:spPr>
        <a:xfrm>
          <a:off x="7697863" y="1410601"/>
          <a:ext cx="4465261" cy="933450"/>
        </a:xfrm>
        <a:prstGeom prst="roundRect">
          <a:avLst/>
        </a:prstGeom>
        <a:solidFill>
          <a:srgbClr val="C00000">
            <a:alpha val="77647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pt-BR" sz="1600" b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Demonstração do Fluxo de Caixa (DFC)</a:t>
          </a:r>
        </a:p>
      </xdr:txBody>
    </xdr:sp>
    <xdr:clientData/>
  </xdr:twoCellAnchor>
  <xdr:twoCellAnchor>
    <xdr:from>
      <xdr:col>12</xdr:col>
      <xdr:colOff>372577</xdr:colOff>
      <xdr:row>19</xdr:row>
      <xdr:rowOff>5156</xdr:rowOff>
    </xdr:from>
    <xdr:to>
      <xdr:col>19</xdr:col>
      <xdr:colOff>570638</xdr:colOff>
      <xdr:row>23</xdr:row>
      <xdr:rowOff>176606</xdr:rowOff>
    </xdr:to>
    <xdr:sp macro="" textlink="">
      <xdr:nvSpPr>
        <xdr:cNvPr id="4" name="Retângulo de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E34C3F-EB6F-4BA3-A7E7-70C4C9619515}"/>
            </a:ext>
          </a:extLst>
        </xdr:cNvPr>
        <xdr:cNvSpPr/>
      </xdr:nvSpPr>
      <xdr:spPr>
        <a:xfrm>
          <a:off x="7720434" y="3624656"/>
          <a:ext cx="4484311" cy="933450"/>
        </a:xfrm>
        <a:prstGeom prst="roundRect">
          <a:avLst/>
        </a:prstGeom>
        <a:solidFill>
          <a:srgbClr val="C00000">
            <a:alpha val="77647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600" b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Custos e Despesas</a:t>
          </a:r>
        </a:p>
      </xdr:txBody>
    </xdr:sp>
    <xdr:clientData/>
  </xdr:twoCellAnchor>
  <xdr:twoCellAnchor>
    <xdr:from>
      <xdr:col>0</xdr:col>
      <xdr:colOff>9524</xdr:colOff>
      <xdr:row>0</xdr:row>
      <xdr:rowOff>0</xdr:rowOff>
    </xdr:from>
    <xdr:to>
      <xdr:col>9</xdr:col>
      <xdr:colOff>381000</xdr:colOff>
      <xdr:row>37</xdr:row>
      <xdr:rowOff>180975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9F1DA714-00FF-44D4-8016-B2022F3242E3}"/>
            </a:ext>
          </a:extLst>
        </xdr:cNvPr>
        <xdr:cNvSpPr/>
      </xdr:nvSpPr>
      <xdr:spPr>
        <a:xfrm>
          <a:off x="9524" y="0"/>
          <a:ext cx="5857876" cy="7229475"/>
        </a:xfrm>
        <a:prstGeom prst="rect">
          <a:avLst/>
        </a:prstGeom>
        <a:solidFill>
          <a:srgbClr val="32686A"/>
        </a:solidFill>
        <a:ln>
          <a:solidFill>
            <a:srgbClr val="5055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209550</xdr:colOff>
      <xdr:row>20</xdr:row>
      <xdr:rowOff>75687</xdr:rowOff>
    </xdr:from>
    <xdr:ext cx="5450413" cy="372859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3E226B31-8A3E-4C50-A675-00F40E1E2973}"/>
            </a:ext>
          </a:extLst>
        </xdr:cNvPr>
        <xdr:cNvSpPr txBox="1"/>
      </xdr:nvSpPr>
      <xdr:spPr>
        <a:xfrm>
          <a:off x="209550" y="3885687"/>
          <a:ext cx="5450413" cy="37285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pt-BR" sz="1800" b="0">
              <a:ln>
                <a:noFill/>
              </a:ln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Relações com Investidores</a:t>
          </a:r>
          <a:endParaRPr lang="pt-BR" sz="1800" b="0" baseline="0">
            <a:ln>
              <a:noFill/>
            </a:ln>
            <a:solidFill>
              <a:schemeClr val="bg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12</xdr:col>
      <xdr:colOff>392188</xdr:colOff>
      <xdr:row>13</xdr:row>
      <xdr:rowOff>41129</xdr:rowOff>
    </xdr:from>
    <xdr:to>
      <xdr:col>19</xdr:col>
      <xdr:colOff>590249</xdr:colOff>
      <xdr:row>18</xdr:row>
      <xdr:rowOff>22079</xdr:rowOff>
    </xdr:to>
    <xdr:sp macro="" textlink="">
      <xdr:nvSpPr>
        <xdr:cNvPr id="7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F51777-3E2C-492C-BC6C-BA36D8300681}"/>
            </a:ext>
          </a:extLst>
        </xdr:cNvPr>
        <xdr:cNvSpPr/>
      </xdr:nvSpPr>
      <xdr:spPr>
        <a:xfrm>
          <a:off x="7707388" y="2517629"/>
          <a:ext cx="4465261" cy="933450"/>
        </a:xfrm>
        <a:prstGeom prst="roundRect">
          <a:avLst/>
        </a:prstGeom>
        <a:solidFill>
          <a:srgbClr val="C00000">
            <a:alpha val="77647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600" b="0" i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Balanço</a:t>
          </a:r>
          <a:r>
            <a:rPr lang="pt-BR" sz="1600" b="0" i="0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Patrimonial</a:t>
          </a:r>
          <a:endParaRPr lang="pt-BR" sz="1600" b="1" i="1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2</xdr:col>
      <xdr:colOff>524077</xdr:colOff>
      <xdr:row>7</xdr:row>
      <xdr:rowOff>149541</xdr:rowOff>
    </xdr:from>
    <xdr:to>
      <xdr:col>9</xdr:col>
      <xdr:colOff>166202</xdr:colOff>
      <xdr:row>13</xdr:row>
      <xdr:rowOff>150442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6123427-F0CF-47F4-944C-47CDAE19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277" y="1483041"/>
          <a:ext cx="3909325" cy="1143901"/>
        </a:xfrm>
        <a:prstGeom prst="rect">
          <a:avLst/>
        </a:prstGeom>
      </xdr:spPr>
    </xdr:pic>
    <xdr:clientData/>
  </xdr:twoCellAnchor>
  <xdr:twoCellAnchor>
    <xdr:from>
      <xdr:col>12</xdr:col>
      <xdr:colOff>372577</xdr:colOff>
      <xdr:row>24</xdr:row>
      <xdr:rowOff>154835</xdr:rowOff>
    </xdr:from>
    <xdr:to>
      <xdr:col>19</xdr:col>
      <xdr:colOff>570638</xdr:colOff>
      <xdr:row>29</xdr:row>
      <xdr:rowOff>135785</xdr:rowOff>
    </xdr:to>
    <xdr:sp macro="" textlink="">
      <xdr:nvSpPr>
        <xdr:cNvPr id="9" name="Retângulo de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3B3406-BCD4-434C-8E3B-78B9B14B24F7}"/>
            </a:ext>
          </a:extLst>
        </xdr:cNvPr>
        <xdr:cNvSpPr/>
      </xdr:nvSpPr>
      <xdr:spPr>
        <a:xfrm>
          <a:off x="7720434" y="4726835"/>
          <a:ext cx="4484311" cy="933450"/>
        </a:xfrm>
        <a:prstGeom prst="roundRect">
          <a:avLst/>
        </a:prstGeom>
        <a:solidFill>
          <a:srgbClr val="C00000">
            <a:alpha val="77647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600" b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Dados Operacionais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20731</xdr:colOff>
      <xdr:row>0</xdr:row>
      <xdr:rowOff>44450</xdr:rowOff>
    </xdr:from>
    <xdr:to>
      <xdr:col>50</xdr:col>
      <xdr:colOff>380132</xdr:colOff>
      <xdr:row>1</xdr:row>
      <xdr:rowOff>50613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B655017-070B-4F72-B4C8-6A20EE154A08}"/>
            </a:ext>
          </a:extLst>
        </xdr:cNvPr>
        <xdr:cNvSpPr/>
      </xdr:nvSpPr>
      <xdr:spPr>
        <a:xfrm>
          <a:off x="115981" y="44450"/>
          <a:ext cx="34296976" cy="701488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absolute">
    <xdr:from>
      <xdr:col>1</xdr:col>
      <xdr:colOff>1226606</xdr:colOff>
      <xdr:row>0</xdr:row>
      <xdr:rowOff>65066</xdr:rowOff>
    </xdr:from>
    <xdr:to>
      <xdr:col>12</xdr:col>
      <xdr:colOff>317811</xdr:colOff>
      <xdr:row>0</xdr:row>
      <xdr:rowOff>655659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102F0F6-CA36-43ED-953D-643420030BFA}"/>
            </a:ext>
          </a:extLst>
        </xdr:cNvPr>
        <xdr:cNvSpPr txBox="1"/>
      </xdr:nvSpPr>
      <xdr:spPr>
        <a:xfrm>
          <a:off x="1321856" y="65066"/>
          <a:ext cx="9749680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6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Resultados (DRE)</a:t>
          </a:r>
        </a:p>
        <a:p>
          <a:r>
            <a:rPr lang="pt-BR" sz="16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Consolidados</a:t>
          </a:r>
        </a:p>
      </xdr:txBody>
    </xdr:sp>
    <xdr:clientData/>
  </xdr:twoCellAnchor>
  <xdr:twoCellAnchor editAs="absolute">
    <xdr:from>
      <xdr:col>13</xdr:col>
      <xdr:colOff>53910</xdr:colOff>
      <xdr:row>0</xdr:row>
      <xdr:rowOff>115651</xdr:rowOff>
    </xdr:from>
    <xdr:to>
      <xdr:col>13</xdr:col>
      <xdr:colOff>622475</xdr:colOff>
      <xdr:row>0</xdr:row>
      <xdr:rowOff>666265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8276B3-46E7-4CA1-9F5F-C9B4A4FE0D5E}"/>
            </a:ext>
          </a:extLst>
        </xdr:cNvPr>
        <xdr:cNvGrpSpPr>
          <a:grpSpLocks/>
        </xdr:cNvGrpSpPr>
      </xdr:nvGrpSpPr>
      <xdr:grpSpPr bwMode="auto">
        <a:xfrm>
          <a:off x="11474385" y="115651"/>
          <a:ext cx="568565" cy="550614"/>
          <a:chOff x="11605781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6AB1A13-8F08-484E-A827-6377A3BC7F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A4A8A45F-3301-4D80-B8E2-6BA7564808F7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902856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7E11ABE-70F6-4F47-9A12-81450A047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49</xdr:col>
      <xdr:colOff>354044</xdr:colOff>
      <xdr:row>1</xdr:row>
      <xdr:rowOff>6163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7CCFCC88-B696-45E0-92B9-819565E05D16}"/>
            </a:ext>
          </a:extLst>
        </xdr:cNvPr>
        <xdr:cNvSpPr/>
      </xdr:nvSpPr>
      <xdr:spPr>
        <a:xfrm>
          <a:off x="0" y="0"/>
          <a:ext cx="34262484" cy="701488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absolute">
    <xdr:from>
      <xdr:col>1</xdr:col>
      <xdr:colOff>1223431</xdr:colOff>
      <xdr:row>0</xdr:row>
      <xdr:rowOff>61891</xdr:rowOff>
    </xdr:from>
    <xdr:to>
      <xdr:col>11</xdr:col>
      <xdr:colOff>763056</xdr:colOff>
      <xdr:row>0</xdr:row>
      <xdr:rowOff>652484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5CBF8BC-970C-4C8A-9D13-1E77B0D8C9A7}"/>
            </a:ext>
          </a:extLst>
        </xdr:cNvPr>
        <xdr:cNvSpPr txBox="1"/>
      </xdr:nvSpPr>
      <xdr:spPr>
        <a:xfrm>
          <a:off x="1318681" y="61891"/>
          <a:ext cx="9740900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Fluxo de Caixa </a:t>
          </a:r>
        </a:p>
        <a:p>
          <a:r>
            <a:rPr lang="pt-B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Consolidado</a:t>
          </a:r>
        </a:p>
      </xdr:txBody>
    </xdr:sp>
    <xdr:clientData/>
  </xdr:twoCellAnchor>
  <xdr:twoCellAnchor editAs="absolute">
    <xdr:from>
      <xdr:col>13</xdr:col>
      <xdr:colOff>160234</xdr:colOff>
      <xdr:row>0</xdr:row>
      <xdr:rowOff>108877</xdr:rowOff>
    </xdr:from>
    <xdr:to>
      <xdr:col>13</xdr:col>
      <xdr:colOff>727782</xdr:colOff>
      <xdr:row>0</xdr:row>
      <xdr:rowOff>658354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CA598D-AC65-408D-9456-0FB4B4DC9A39}"/>
            </a:ext>
          </a:extLst>
        </xdr:cNvPr>
        <xdr:cNvGrpSpPr>
          <a:grpSpLocks/>
        </xdr:cNvGrpSpPr>
      </xdr:nvGrpSpPr>
      <xdr:grpSpPr bwMode="auto">
        <a:xfrm>
          <a:off x="11999809" y="108877"/>
          <a:ext cx="567548" cy="549477"/>
          <a:chOff x="11605780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39C046E-F5D3-45ED-8406-0E840FA895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14C2BF1-EEBD-4EF5-A923-A5DF7F400E53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906031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6633CC2-EF10-4F0A-9471-7BFF07A31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7208" cy="2263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51</xdr:col>
      <xdr:colOff>362239</xdr:colOff>
      <xdr:row>1</xdr:row>
      <xdr:rowOff>12513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6C3F6A0C-918B-4808-B3CB-1E972D8006D6}"/>
            </a:ext>
          </a:extLst>
        </xdr:cNvPr>
        <xdr:cNvSpPr/>
      </xdr:nvSpPr>
      <xdr:spPr>
        <a:xfrm>
          <a:off x="0" y="0"/>
          <a:ext cx="34271239" cy="707838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absolute">
    <xdr:from>
      <xdr:col>1</xdr:col>
      <xdr:colOff>1229781</xdr:colOff>
      <xdr:row>0</xdr:row>
      <xdr:rowOff>68241</xdr:rowOff>
    </xdr:from>
    <xdr:to>
      <xdr:col>13</xdr:col>
      <xdr:colOff>316440</xdr:colOff>
      <xdr:row>0</xdr:row>
      <xdr:rowOff>658834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2677A08-788D-4497-948A-9DF8A64491E5}"/>
            </a:ext>
          </a:extLst>
        </xdr:cNvPr>
        <xdr:cNvSpPr txBox="1"/>
      </xdr:nvSpPr>
      <xdr:spPr>
        <a:xfrm>
          <a:off x="1325031" y="68241"/>
          <a:ext cx="9735609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6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Balanço Patrimonial (BP) </a:t>
          </a:r>
        </a:p>
        <a:p>
          <a:r>
            <a:rPr lang="pt-BR" sz="16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Consolidado</a:t>
          </a:r>
        </a:p>
      </xdr:txBody>
    </xdr:sp>
    <xdr:clientData/>
  </xdr:twoCellAnchor>
  <xdr:twoCellAnchor editAs="absolute">
    <xdr:from>
      <xdr:col>12</xdr:col>
      <xdr:colOff>418813</xdr:colOff>
      <xdr:row>0</xdr:row>
      <xdr:rowOff>113919</xdr:rowOff>
    </xdr:from>
    <xdr:to>
      <xdr:col>13</xdr:col>
      <xdr:colOff>383964</xdr:colOff>
      <xdr:row>0</xdr:row>
      <xdr:rowOff>663956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F33AD2-A359-4A49-8038-77B1D1FFA4A9}"/>
            </a:ext>
          </a:extLst>
        </xdr:cNvPr>
        <xdr:cNvGrpSpPr>
          <a:grpSpLocks/>
        </xdr:cNvGrpSpPr>
      </xdr:nvGrpSpPr>
      <xdr:grpSpPr bwMode="auto">
        <a:xfrm>
          <a:off x="10553413" y="113919"/>
          <a:ext cx="574751" cy="550037"/>
          <a:chOff x="11605780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5CA0413-EBB3-43EE-A351-80A9EF8179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48C54FFB-ED14-41C6-A8A1-2E43F095C56D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906031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8C9E349-A4F3-4628-BE9D-556ED0AFF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7208" cy="2263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47625</xdr:rowOff>
    </xdr:from>
    <xdr:to>
      <xdr:col>48</xdr:col>
      <xdr:colOff>330200</xdr:colOff>
      <xdr:row>1</xdr:row>
      <xdr:rowOff>47438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598C3E97-46CC-43E4-955E-545F18D52BC3}"/>
            </a:ext>
          </a:extLst>
        </xdr:cNvPr>
        <xdr:cNvSpPr/>
      </xdr:nvSpPr>
      <xdr:spPr>
        <a:xfrm>
          <a:off x="104775" y="47625"/>
          <a:ext cx="34286825" cy="695138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 sz="1000"/>
        </a:p>
      </xdr:txBody>
    </xdr:sp>
    <xdr:clientData/>
  </xdr:twoCellAnchor>
  <xdr:twoCellAnchor editAs="absolute">
    <xdr:from>
      <xdr:col>1</xdr:col>
      <xdr:colOff>1229781</xdr:colOff>
      <xdr:row>0</xdr:row>
      <xdr:rowOff>68241</xdr:rowOff>
    </xdr:from>
    <xdr:to>
      <xdr:col>11</xdr:col>
      <xdr:colOff>47623</xdr:colOff>
      <xdr:row>0</xdr:row>
      <xdr:rowOff>658834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80E07C8-3691-48D5-A2AD-C666CB5B5767}"/>
            </a:ext>
          </a:extLst>
        </xdr:cNvPr>
        <xdr:cNvSpPr txBox="1"/>
      </xdr:nvSpPr>
      <xdr:spPr>
        <a:xfrm>
          <a:off x="1325031" y="68241"/>
          <a:ext cx="9743017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Custos e Despesas</a:t>
          </a:r>
        </a:p>
        <a:p>
          <a:r>
            <a:rPr lang="pt-B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Consolidados</a:t>
          </a:r>
        </a:p>
      </xdr:txBody>
    </xdr:sp>
    <xdr:clientData/>
  </xdr:twoCellAnchor>
  <xdr:twoCellAnchor editAs="absolute">
    <xdr:from>
      <xdr:col>13</xdr:col>
      <xdr:colOff>45704</xdr:colOff>
      <xdr:row>0</xdr:row>
      <xdr:rowOff>104394</xdr:rowOff>
    </xdr:from>
    <xdr:to>
      <xdr:col>13</xdr:col>
      <xdr:colOff>620455</xdr:colOff>
      <xdr:row>0</xdr:row>
      <xdr:rowOff>654431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E53E4-1300-4497-AC59-1AFDDCC70957}"/>
            </a:ext>
          </a:extLst>
        </xdr:cNvPr>
        <xdr:cNvGrpSpPr>
          <a:grpSpLocks/>
        </xdr:cNvGrpSpPr>
      </xdr:nvGrpSpPr>
      <xdr:grpSpPr bwMode="auto">
        <a:xfrm>
          <a:off x="12609179" y="104394"/>
          <a:ext cx="574751" cy="550037"/>
          <a:chOff x="11605780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ACA40A6-C8A1-4AF0-B801-10E5F49301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1E08DABB-F4E9-4B1D-A82C-D517E1E5E83B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906031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24E0321-6A1A-4728-ADD9-4AE023A4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7208" cy="2263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46</xdr:col>
      <xdr:colOff>123825</xdr:colOff>
      <xdr:row>1</xdr:row>
      <xdr:rowOff>9338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A1B86765-F927-4D6F-BBD5-D01E330B84DB}"/>
            </a:ext>
          </a:extLst>
        </xdr:cNvPr>
        <xdr:cNvSpPr/>
      </xdr:nvSpPr>
      <xdr:spPr>
        <a:xfrm>
          <a:off x="0" y="0"/>
          <a:ext cx="34356675" cy="704663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absolute">
    <xdr:from>
      <xdr:col>16</xdr:col>
      <xdr:colOff>527850</xdr:colOff>
      <xdr:row>0</xdr:row>
      <xdr:rowOff>104394</xdr:rowOff>
    </xdr:from>
    <xdr:to>
      <xdr:col>17</xdr:col>
      <xdr:colOff>348463</xdr:colOff>
      <xdr:row>0</xdr:row>
      <xdr:rowOff>657606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E9C682-0E29-4F72-A7A4-683B1A2F8F64}"/>
            </a:ext>
          </a:extLst>
        </xdr:cNvPr>
        <xdr:cNvGrpSpPr>
          <a:grpSpLocks/>
        </xdr:cNvGrpSpPr>
      </xdr:nvGrpSpPr>
      <xdr:grpSpPr bwMode="auto">
        <a:xfrm>
          <a:off x="16186950" y="104394"/>
          <a:ext cx="573088" cy="553212"/>
          <a:chOff x="11605780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62B1785-2893-45A8-8672-54B92407CC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BCBF733-20AE-4AA2-9296-9C680740442A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902856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1A11044-3225-4D4D-9D54-A99086548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</xdr:col>
      <xdr:colOff>1226606</xdr:colOff>
      <xdr:row>0</xdr:row>
      <xdr:rowOff>65066</xdr:rowOff>
    </xdr:from>
    <xdr:to>
      <xdr:col>9</xdr:col>
      <xdr:colOff>697440</xdr:colOff>
      <xdr:row>0</xdr:row>
      <xdr:rowOff>655659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B894E1C-8F96-4B05-8E09-AD2CE45EB9F9}"/>
            </a:ext>
          </a:extLst>
        </xdr:cNvPr>
        <xdr:cNvSpPr txBox="1"/>
      </xdr:nvSpPr>
      <xdr:spPr>
        <a:xfrm>
          <a:off x="1321856" y="65066"/>
          <a:ext cx="9767359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Dados Operacionais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72E07-CEE2-4DDC-9D2E-801F406B4C02}">
  <dimension ref="S11"/>
  <sheetViews>
    <sheetView showGridLines="0" showRowColHeaders="0" tabSelected="1" zoomScale="70" zoomScaleNormal="70" workbookViewId="0"/>
  </sheetViews>
  <sheetFormatPr defaultRowHeight="15" x14ac:dyDescent="0.25"/>
  <sheetData>
    <row r="11" spans="19:19" x14ac:dyDescent="0.25">
      <c r="S11" s="1" t="s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B0A5-6AD9-4185-91EC-983DF341B2E2}">
  <dimension ref="B1:N34"/>
  <sheetViews>
    <sheetView showGridLines="0" zoomScaleNormal="100" workbookViewId="0">
      <pane xSplit="2" ySplit="3" topLeftCell="C4" activePane="bottomRight" state="frozen"/>
      <selection activeCell="M14" sqref="M13:M14"/>
      <selection pane="topRight" activeCell="M14" sqref="M13:M14"/>
      <selection pane="bottomLeft" activeCell="M14" sqref="M13:M14"/>
      <selection pane="bottomRight" activeCell="C4" sqref="C4"/>
    </sheetView>
  </sheetViews>
  <sheetFormatPr defaultColWidth="9.140625" defaultRowHeight="14.25" x14ac:dyDescent="0.2"/>
  <cols>
    <col min="1" max="1" width="1.42578125" style="2" customWidth="1"/>
    <col min="2" max="2" width="49.7109375" style="2" customWidth="1"/>
    <col min="3" max="9" width="11.5703125" style="2" customWidth="1"/>
    <col min="10" max="10" width="10" style="2" customWidth="1"/>
    <col min="11" max="11" width="9.140625" style="2" customWidth="1"/>
    <col min="12" max="14" width="10" style="2" bestFit="1" customWidth="1"/>
    <col min="15" max="16384" width="9.140625" style="2"/>
  </cols>
  <sheetData>
    <row r="1" spans="2:14" ht="54.75" customHeight="1" x14ac:dyDescent="0.2"/>
    <row r="2" spans="2:14" ht="8.25" customHeight="1" x14ac:dyDescent="0.2"/>
    <row r="3" spans="2:14" s="5" customFormat="1" ht="15" thickBot="1" x14ac:dyDescent="0.3">
      <c r="B3" s="3" t="s">
        <v>1</v>
      </c>
      <c r="C3" s="4">
        <v>2018</v>
      </c>
      <c r="D3" s="4" t="s">
        <v>2</v>
      </c>
      <c r="E3" s="4" t="s">
        <v>3</v>
      </c>
      <c r="F3" s="4" t="s">
        <v>4</v>
      </c>
      <c r="G3" s="4" t="s">
        <v>5</v>
      </c>
      <c r="H3" s="4">
        <v>2019</v>
      </c>
      <c r="I3" s="4" t="s">
        <v>6</v>
      </c>
      <c r="J3" s="4" t="s">
        <v>7</v>
      </c>
      <c r="K3" s="4" t="s">
        <v>8</v>
      </c>
      <c r="L3" s="4" t="s">
        <v>9</v>
      </c>
      <c r="M3" s="4">
        <v>2020</v>
      </c>
      <c r="N3" s="4" t="s">
        <v>139</v>
      </c>
    </row>
    <row r="4" spans="2:14" x14ac:dyDescent="0.2">
      <c r="B4" s="6" t="s">
        <v>10</v>
      </c>
      <c r="C4" s="7">
        <f>SUM(C5:C10)</f>
        <v>1927319</v>
      </c>
      <c r="D4" s="7">
        <f t="shared" ref="D4:N4" si="0">SUM(D5:D10)</f>
        <v>422161</v>
      </c>
      <c r="E4" s="7">
        <f t="shared" si="0"/>
        <v>435104</v>
      </c>
      <c r="F4" s="7">
        <f t="shared" si="0"/>
        <v>476148</v>
      </c>
      <c r="G4" s="7">
        <f t="shared" si="0"/>
        <v>497086</v>
      </c>
      <c r="H4" s="7">
        <f t="shared" si="0"/>
        <v>1830499</v>
      </c>
      <c r="I4" s="7">
        <f t="shared" si="0"/>
        <v>540862</v>
      </c>
      <c r="J4" s="7">
        <f t="shared" si="0"/>
        <v>544905</v>
      </c>
      <c r="K4" s="7">
        <f t="shared" si="0"/>
        <v>536256</v>
      </c>
      <c r="L4" s="7">
        <f t="shared" si="0"/>
        <v>581775</v>
      </c>
      <c r="M4" s="7">
        <f t="shared" si="0"/>
        <v>2203798</v>
      </c>
      <c r="N4" s="7">
        <f t="shared" si="0"/>
        <v>634200</v>
      </c>
    </row>
    <row r="5" spans="2:14" x14ac:dyDescent="0.2">
      <c r="B5" s="8" t="s">
        <v>140</v>
      </c>
      <c r="C5" s="62">
        <v>1341014</v>
      </c>
      <c r="D5" s="62">
        <v>277098</v>
      </c>
      <c r="E5" s="62">
        <v>293520</v>
      </c>
      <c r="F5" s="62">
        <v>346009</v>
      </c>
      <c r="G5" s="62">
        <v>356779</v>
      </c>
      <c r="H5" s="62">
        <v>1273406</v>
      </c>
      <c r="I5" s="62">
        <v>394841</v>
      </c>
      <c r="J5" s="62">
        <f>446229-28358</f>
        <v>417871</v>
      </c>
      <c r="K5" s="62">
        <v>407850</v>
      </c>
      <c r="L5" s="62">
        <f>424929-1234</f>
        <v>423695</v>
      </c>
      <c r="M5" s="62">
        <v>1644257</v>
      </c>
      <c r="N5" s="62">
        <v>459377</v>
      </c>
    </row>
    <row r="6" spans="2:14" x14ac:dyDescent="0.2">
      <c r="B6" s="61" t="s">
        <v>137</v>
      </c>
      <c r="C6" s="60"/>
      <c r="D6" s="60"/>
      <c r="E6" s="60"/>
      <c r="F6" s="60"/>
      <c r="G6" s="60"/>
      <c r="H6" s="60"/>
      <c r="I6" s="60">
        <v>12252</v>
      </c>
      <c r="J6" s="60">
        <v>28358</v>
      </c>
      <c r="K6" s="60">
        <v>28191</v>
      </c>
      <c r="L6" s="60">
        <v>43351</v>
      </c>
      <c r="M6" s="60">
        <v>112152</v>
      </c>
      <c r="N6" s="60">
        <v>58304</v>
      </c>
    </row>
    <row r="7" spans="2:14" x14ac:dyDescent="0.2">
      <c r="B7" s="8" t="s">
        <v>141</v>
      </c>
      <c r="C7" s="62">
        <v>463076</v>
      </c>
      <c r="D7" s="62">
        <v>120885</v>
      </c>
      <c r="E7" s="62">
        <v>115453</v>
      </c>
      <c r="F7" s="62">
        <v>119047</v>
      </c>
      <c r="G7" s="62">
        <v>126203</v>
      </c>
      <c r="H7" s="62">
        <v>481588</v>
      </c>
      <c r="I7" s="62">
        <v>126777</v>
      </c>
      <c r="J7" s="62">
        <v>120562</v>
      </c>
      <c r="K7" s="62">
        <v>121596</v>
      </c>
      <c r="L7" s="62">
        <v>129510</v>
      </c>
      <c r="M7" s="62">
        <v>498445</v>
      </c>
      <c r="N7" s="62">
        <v>130377</v>
      </c>
    </row>
    <row r="8" spans="2:14" x14ac:dyDescent="0.2">
      <c r="B8" s="61" t="s">
        <v>142</v>
      </c>
      <c r="C8" s="60">
        <v>120648</v>
      </c>
      <c r="D8" s="60">
        <v>23547</v>
      </c>
      <c r="E8" s="60">
        <v>25483</v>
      </c>
      <c r="F8" s="60">
        <v>10438</v>
      </c>
      <c r="G8" s="60">
        <v>12767</v>
      </c>
      <c r="H8" s="60">
        <v>72235</v>
      </c>
      <c r="I8" s="60">
        <v>15882</v>
      </c>
      <c r="J8" s="60">
        <v>6129</v>
      </c>
      <c r="K8" s="60">
        <v>16134</v>
      </c>
      <c r="L8" s="60">
        <v>17151</v>
      </c>
      <c r="M8" s="60">
        <v>55296</v>
      </c>
      <c r="N8" s="60">
        <v>11828</v>
      </c>
    </row>
    <row r="9" spans="2:14" x14ac:dyDescent="0.2">
      <c r="B9" s="8" t="s">
        <v>11</v>
      </c>
      <c r="C9" s="62"/>
      <c r="D9" s="62"/>
      <c r="E9" s="62"/>
      <c r="F9" s="62"/>
      <c r="G9" s="62"/>
      <c r="H9" s="62"/>
      <c r="I9" s="9">
        <v>-9637</v>
      </c>
      <c r="J9" s="9">
        <v>-28611</v>
      </c>
      <c r="K9" s="9">
        <v>-41310</v>
      </c>
      <c r="L9" s="9">
        <f>-116295-SUM(I9:K9)</f>
        <v>-36737</v>
      </c>
      <c r="M9" s="9">
        <v>-116295</v>
      </c>
      <c r="N9" s="9">
        <v>-26391</v>
      </c>
    </row>
    <row r="10" spans="2:14" x14ac:dyDescent="0.2">
      <c r="B10" s="61" t="s">
        <v>12</v>
      </c>
      <c r="C10" s="60">
        <v>2581</v>
      </c>
      <c r="D10" s="60">
        <v>631</v>
      </c>
      <c r="E10" s="60">
        <v>648</v>
      </c>
      <c r="F10" s="60">
        <v>654</v>
      </c>
      <c r="G10" s="60">
        <v>1337</v>
      </c>
      <c r="H10" s="60">
        <v>3270</v>
      </c>
      <c r="I10" s="60">
        <v>747</v>
      </c>
      <c r="J10" s="60">
        <v>596</v>
      </c>
      <c r="K10" s="60">
        <f>3090+705</f>
        <v>3795</v>
      </c>
      <c r="L10" s="60">
        <f>7190+2753-SUM(I10:K10)</f>
        <v>4805</v>
      </c>
      <c r="M10" s="60">
        <f>7190+2753</f>
        <v>9943</v>
      </c>
      <c r="N10" s="60">
        <v>705</v>
      </c>
    </row>
    <row r="11" spans="2:14" s="5" customFormat="1" x14ac:dyDescent="0.25">
      <c r="B11" s="13" t="s">
        <v>13</v>
      </c>
      <c r="C11" s="14">
        <f>SUM(C12:C18)</f>
        <v>-293209</v>
      </c>
      <c r="D11" s="14">
        <f t="shared" ref="D11:N11" si="1">SUM(D12:D18)</f>
        <v>-66543</v>
      </c>
      <c r="E11" s="14">
        <f t="shared" si="1"/>
        <v>-66727</v>
      </c>
      <c r="F11" s="14">
        <f t="shared" si="1"/>
        <v>-61682</v>
      </c>
      <c r="G11" s="14">
        <f t="shared" si="1"/>
        <v>-64251</v>
      </c>
      <c r="H11" s="14">
        <f t="shared" si="1"/>
        <v>-259203</v>
      </c>
      <c r="I11" s="14">
        <f t="shared" si="1"/>
        <v>-80322</v>
      </c>
      <c r="J11" s="14">
        <f t="shared" si="1"/>
        <v>-59373</v>
      </c>
      <c r="K11" s="14">
        <f t="shared" si="1"/>
        <v>-65729</v>
      </c>
      <c r="L11" s="14">
        <f t="shared" si="1"/>
        <v>-81126</v>
      </c>
      <c r="M11" s="14">
        <f t="shared" si="1"/>
        <v>-286550</v>
      </c>
      <c r="N11" s="14">
        <f t="shared" si="1"/>
        <v>-77315</v>
      </c>
    </row>
    <row r="12" spans="2:14" s="5" customFormat="1" x14ac:dyDescent="0.25">
      <c r="B12" s="10" t="s">
        <v>14</v>
      </c>
      <c r="C12" s="11">
        <v>-54714</v>
      </c>
      <c r="D12" s="11">
        <v>-12308</v>
      </c>
      <c r="E12" s="11">
        <v>-12309</v>
      </c>
      <c r="F12" s="11">
        <v>-843</v>
      </c>
      <c r="G12" s="11">
        <v>-844</v>
      </c>
      <c r="H12" s="11">
        <v>-26304</v>
      </c>
      <c r="I12" s="11">
        <v>-843</v>
      </c>
      <c r="J12" s="11">
        <v>-844</v>
      </c>
      <c r="K12" s="11">
        <v>-223</v>
      </c>
      <c r="L12" s="11">
        <v>-669</v>
      </c>
      <c r="M12" s="11">
        <v>-2579</v>
      </c>
      <c r="N12" s="11">
        <v>-446</v>
      </c>
    </row>
    <row r="13" spans="2:14" s="5" customFormat="1" x14ac:dyDescent="0.25">
      <c r="B13" s="8" t="s">
        <v>15</v>
      </c>
      <c r="C13" s="9">
        <v>-16319</v>
      </c>
      <c r="D13" s="9">
        <v>-3551</v>
      </c>
      <c r="E13" s="9">
        <v>-3678</v>
      </c>
      <c r="F13" s="9">
        <v>-4164</v>
      </c>
      <c r="G13" s="9">
        <v>-4238</v>
      </c>
      <c r="H13" s="9">
        <v>-15631</v>
      </c>
      <c r="I13" s="9">
        <v>-3933</v>
      </c>
      <c r="J13" s="9">
        <v>-4011</v>
      </c>
      <c r="K13" s="9">
        <v>-2349</v>
      </c>
      <c r="L13" s="9">
        <v>-4805</v>
      </c>
      <c r="M13" s="9">
        <v>-15098</v>
      </c>
      <c r="N13" s="9">
        <v>-4184</v>
      </c>
    </row>
    <row r="14" spans="2:14" s="5" customFormat="1" x14ac:dyDescent="0.25">
      <c r="B14" s="10" t="s">
        <v>16</v>
      </c>
      <c r="C14" s="11">
        <v>-132</v>
      </c>
      <c r="D14" s="11">
        <v>-34</v>
      </c>
      <c r="E14" s="11">
        <v>-35</v>
      </c>
      <c r="F14" s="11">
        <v>-32</v>
      </c>
      <c r="G14" s="11">
        <v>-19</v>
      </c>
      <c r="H14" s="11">
        <v>-120</v>
      </c>
      <c r="I14" s="11">
        <v>-23</v>
      </c>
      <c r="J14" s="11">
        <v>-21</v>
      </c>
      <c r="K14" s="11">
        <v>-21</v>
      </c>
      <c r="L14" s="11">
        <v>-19</v>
      </c>
      <c r="M14" s="11">
        <v>-84</v>
      </c>
      <c r="N14" s="11">
        <v>-21</v>
      </c>
    </row>
    <row r="15" spans="2:14" s="5" customFormat="1" x14ac:dyDescent="0.25">
      <c r="B15" s="8" t="s">
        <v>17</v>
      </c>
      <c r="C15" s="9">
        <v>-140460</v>
      </c>
      <c r="D15" s="9">
        <v>-30612</v>
      </c>
      <c r="E15" s="9">
        <v>-31791</v>
      </c>
      <c r="F15" s="9">
        <v>-35583</v>
      </c>
      <c r="G15" s="9">
        <v>-37046</v>
      </c>
      <c r="H15" s="9">
        <v>-135032</v>
      </c>
      <c r="I15" s="9">
        <v>-49986</v>
      </c>
      <c r="J15" s="9">
        <v>-34115</v>
      </c>
      <c r="K15" s="9">
        <v>-43495</v>
      </c>
      <c r="L15" s="9">
        <v>-46974</v>
      </c>
      <c r="M15" s="9">
        <v>-174570</v>
      </c>
      <c r="N15" s="9">
        <v>-50206</v>
      </c>
    </row>
    <row r="16" spans="2:14" s="5" customFormat="1" x14ac:dyDescent="0.25">
      <c r="B16" s="10" t="s">
        <v>18</v>
      </c>
      <c r="C16" s="11">
        <v>-30493</v>
      </c>
      <c r="D16" s="11">
        <v>-6646</v>
      </c>
      <c r="E16" s="11">
        <v>-6901</v>
      </c>
      <c r="F16" s="11">
        <v>-7726</v>
      </c>
      <c r="G16" s="11">
        <v>-8043</v>
      </c>
      <c r="H16" s="11">
        <v>-29316</v>
      </c>
      <c r="I16" s="11">
        <v>-10852</v>
      </c>
      <c r="J16" s="11">
        <v>-7407</v>
      </c>
      <c r="K16" s="11">
        <v>-9443</v>
      </c>
      <c r="L16" s="11">
        <v>-10198</v>
      </c>
      <c r="M16" s="11">
        <v>-37900</v>
      </c>
      <c r="N16" s="11">
        <v>-10900</v>
      </c>
    </row>
    <row r="17" spans="2:14" s="5" customFormat="1" x14ac:dyDescent="0.25">
      <c r="B17" s="8" t="s">
        <v>19</v>
      </c>
      <c r="C17" s="9">
        <v>-48063</v>
      </c>
      <c r="D17" s="9">
        <v>-12608</v>
      </c>
      <c r="E17" s="9">
        <v>-11229</v>
      </c>
      <c r="F17" s="9">
        <v>-12119</v>
      </c>
      <c r="G17" s="9">
        <v>-12845</v>
      </c>
      <c r="H17" s="9">
        <v>-48801</v>
      </c>
      <c r="I17" s="9">
        <v>-13456</v>
      </c>
      <c r="J17" s="9">
        <v>-11765</v>
      </c>
      <c r="K17" s="9">
        <v>-9294</v>
      </c>
      <c r="L17" s="9">
        <v>-16874</v>
      </c>
      <c r="M17" s="9">
        <v>-51389</v>
      </c>
      <c r="N17" s="9">
        <v>-10228</v>
      </c>
    </row>
    <row r="18" spans="2:14" s="12" customFormat="1" x14ac:dyDescent="0.25">
      <c r="B18" s="10" t="s">
        <v>20</v>
      </c>
      <c r="C18" s="11">
        <v>-3028</v>
      </c>
      <c r="D18" s="11">
        <v>-784</v>
      </c>
      <c r="E18" s="11">
        <v>-784</v>
      </c>
      <c r="F18" s="11">
        <v>-1215</v>
      </c>
      <c r="G18" s="11">
        <v>-1216</v>
      </c>
      <c r="H18" s="11">
        <v>-3999</v>
      </c>
      <c r="I18" s="11">
        <v>-1229</v>
      </c>
      <c r="J18" s="11">
        <v>-1210</v>
      </c>
      <c r="K18" s="11">
        <v>-904</v>
      </c>
      <c r="L18" s="11">
        <v>-1587</v>
      </c>
      <c r="M18" s="11">
        <v>-4930</v>
      </c>
      <c r="N18" s="11">
        <v>-1330</v>
      </c>
    </row>
    <row r="19" spans="2:14" s="5" customFormat="1" x14ac:dyDescent="0.25">
      <c r="B19" s="13" t="s">
        <v>21</v>
      </c>
      <c r="C19" s="14">
        <f>C4+C11</f>
        <v>1634110</v>
      </c>
      <c r="D19" s="14">
        <f t="shared" ref="D19:N19" si="2">D4+D11</f>
        <v>355618</v>
      </c>
      <c r="E19" s="14">
        <f t="shared" si="2"/>
        <v>368377</v>
      </c>
      <c r="F19" s="14">
        <f t="shared" si="2"/>
        <v>414466</v>
      </c>
      <c r="G19" s="14">
        <f t="shared" si="2"/>
        <v>432835</v>
      </c>
      <c r="H19" s="14">
        <f t="shared" si="2"/>
        <v>1571296</v>
      </c>
      <c r="I19" s="14">
        <f t="shared" si="2"/>
        <v>460540</v>
      </c>
      <c r="J19" s="14">
        <f t="shared" si="2"/>
        <v>485532</v>
      </c>
      <c r="K19" s="14">
        <f t="shared" si="2"/>
        <v>470527</v>
      </c>
      <c r="L19" s="14">
        <f t="shared" si="2"/>
        <v>500649</v>
      </c>
      <c r="M19" s="14">
        <f t="shared" si="2"/>
        <v>1917248</v>
      </c>
      <c r="N19" s="14">
        <f t="shared" si="2"/>
        <v>556885</v>
      </c>
    </row>
    <row r="20" spans="2:14" s="12" customFormat="1" x14ac:dyDescent="0.25">
      <c r="B20" s="15" t="s">
        <v>22</v>
      </c>
      <c r="C20" s="11">
        <v>-1232279</v>
      </c>
      <c r="D20" s="11">
        <v>-349882</v>
      </c>
      <c r="E20" s="11">
        <v>-211747</v>
      </c>
      <c r="F20" s="11">
        <v>-258322</v>
      </c>
      <c r="G20" s="11">
        <v>-272064</v>
      </c>
      <c r="H20" s="11">
        <v>-1092015</v>
      </c>
      <c r="I20" s="11">
        <v>-226335</v>
      </c>
      <c r="J20" s="11">
        <v>-281056</v>
      </c>
      <c r="K20" s="11">
        <v>-312967</v>
      </c>
      <c r="L20" s="11">
        <v>-369284</v>
      </c>
      <c r="M20" s="11">
        <v>-1189642</v>
      </c>
      <c r="N20" s="11">
        <v>-365112</v>
      </c>
    </row>
    <row r="21" spans="2:14" s="5" customFormat="1" x14ac:dyDescent="0.25">
      <c r="B21" s="13" t="s">
        <v>23</v>
      </c>
      <c r="C21" s="14">
        <f>C19+C20</f>
        <v>401831</v>
      </c>
      <c r="D21" s="14">
        <f t="shared" ref="D21:N21" si="3">D19+D20</f>
        <v>5736</v>
      </c>
      <c r="E21" s="14">
        <f t="shared" si="3"/>
        <v>156630</v>
      </c>
      <c r="F21" s="14">
        <f t="shared" si="3"/>
        <v>156144</v>
      </c>
      <c r="G21" s="14">
        <f t="shared" si="3"/>
        <v>160771</v>
      </c>
      <c r="H21" s="14">
        <f t="shared" si="3"/>
        <v>479281</v>
      </c>
      <c r="I21" s="14">
        <f t="shared" si="3"/>
        <v>234205</v>
      </c>
      <c r="J21" s="14">
        <f t="shared" si="3"/>
        <v>204476</v>
      </c>
      <c r="K21" s="14">
        <f t="shared" si="3"/>
        <v>157560</v>
      </c>
      <c r="L21" s="14">
        <f t="shared" si="3"/>
        <v>131365</v>
      </c>
      <c r="M21" s="14">
        <f t="shared" si="3"/>
        <v>727606</v>
      </c>
      <c r="N21" s="14">
        <f t="shared" si="3"/>
        <v>191773</v>
      </c>
    </row>
    <row r="22" spans="2:14" s="12" customFormat="1" x14ac:dyDescent="0.25">
      <c r="B22" s="15" t="s">
        <v>24</v>
      </c>
      <c r="C22" s="11">
        <v>257322</v>
      </c>
      <c r="D22" s="11">
        <v>-108846</v>
      </c>
      <c r="E22" s="11">
        <v>-56506</v>
      </c>
      <c r="F22" s="11">
        <v>-29028</v>
      </c>
      <c r="G22" s="11">
        <v>198461</v>
      </c>
      <c r="H22" s="11">
        <v>4081</v>
      </c>
      <c r="I22" s="11">
        <v>-25408</v>
      </c>
      <c r="J22" s="11">
        <v>93448</v>
      </c>
      <c r="K22" s="11">
        <v>-24056</v>
      </c>
      <c r="L22" s="11">
        <v>41136</v>
      </c>
      <c r="M22" s="11">
        <v>85120</v>
      </c>
      <c r="N22" s="11">
        <v>155855</v>
      </c>
    </row>
    <row r="23" spans="2:14" s="5" customFormat="1" x14ac:dyDescent="0.25">
      <c r="B23" s="13" t="s">
        <v>25</v>
      </c>
      <c r="C23" s="14">
        <f>C22+C21</f>
        <v>659153</v>
      </c>
      <c r="D23" s="14">
        <f t="shared" ref="D23:N23" si="4">D22+D21</f>
        <v>-103110</v>
      </c>
      <c r="E23" s="14">
        <f t="shared" si="4"/>
        <v>100124</v>
      </c>
      <c r="F23" s="14">
        <f t="shared" si="4"/>
        <v>127116</v>
      </c>
      <c r="G23" s="14">
        <f t="shared" si="4"/>
        <v>359232</v>
      </c>
      <c r="H23" s="14">
        <f t="shared" si="4"/>
        <v>483362</v>
      </c>
      <c r="I23" s="14">
        <f t="shared" si="4"/>
        <v>208797</v>
      </c>
      <c r="J23" s="14">
        <f t="shared" si="4"/>
        <v>297924</v>
      </c>
      <c r="K23" s="14">
        <f t="shared" si="4"/>
        <v>133504</v>
      </c>
      <c r="L23" s="14">
        <f t="shared" si="4"/>
        <v>172501</v>
      </c>
      <c r="M23" s="14">
        <f t="shared" si="4"/>
        <v>812726</v>
      </c>
      <c r="N23" s="14">
        <f t="shared" si="4"/>
        <v>347628</v>
      </c>
    </row>
    <row r="24" spans="2:14" s="5" customFormat="1" x14ac:dyDescent="0.25">
      <c r="B24" s="15" t="s">
        <v>26</v>
      </c>
      <c r="C24" s="11">
        <v>75704</v>
      </c>
      <c r="D24" s="11">
        <v>33102</v>
      </c>
      <c r="E24" s="11">
        <v>20986</v>
      </c>
      <c r="F24" s="11">
        <v>9085</v>
      </c>
      <c r="G24" s="11">
        <v>11265</v>
      </c>
      <c r="H24" s="11">
        <v>74438</v>
      </c>
      <c r="I24" s="11">
        <v>10513</v>
      </c>
      <c r="J24" s="11">
        <v>7941</v>
      </c>
      <c r="K24" s="11">
        <v>6550</v>
      </c>
      <c r="L24" s="11">
        <v>4738</v>
      </c>
      <c r="M24" s="11">
        <v>29742</v>
      </c>
      <c r="N24" s="11">
        <v>5725</v>
      </c>
    </row>
    <row r="25" spans="2:14" s="5" customFormat="1" x14ac:dyDescent="0.25">
      <c r="B25" s="16" t="s">
        <v>27</v>
      </c>
      <c r="C25" s="9">
        <f>-398207-52364</f>
        <v>-450571</v>
      </c>
      <c r="D25" s="9">
        <v>-85444</v>
      </c>
      <c r="E25" s="9">
        <v>-123220</v>
      </c>
      <c r="F25" s="9">
        <v>-138940</v>
      </c>
      <c r="G25" s="9">
        <v>-70901</v>
      </c>
      <c r="H25" s="9">
        <v>-418505</v>
      </c>
      <c r="I25" s="9">
        <v>-119723</v>
      </c>
      <c r="J25" s="9">
        <v>-102267</v>
      </c>
      <c r="K25" s="9">
        <v>-188223</v>
      </c>
      <c r="L25" s="9">
        <v>-175457</v>
      </c>
      <c r="M25" s="9">
        <v>-585670</v>
      </c>
      <c r="N25" s="9">
        <v>-173588</v>
      </c>
    </row>
    <row r="26" spans="2:14" s="5" customFormat="1" x14ac:dyDescent="0.25">
      <c r="B26" s="15" t="s">
        <v>28</v>
      </c>
      <c r="C26" s="11"/>
      <c r="D26" s="11">
        <v>680</v>
      </c>
      <c r="E26" s="11">
        <v>2260</v>
      </c>
      <c r="F26" s="11">
        <v>-6068</v>
      </c>
      <c r="G26" s="11">
        <v>319</v>
      </c>
      <c r="H26" s="11">
        <f>SUM(D26:G26)</f>
        <v>-2809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 t="s">
        <v>143</v>
      </c>
    </row>
    <row r="27" spans="2:14" s="12" customFormat="1" x14ac:dyDescent="0.25">
      <c r="B27" s="13" t="s">
        <v>29</v>
      </c>
      <c r="C27" s="14">
        <f>SUM(C24:C26)</f>
        <v>-374867</v>
      </c>
      <c r="D27" s="14">
        <f t="shared" ref="D27:N27" si="5">SUM(D24:D26)</f>
        <v>-51662</v>
      </c>
      <c r="E27" s="14">
        <f t="shared" si="5"/>
        <v>-99974</v>
      </c>
      <c r="F27" s="14">
        <f t="shared" si="5"/>
        <v>-135923</v>
      </c>
      <c r="G27" s="14">
        <f t="shared" si="5"/>
        <v>-59317</v>
      </c>
      <c r="H27" s="14">
        <f t="shared" si="5"/>
        <v>-346876</v>
      </c>
      <c r="I27" s="14">
        <f t="shared" si="5"/>
        <v>-109210</v>
      </c>
      <c r="J27" s="14">
        <f t="shared" si="5"/>
        <v>-94326</v>
      </c>
      <c r="K27" s="14">
        <f t="shared" si="5"/>
        <v>-181673</v>
      </c>
      <c r="L27" s="14">
        <f t="shared" si="5"/>
        <v>-170719</v>
      </c>
      <c r="M27" s="14">
        <f t="shared" si="5"/>
        <v>-555928</v>
      </c>
      <c r="N27" s="14">
        <f t="shared" si="5"/>
        <v>-167863</v>
      </c>
    </row>
    <row r="28" spans="2:14" s="5" customFormat="1" x14ac:dyDescent="0.25">
      <c r="B28" s="6" t="s">
        <v>30</v>
      </c>
      <c r="C28" s="17">
        <f>C27+C23</f>
        <v>284286</v>
      </c>
      <c r="D28" s="17">
        <f t="shared" ref="D28:N28" si="6">D27+D23</f>
        <v>-154772</v>
      </c>
      <c r="E28" s="17">
        <f t="shared" si="6"/>
        <v>150</v>
      </c>
      <c r="F28" s="17">
        <f t="shared" si="6"/>
        <v>-8807</v>
      </c>
      <c r="G28" s="17">
        <f t="shared" si="6"/>
        <v>299915</v>
      </c>
      <c r="H28" s="17">
        <f t="shared" si="6"/>
        <v>136486</v>
      </c>
      <c r="I28" s="17">
        <f t="shared" si="6"/>
        <v>99587</v>
      </c>
      <c r="J28" s="17">
        <f t="shared" si="6"/>
        <v>203598</v>
      </c>
      <c r="K28" s="17">
        <f t="shared" si="6"/>
        <v>-48169</v>
      </c>
      <c r="L28" s="17">
        <f t="shared" si="6"/>
        <v>1782</v>
      </c>
      <c r="M28" s="17">
        <f t="shared" si="6"/>
        <v>256798</v>
      </c>
      <c r="N28" s="17">
        <f t="shared" si="6"/>
        <v>179765</v>
      </c>
    </row>
    <row r="29" spans="2:14" s="5" customFormat="1" x14ac:dyDescent="0.25">
      <c r="B29" s="16" t="s">
        <v>31</v>
      </c>
      <c r="C29" s="9">
        <v>10147</v>
      </c>
      <c r="D29" s="9">
        <v>-3471</v>
      </c>
      <c r="E29" s="9">
        <v>-4152</v>
      </c>
      <c r="F29" s="9">
        <v>951</v>
      </c>
      <c r="G29" s="9">
        <v>1033200</v>
      </c>
      <c r="H29" s="9">
        <f>1026560-32</f>
        <v>1026528</v>
      </c>
      <c r="I29" s="9">
        <v>-45774</v>
      </c>
      <c r="J29" s="9">
        <v>-65800</v>
      </c>
      <c r="K29" s="9">
        <v>-10356</v>
      </c>
      <c r="L29" s="9">
        <v>1593894</v>
      </c>
      <c r="M29" s="9">
        <v>1471964</v>
      </c>
      <c r="N29" s="9">
        <v>-63967</v>
      </c>
    </row>
    <row r="30" spans="2:14" s="5" customFormat="1" x14ac:dyDescent="0.25">
      <c r="B30" s="6" t="s">
        <v>32</v>
      </c>
      <c r="C30" s="17">
        <f>C28+C29</f>
        <v>294433</v>
      </c>
      <c r="D30" s="17">
        <f t="shared" ref="D30:N30" si="7">D28+D29</f>
        <v>-158243</v>
      </c>
      <c r="E30" s="17">
        <f t="shared" si="7"/>
        <v>-4002</v>
      </c>
      <c r="F30" s="17">
        <f t="shared" si="7"/>
        <v>-7856</v>
      </c>
      <c r="G30" s="17">
        <f t="shared" si="7"/>
        <v>1333115</v>
      </c>
      <c r="H30" s="17">
        <f t="shared" si="7"/>
        <v>1163014</v>
      </c>
      <c r="I30" s="17">
        <f t="shared" si="7"/>
        <v>53813</v>
      </c>
      <c r="J30" s="17">
        <f t="shared" si="7"/>
        <v>137798</v>
      </c>
      <c r="K30" s="17">
        <f t="shared" si="7"/>
        <v>-58525</v>
      </c>
      <c r="L30" s="17">
        <f t="shared" si="7"/>
        <v>1595676</v>
      </c>
      <c r="M30" s="17">
        <f t="shared" si="7"/>
        <v>1728762</v>
      </c>
      <c r="N30" s="17">
        <f t="shared" si="7"/>
        <v>115798</v>
      </c>
    </row>
    <row r="31" spans="2:14" s="12" customFormat="1" x14ac:dyDescent="0.25">
      <c r="B31" s="13"/>
      <c r="C31" s="14"/>
      <c r="D31" s="14"/>
      <c r="E31" s="14"/>
      <c r="F31" s="14"/>
      <c r="G31" s="14"/>
      <c r="H31" s="14"/>
      <c r="I31" s="14"/>
      <c r="K31" s="14"/>
      <c r="L31" s="14"/>
      <c r="M31" s="14"/>
      <c r="N31" s="14"/>
    </row>
    <row r="32" spans="2:14" x14ac:dyDescent="0.2">
      <c r="B32" s="16"/>
    </row>
    <row r="33" spans="2:2" x14ac:dyDescent="0.2">
      <c r="B33" s="16" t="s">
        <v>154</v>
      </c>
    </row>
    <row r="34" spans="2:2" x14ac:dyDescent="0.2">
      <c r="B34" s="1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D94DF-77BB-4F57-888E-39B1F55FE4BB}">
  <dimension ref="B1:O34"/>
  <sheetViews>
    <sheetView showGridLines="0" zoomScaleNormal="100" workbookViewId="0">
      <pane xSplit="2" ySplit="3" topLeftCell="D5" activePane="bottomRight" state="frozen"/>
      <selection activeCell="M13" sqref="M13:M14"/>
      <selection pane="topRight" activeCell="M13" sqref="M13:M14"/>
      <selection pane="bottomLeft" activeCell="M13" sqref="M13:M14"/>
      <selection pane="bottomRight" activeCell="C4" sqref="C4:N20"/>
    </sheetView>
  </sheetViews>
  <sheetFormatPr defaultColWidth="9.140625" defaultRowHeight="14.25" x14ac:dyDescent="0.2"/>
  <cols>
    <col min="1" max="1" width="1.42578125" style="2" customWidth="1"/>
    <col min="2" max="2" width="56.42578125" style="2" bestFit="1" customWidth="1"/>
    <col min="3" max="6" width="10.140625" style="2" customWidth="1"/>
    <col min="7" max="7" width="11.5703125" style="2" customWidth="1"/>
    <col min="8" max="8" width="9.7109375" style="2" customWidth="1"/>
    <col min="9" max="14" width="11.5703125" style="2" customWidth="1"/>
    <col min="15" max="16384" width="9.140625" style="2"/>
  </cols>
  <sheetData>
    <row r="1" spans="2:14" ht="54.75" customHeight="1" x14ac:dyDescent="0.2"/>
    <row r="2" spans="2:14" ht="8.25" customHeight="1" x14ac:dyDescent="0.2"/>
    <row r="3" spans="2:14" s="5" customFormat="1" ht="36.75" customHeight="1" thickBot="1" x14ac:dyDescent="0.3">
      <c r="B3" s="18" t="s">
        <v>33</v>
      </c>
      <c r="C3" s="4">
        <v>2018</v>
      </c>
      <c r="D3" s="4" t="s">
        <v>2</v>
      </c>
      <c r="E3" s="4" t="s">
        <v>3</v>
      </c>
      <c r="F3" s="4" t="s">
        <v>4</v>
      </c>
      <c r="G3" s="4" t="s">
        <v>5</v>
      </c>
      <c r="H3" s="4">
        <v>2019</v>
      </c>
      <c r="I3" s="4" t="s">
        <v>6</v>
      </c>
      <c r="J3" s="4" t="s">
        <v>7</v>
      </c>
      <c r="K3" s="4" t="s">
        <v>8</v>
      </c>
      <c r="L3" s="4" t="s">
        <v>9</v>
      </c>
      <c r="M3" s="4">
        <v>2020</v>
      </c>
      <c r="N3" s="4" t="s">
        <v>139</v>
      </c>
    </row>
    <row r="4" spans="2:14" s="19" customFormat="1" x14ac:dyDescent="0.2">
      <c r="B4" s="15" t="s">
        <v>34</v>
      </c>
      <c r="C4" s="11">
        <v>502660</v>
      </c>
      <c r="D4" s="11">
        <v>41597</v>
      </c>
      <c r="E4" s="11">
        <v>218592</v>
      </c>
      <c r="F4" s="11">
        <v>234618</v>
      </c>
      <c r="G4" s="11">
        <v>257032.48237000033</v>
      </c>
      <c r="H4" s="11">
        <f>SUM(D4:G4)</f>
        <v>751839.48237000033</v>
      </c>
      <c r="I4" s="11">
        <v>336171</v>
      </c>
      <c r="J4" s="11">
        <v>287276</v>
      </c>
      <c r="K4" s="11">
        <v>235952.12237000006</v>
      </c>
      <c r="L4" s="11">
        <v>154705.0139299999</v>
      </c>
      <c r="M4" s="11">
        <f>SUM(I4:L4)</f>
        <v>1014104.1362999999</v>
      </c>
      <c r="N4" s="11">
        <v>282392.36990999995</v>
      </c>
    </row>
    <row r="5" spans="2:14" s="5" customFormat="1" x14ac:dyDescent="0.25">
      <c r="B5" s="16" t="s">
        <v>35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-10662</v>
      </c>
      <c r="J5" s="9">
        <v>-21246</v>
      </c>
      <c r="K5" s="9">
        <v>-23603</v>
      </c>
      <c r="L5" s="9">
        <v>-17035</v>
      </c>
      <c r="M5" s="9">
        <f>SUM(I5:L5)</f>
        <v>-72546</v>
      </c>
      <c r="N5" s="9">
        <v>-26718.294932999794</v>
      </c>
    </row>
    <row r="6" spans="2:14" s="5" customFormat="1" x14ac:dyDescent="0.25">
      <c r="B6" s="20" t="s">
        <v>36</v>
      </c>
      <c r="C6" s="11">
        <v>-10547</v>
      </c>
      <c r="D6" s="11">
        <v>-3888</v>
      </c>
      <c r="E6" s="11">
        <v>-27553</v>
      </c>
      <c r="F6" s="11">
        <v>8042</v>
      </c>
      <c r="G6" s="11">
        <v>116013</v>
      </c>
      <c r="H6" s="11">
        <f>SUM(D6:G6)</f>
        <v>92614</v>
      </c>
      <c r="I6" s="11">
        <v>-93547</v>
      </c>
      <c r="J6" s="11">
        <v>50440</v>
      </c>
      <c r="K6" s="11">
        <v>-49938.986070000101</v>
      </c>
      <c r="L6" s="11">
        <v>-26654.013929999899</v>
      </c>
      <c r="M6" s="11">
        <f>SUM(I6:L6)</f>
        <v>-119700</v>
      </c>
      <c r="N6" s="11">
        <v>-50720.227737000154</v>
      </c>
    </row>
    <row r="7" spans="2:14" s="5" customFormat="1" x14ac:dyDescent="0.25">
      <c r="B7" s="21" t="s">
        <v>37</v>
      </c>
      <c r="C7" s="9">
        <v>-16089</v>
      </c>
      <c r="D7" s="65">
        <v>-583</v>
      </c>
      <c r="E7" s="65">
        <v>-3046</v>
      </c>
      <c r="F7" s="65">
        <v>-915</v>
      </c>
      <c r="G7" s="65">
        <v>-4544</v>
      </c>
      <c r="H7" s="9">
        <f>SUM(D7:G7)</f>
        <v>-9088</v>
      </c>
      <c r="I7" s="9">
        <v>-2344</v>
      </c>
      <c r="J7" s="9">
        <v>-5809</v>
      </c>
      <c r="K7" s="9">
        <v>-1940</v>
      </c>
      <c r="L7" s="9">
        <v>-5535</v>
      </c>
      <c r="M7" s="9">
        <f>SUM(I7:L7)</f>
        <v>-15628</v>
      </c>
      <c r="N7" s="9">
        <v>-1012</v>
      </c>
    </row>
    <row r="8" spans="2:14" s="12" customFormat="1" x14ac:dyDescent="0.25">
      <c r="B8" s="22" t="s">
        <v>38</v>
      </c>
      <c r="C8" s="7">
        <v>476024</v>
      </c>
      <c r="D8" s="7">
        <f t="shared" ref="D8:M8" si="0">SUM(D4:D7)</f>
        <v>37126</v>
      </c>
      <c r="E8" s="7">
        <f t="shared" si="0"/>
        <v>187993</v>
      </c>
      <c r="F8" s="7">
        <f t="shared" si="0"/>
        <v>241745</v>
      </c>
      <c r="G8" s="7">
        <f t="shared" si="0"/>
        <v>368501.48237000033</v>
      </c>
      <c r="H8" s="7">
        <f t="shared" si="0"/>
        <v>835365.48237000033</v>
      </c>
      <c r="I8" s="7">
        <f t="shared" si="0"/>
        <v>229618</v>
      </c>
      <c r="J8" s="7">
        <f t="shared" si="0"/>
        <v>310661</v>
      </c>
      <c r="K8" s="7">
        <f t="shared" si="0"/>
        <v>160470.13629999995</v>
      </c>
      <c r="L8" s="7">
        <f t="shared" si="0"/>
        <v>105481</v>
      </c>
      <c r="M8" s="7">
        <f t="shared" si="0"/>
        <v>806230.1362999999</v>
      </c>
      <c r="N8" s="7">
        <f>SUM(N4:N7)</f>
        <v>203941.84724</v>
      </c>
    </row>
    <row r="9" spans="2:14" s="5" customFormat="1" x14ac:dyDescent="0.25">
      <c r="B9" s="21" t="s">
        <v>153</v>
      </c>
      <c r="C9" s="9">
        <v>1675</v>
      </c>
      <c r="D9" s="65">
        <v>-2588</v>
      </c>
      <c r="E9" s="65">
        <v>-44870</v>
      </c>
      <c r="F9" s="65">
        <v>-23412</v>
      </c>
      <c r="G9" s="65">
        <v>-69085.011019999976</v>
      </c>
      <c r="H9" s="9">
        <f>SUM(D9:G9)</f>
        <v>-139955.01101999998</v>
      </c>
      <c r="I9" s="9">
        <v>-3</v>
      </c>
      <c r="J9" s="9">
        <v>-47455</v>
      </c>
      <c r="K9" s="9">
        <v>-10137</v>
      </c>
      <c r="L9" s="9">
        <v>-5497</v>
      </c>
      <c r="M9" s="9">
        <f>SUM(I9:L9)</f>
        <v>-63092</v>
      </c>
      <c r="N9" s="9">
        <v>-31934</v>
      </c>
    </row>
    <row r="10" spans="2:14" s="12" customFormat="1" x14ac:dyDescent="0.25">
      <c r="B10" s="22" t="s">
        <v>39</v>
      </c>
      <c r="C10" s="7">
        <v>477699</v>
      </c>
      <c r="D10" s="7">
        <f t="shared" ref="D10:M10" si="1">D8+D9</f>
        <v>34538</v>
      </c>
      <c r="E10" s="7">
        <f t="shared" si="1"/>
        <v>143123</v>
      </c>
      <c r="F10" s="7">
        <f t="shared" si="1"/>
        <v>218333</v>
      </c>
      <c r="G10" s="7">
        <f t="shared" si="1"/>
        <v>299416.47135000036</v>
      </c>
      <c r="H10" s="7">
        <f t="shared" si="1"/>
        <v>695410.47135000036</v>
      </c>
      <c r="I10" s="7">
        <f t="shared" si="1"/>
        <v>229615</v>
      </c>
      <c r="J10" s="7">
        <f t="shared" si="1"/>
        <v>263206</v>
      </c>
      <c r="K10" s="7">
        <f t="shared" si="1"/>
        <v>150333.13629999995</v>
      </c>
      <c r="L10" s="7">
        <f t="shared" si="1"/>
        <v>99984</v>
      </c>
      <c r="M10" s="7">
        <f t="shared" si="1"/>
        <v>743138.1362999999</v>
      </c>
      <c r="N10" s="7">
        <f>N8+N9</f>
        <v>172007.84724</v>
      </c>
    </row>
    <row r="11" spans="2:14" s="5" customFormat="1" x14ac:dyDescent="0.25">
      <c r="B11" s="21" t="s">
        <v>40</v>
      </c>
      <c r="C11" s="9">
        <v>-144826</v>
      </c>
      <c r="D11" s="65">
        <v>-22819</v>
      </c>
      <c r="E11" s="65">
        <v>-57561</v>
      </c>
      <c r="F11" s="65">
        <v>-96746</v>
      </c>
      <c r="G11" s="65">
        <v>-52105</v>
      </c>
      <c r="H11" s="65">
        <f t="shared" ref="H11:H17" si="2">SUM(D11:G11)</f>
        <v>-229231</v>
      </c>
      <c r="I11" s="65">
        <v>-20780</v>
      </c>
      <c r="J11" s="65">
        <v>-19356</v>
      </c>
      <c r="K11" s="65">
        <v>-12359</v>
      </c>
      <c r="L11" s="65">
        <v>-62736</v>
      </c>
      <c r="M11" s="65">
        <f t="shared" ref="M11:M17" si="3">SUM(I11:L11)</f>
        <v>-115231</v>
      </c>
      <c r="N11" s="9">
        <v>-11933.847240000003</v>
      </c>
    </row>
    <row r="12" spans="2:14" s="5" customFormat="1" x14ac:dyDescent="0.25">
      <c r="B12" s="20" t="s">
        <v>41</v>
      </c>
      <c r="C12" s="11">
        <v>18644</v>
      </c>
      <c r="D12" s="11"/>
      <c r="E12" s="11">
        <v>0</v>
      </c>
      <c r="F12" s="11">
        <v>0</v>
      </c>
      <c r="G12" s="11"/>
      <c r="H12" s="11">
        <f t="shared" si="2"/>
        <v>0</v>
      </c>
      <c r="I12" s="11">
        <v>0</v>
      </c>
      <c r="J12" s="11">
        <v>0</v>
      </c>
      <c r="K12" s="11">
        <v>0</v>
      </c>
      <c r="L12" s="11">
        <v>0</v>
      </c>
      <c r="M12" s="11">
        <f t="shared" si="3"/>
        <v>0</v>
      </c>
      <c r="N12" s="11"/>
    </row>
    <row r="13" spans="2:14" s="5" customFormat="1" x14ac:dyDescent="0.25">
      <c r="B13" s="21" t="s">
        <v>42</v>
      </c>
      <c r="C13" s="9">
        <v>0</v>
      </c>
      <c r="D13" s="9">
        <v>1777982</v>
      </c>
      <c r="E13" s="65">
        <v>0</v>
      </c>
      <c r="F13" s="65">
        <v>0</v>
      </c>
      <c r="G13" s="65">
        <v>0</v>
      </c>
      <c r="H13" s="65">
        <f t="shared" si="2"/>
        <v>1777982</v>
      </c>
      <c r="I13" s="65">
        <v>0</v>
      </c>
      <c r="J13" s="65">
        <v>0</v>
      </c>
      <c r="K13" s="65">
        <v>1450167</v>
      </c>
      <c r="L13" s="65">
        <v>0</v>
      </c>
      <c r="M13" s="65">
        <f t="shared" si="3"/>
        <v>1450167</v>
      </c>
      <c r="N13" s="9"/>
    </row>
    <row r="14" spans="2:14" s="5" customFormat="1" x14ac:dyDescent="0.25">
      <c r="B14" s="20" t="s">
        <v>43</v>
      </c>
      <c r="C14" s="11">
        <v>-225594</v>
      </c>
      <c r="D14" s="11">
        <v>-40163</v>
      </c>
      <c r="E14" s="11">
        <v>-84413.4</v>
      </c>
      <c r="F14" s="11">
        <v>-46428</v>
      </c>
      <c r="G14" s="11">
        <v>-46732</v>
      </c>
      <c r="H14" s="11">
        <f t="shared" si="2"/>
        <v>-217736.4</v>
      </c>
      <c r="I14" s="11">
        <v>-11</v>
      </c>
      <c r="J14" s="11">
        <v>-11</v>
      </c>
      <c r="K14" s="11">
        <v>-1500011</v>
      </c>
      <c r="L14" s="11">
        <v>0</v>
      </c>
      <c r="M14" s="11">
        <f t="shared" si="3"/>
        <v>-1500033</v>
      </c>
      <c r="N14" s="11"/>
    </row>
    <row r="15" spans="2:14" s="5" customFormat="1" x14ac:dyDescent="0.25">
      <c r="B15" s="21" t="s">
        <v>44</v>
      </c>
      <c r="C15" s="9">
        <v>0</v>
      </c>
      <c r="D15" s="65">
        <v>0</v>
      </c>
      <c r="E15" s="65">
        <v>-1398703</v>
      </c>
      <c r="F15" s="65">
        <v>0</v>
      </c>
      <c r="G15" s="65">
        <v>0</v>
      </c>
      <c r="H15" s="9">
        <f t="shared" si="2"/>
        <v>-1398703</v>
      </c>
      <c r="I15" s="9">
        <v>0</v>
      </c>
      <c r="J15" s="65">
        <v>0</v>
      </c>
      <c r="K15" s="65">
        <v>0</v>
      </c>
      <c r="L15" s="9">
        <v>0</v>
      </c>
      <c r="M15" s="9">
        <f t="shared" si="3"/>
        <v>0</v>
      </c>
      <c r="N15" s="9"/>
    </row>
    <row r="16" spans="2:14" s="5" customFormat="1" x14ac:dyDescent="0.25">
      <c r="B16" s="20" t="s">
        <v>45</v>
      </c>
      <c r="C16" s="11">
        <v>-25573</v>
      </c>
      <c r="D16" s="11">
        <v>0</v>
      </c>
      <c r="E16" s="11">
        <v>-297164</v>
      </c>
      <c r="F16" s="11">
        <v>0</v>
      </c>
      <c r="G16" s="11">
        <v>0</v>
      </c>
      <c r="H16" s="11">
        <f t="shared" si="2"/>
        <v>-297164</v>
      </c>
      <c r="I16" s="11">
        <v>-85</v>
      </c>
      <c r="J16" s="11">
        <v>-409473</v>
      </c>
      <c r="K16" s="11">
        <v>-86</v>
      </c>
      <c r="L16" s="11">
        <v>-196457</v>
      </c>
      <c r="M16" s="11">
        <f t="shared" si="3"/>
        <v>-606101</v>
      </c>
      <c r="N16" s="11"/>
    </row>
    <row r="17" spans="2:15" s="5" customFormat="1" x14ac:dyDescent="0.25">
      <c r="B17" s="64" t="s">
        <v>144</v>
      </c>
      <c r="C17" s="65" t="s">
        <v>143</v>
      </c>
      <c r="D17" s="65" t="s">
        <v>143</v>
      </c>
      <c r="E17" s="65" t="s">
        <v>143</v>
      </c>
      <c r="F17" s="65" t="s">
        <v>143</v>
      </c>
      <c r="G17" s="65" t="s">
        <v>143</v>
      </c>
      <c r="H17" s="65">
        <f t="shared" si="2"/>
        <v>0</v>
      </c>
      <c r="I17" s="65" t="s">
        <v>143</v>
      </c>
      <c r="J17" s="65" t="s">
        <v>143</v>
      </c>
      <c r="K17" s="65" t="s">
        <v>143</v>
      </c>
      <c r="L17" s="65" t="s">
        <v>143</v>
      </c>
      <c r="M17" s="65">
        <f t="shared" si="3"/>
        <v>0</v>
      </c>
      <c r="N17" s="65">
        <v>-3332</v>
      </c>
    </row>
    <row r="18" spans="2:15" s="12" customFormat="1" x14ac:dyDescent="0.25">
      <c r="B18" s="22" t="s">
        <v>46</v>
      </c>
      <c r="C18" s="17">
        <v>100350</v>
      </c>
      <c r="D18" s="17">
        <f t="shared" ref="D18:M18" si="4">SUM(D10:D17)</f>
        <v>1749538</v>
      </c>
      <c r="E18" s="17">
        <f t="shared" si="4"/>
        <v>-1694718.4</v>
      </c>
      <c r="F18" s="17">
        <f t="shared" si="4"/>
        <v>75159</v>
      </c>
      <c r="G18" s="17">
        <f t="shared" si="4"/>
        <v>200579.47135000036</v>
      </c>
      <c r="H18" s="17">
        <f t="shared" si="4"/>
        <v>330558.07135000033</v>
      </c>
      <c r="I18" s="17">
        <f t="shared" si="4"/>
        <v>208739</v>
      </c>
      <c r="J18" s="17">
        <f t="shared" si="4"/>
        <v>-165634</v>
      </c>
      <c r="K18" s="17">
        <f t="shared" si="4"/>
        <v>88044.136299999896</v>
      </c>
      <c r="L18" s="17">
        <f t="shared" si="4"/>
        <v>-159209</v>
      </c>
      <c r="M18" s="17">
        <f t="shared" si="4"/>
        <v>-28059.863700000104</v>
      </c>
      <c r="N18" s="17">
        <f>SUM(N10:N17)</f>
        <v>156742</v>
      </c>
    </row>
    <row r="19" spans="2:15" s="5" customFormat="1" x14ac:dyDescent="0.25">
      <c r="B19" s="64" t="s">
        <v>47</v>
      </c>
      <c r="C19" s="65">
        <v>310536</v>
      </c>
      <c r="D19" s="65">
        <v>410886</v>
      </c>
      <c r="E19" s="65">
        <v>2160424</v>
      </c>
      <c r="F19" s="65">
        <v>465706</v>
      </c>
      <c r="G19" s="65">
        <v>540865</v>
      </c>
      <c r="H19" s="65">
        <f>D19</f>
        <v>410886</v>
      </c>
      <c r="I19" s="65">
        <v>741444</v>
      </c>
      <c r="J19" s="65">
        <v>950183</v>
      </c>
      <c r="K19" s="65">
        <v>784548.8637000001</v>
      </c>
      <c r="L19" s="65">
        <v>872593</v>
      </c>
      <c r="M19" s="65">
        <f>I19</f>
        <v>741444</v>
      </c>
      <c r="N19" s="65">
        <v>713384</v>
      </c>
    </row>
    <row r="20" spans="2:15" s="5" customFormat="1" x14ac:dyDescent="0.25">
      <c r="B20" s="20" t="s">
        <v>48</v>
      </c>
      <c r="C20" s="11">
        <f t="shared" ref="C20:H20" si="5">SUM(C18:C19)</f>
        <v>410886</v>
      </c>
      <c r="D20" s="11">
        <f t="shared" si="5"/>
        <v>2160424</v>
      </c>
      <c r="E20" s="11">
        <f t="shared" si="5"/>
        <v>465705.60000000009</v>
      </c>
      <c r="F20" s="11">
        <f t="shared" si="5"/>
        <v>540865</v>
      </c>
      <c r="G20" s="11">
        <f t="shared" si="5"/>
        <v>741444.47135000036</v>
      </c>
      <c r="H20" s="11">
        <f t="shared" si="5"/>
        <v>741444.07135000033</v>
      </c>
      <c r="I20" s="11">
        <f>SUM(I18:I19)</f>
        <v>950183</v>
      </c>
      <c r="J20" s="11">
        <f t="shared" ref="J20:N20" si="6">SUM(J18:J19)</f>
        <v>784549</v>
      </c>
      <c r="K20" s="11">
        <f t="shared" si="6"/>
        <v>872593</v>
      </c>
      <c r="L20" s="11">
        <f t="shared" si="6"/>
        <v>713384</v>
      </c>
      <c r="M20" s="11">
        <f t="shared" si="6"/>
        <v>713384.1362999999</v>
      </c>
      <c r="N20" s="11">
        <f t="shared" si="6"/>
        <v>870126</v>
      </c>
    </row>
    <row r="21" spans="2:15" s="24" customFormat="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5" ht="14.25" customHeight="1" x14ac:dyDescent="0.2">
      <c r="B22" s="80" t="s">
        <v>155</v>
      </c>
      <c r="C22" s="81"/>
      <c r="D22" s="81"/>
      <c r="E22" s="81"/>
      <c r="F22" s="81"/>
      <c r="G22" s="81"/>
      <c r="H22" s="81"/>
      <c r="I22" s="81"/>
      <c r="K22" s="79"/>
      <c r="L22" s="79"/>
      <c r="M22" s="9"/>
      <c r="N22" s="9"/>
    </row>
    <row r="23" spans="2:15" x14ac:dyDescent="0.2">
      <c r="B23" s="80"/>
      <c r="C23" s="81"/>
      <c r="D23" s="81"/>
      <c r="E23" s="81"/>
      <c r="F23" s="81"/>
      <c r="G23" s="81"/>
      <c r="H23" s="81"/>
      <c r="I23" s="81"/>
    </row>
    <row r="24" spans="2:15" x14ac:dyDescent="0.2">
      <c r="B24" s="80"/>
      <c r="C24" s="81"/>
      <c r="D24" s="81"/>
      <c r="E24" s="81"/>
      <c r="F24" s="81"/>
      <c r="G24" s="81"/>
      <c r="H24" s="81"/>
      <c r="I24" s="81"/>
      <c r="K24" s="9"/>
      <c r="L24" s="9"/>
      <c r="M24" s="9"/>
      <c r="N24" s="9"/>
      <c r="O24" s="9"/>
    </row>
    <row r="25" spans="2:15" x14ac:dyDescent="0.2">
      <c r="B25" s="80"/>
      <c r="C25" s="81"/>
      <c r="D25" s="81"/>
      <c r="E25" s="81"/>
      <c r="F25" s="81"/>
      <c r="G25" s="81"/>
      <c r="H25" s="81"/>
      <c r="I25" s="81"/>
      <c r="K25" s="9"/>
      <c r="L25" s="9"/>
      <c r="M25" s="9"/>
      <c r="N25" s="9"/>
      <c r="O25" s="9"/>
    </row>
    <row r="26" spans="2:15" x14ac:dyDescent="0.2">
      <c r="H26" s="9"/>
      <c r="I26" s="9"/>
      <c r="J26" s="9"/>
      <c r="K26" s="9"/>
      <c r="L26" s="9"/>
      <c r="M26" s="9"/>
      <c r="N26" s="9"/>
      <c r="O26" s="9"/>
    </row>
    <row r="27" spans="2:15" x14ac:dyDescent="0.2">
      <c r="H27" s="9"/>
      <c r="I27" s="9"/>
      <c r="J27" s="9"/>
      <c r="K27" s="9"/>
      <c r="L27" s="9"/>
      <c r="M27" s="9"/>
      <c r="N27" s="9"/>
      <c r="O27" s="9"/>
    </row>
    <row r="28" spans="2:15" x14ac:dyDescent="0.2"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x14ac:dyDescent="0.2"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x14ac:dyDescent="0.2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x14ac:dyDescent="0.2"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x14ac:dyDescent="0.2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4:15" x14ac:dyDescent="0.2"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4:15" x14ac:dyDescent="0.2"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</sheetData>
  <mergeCells count="1">
    <mergeCell ref="B22:B2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11:H16 H4:H7" formulaRange="1"/>
    <ignoredError sqref="H8:H10 M5" formula="1" formulaRange="1"/>
    <ignoredError sqref="M6:M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3B97-3B52-4712-9065-A97EEA68AA51}">
  <dimension ref="B1:L72"/>
  <sheetViews>
    <sheetView showGridLines="0" zoomScaleNormal="100" workbookViewId="0">
      <pane xSplit="2" ySplit="3" topLeftCell="C4" activePane="bottomRight" state="frozen"/>
      <selection activeCell="M14" sqref="M13:M14"/>
      <selection pane="topRight" activeCell="M14" sqref="M13:M14"/>
      <selection pane="bottomLeft" activeCell="M14" sqref="M13:M14"/>
      <selection pane="bottomRight" activeCell="C4" sqref="C4"/>
    </sheetView>
  </sheetViews>
  <sheetFormatPr defaultColWidth="9.140625" defaultRowHeight="14.25" x14ac:dyDescent="0.2"/>
  <cols>
    <col min="1" max="1" width="1.42578125" style="2" customWidth="1"/>
    <col min="2" max="2" width="37.7109375" style="2" customWidth="1"/>
    <col min="3" max="12" width="11.28515625" style="2" bestFit="1" customWidth="1"/>
    <col min="13" max="16384" width="9.140625" style="2"/>
  </cols>
  <sheetData>
    <row r="1" spans="2:12" ht="54.75" customHeight="1" x14ac:dyDescent="0.2"/>
    <row r="2" spans="2:12" ht="8.25" customHeight="1" x14ac:dyDescent="0.2"/>
    <row r="3" spans="2:12" s="5" customFormat="1" ht="30.75" customHeight="1" thickBot="1" x14ac:dyDescent="0.3">
      <c r="B3" s="18" t="s">
        <v>49</v>
      </c>
      <c r="C3" s="63">
        <v>43465</v>
      </c>
      <c r="D3" s="63">
        <v>43555</v>
      </c>
      <c r="E3" s="63">
        <v>43646</v>
      </c>
      <c r="F3" s="63">
        <v>43738</v>
      </c>
      <c r="G3" s="63">
        <v>43830</v>
      </c>
      <c r="H3" s="63">
        <v>43921</v>
      </c>
      <c r="I3" s="63">
        <v>44012</v>
      </c>
      <c r="J3" s="63">
        <v>44104</v>
      </c>
      <c r="K3" s="63">
        <v>44196</v>
      </c>
      <c r="L3" s="63">
        <v>44286</v>
      </c>
    </row>
    <row r="4" spans="2:12" s="19" customFormat="1" x14ac:dyDescent="0.2">
      <c r="B4" s="6" t="s">
        <v>50</v>
      </c>
      <c r="C4" s="26">
        <f>SUM(C5:C11)</f>
        <v>854999</v>
      </c>
      <c r="D4" s="26">
        <f t="shared" ref="D4:L4" si="0">SUM(D5:D11)</f>
        <v>1071788</v>
      </c>
      <c r="E4" s="26">
        <f t="shared" si="0"/>
        <v>782557</v>
      </c>
      <c r="F4" s="26">
        <f t="shared" si="0"/>
        <v>855064</v>
      </c>
      <c r="G4" s="26">
        <f t="shared" si="0"/>
        <v>1071788</v>
      </c>
      <c r="H4" s="26">
        <f t="shared" si="0"/>
        <v>1325619</v>
      </c>
      <c r="I4" s="26">
        <f t="shared" si="0"/>
        <v>1160785</v>
      </c>
      <c r="J4" s="26">
        <f t="shared" si="0"/>
        <v>1242959</v>
      </c>
      <c r="K4" s="26">
        <f t="shared" si="0"/>
        <v>1118857</v>
      </c>
      <c r="L4" s="26">
        <f t="shared" si="0"/>
        <v>1294499</v>
      </c>
    </row>
    <row r="5" spans="2:12" s="5" customFormat="1" x14ac:dyDescent="0.25">
      <c r="B5" s="16" t="s">
        <v>51</v>
      </c>
      <c r="C5" s="9">
        <v>410886</v>
      </c>
      <c r="D5" s="9">
        <v>741444</v>
      </c>
      <c r="E5" s="9">
        <v>465706</v>
      </c>
      <c r="F5" s="9">
        <v>540865</v>
      </c>
      <c r="G5" s="9">
        <v>741444</v>
      </c>
      <c r="H5" s="9">
        <v>950183</v>
      </c>
      <c r="I5" s="9">
        <v>784549</v>
      </c>
      <c r="J5" s="9">
        <v>872593</v>
      </c>
      <c r="K5" s="9">
        <v>713384</v>
      </c>
      <c r="L5" s="9">
        <v>870126</v>
      </c>
    </row>
    <row r="6" spans="2:12" s="5" customFormat="1" x14ac:dyDescent="0.25">
      <c r="B6" s="15" t="s">
        <v>11</v>
      </c>
      <c r="C6" s="27">
        <v>0</v>
      </c>
      <c r="D6" s="27">
        <v>18718</v>
      </c>
      <c r="E6" s="27">
        <v>0</v>
      </c>
      <c r="F6" s="27">
        <v>1344</v>
      </c>
      <c r="G6" s="27">
        <v>18718</v>
      </c>
      <c r="H6" s="27">
        <v>0</v>
      </c>
      <c r="I6" s="27">
        <v>0</v>
      </c>
      <c r="J6" s="27">
        <v>0</v>
      </c>
      <c r="K6" s="27">
        <v>0</v>
      </c>
      <c r="L6" s="27" t="s">
        <v>143</v>
      </c>
    </row>
    <row r="7" spans="2:12" s="5" customFormat="1" x14ac:dyDescent="0.25">
      <c r="B7" s="16" t="s">
        <v>52</v>
      </c>
      <c r="C7" s="9">
        <v>240802</v>
      </c>
      <c r="D7" s="9">
        <v>198930</v>
      </c>
      <c r="E7" s="9">
        <v>180946</v>
      </c>
      <c r="F7" s="9">
        <v>182662</v>
      </c>
      <c r="G7" s="9">
        <v>198930</v>
      </c>
      <c r="H7" s="9">
        <v>237155</v>
      </c>
      <c r="I7" s="9">
        <v>236967</v>
      </c>
      <c r="J7" s="9">
        <v>237493</v>
      </c>
      <c r="K7" s="9">
        <v>272817</v>
      </c>
      <c r="L7" s="9">
        <v>284147</v>
      </c>
    </row>
    <row r="8" spans="2:12" s="5" customFormat="1" x14ac:dyDescent="0.25">
      <c r="B8" s="15" t="s">
        <v>53</v>
      </c>
      <c r="C8" s="27">
        <v>79203</v>
      </c>
      <c r="D8" s="27">
        <v>8357</v>
      </c>
      <c r="E8" s="27">
        <v>36038</v>
      </c>
      <c r="F8" s="27">
        <v>24312</v>
      </c>
      <c r="G8" s="27">
        <v>8357</v>
      </c>
      <c r="H8" s="27">
        <v>18032</v>
      </c>
      <c r="I8" s="27">
        <v>20393</v>
      </c>
      <c r="J8" s="27">
        <v>24369</v>
      </c>
      <c r="K8" s="27">
        <v>61190</v>
      </c>
      <c r="L8" s="27">
        <v>71304</v>
      </c>
    </row>
    <row r="9" spans="2:12" s="5" customFormat="1" x14ac:dyDescent="0.25">
      <c r="B9" s="16" t="s">
        <v>54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22230</v>
      </c>
      <c r="I9" s="9">
        <v>18686</v>
      </c>
      <c r="J9" s="9">
        <v>11085</v>
      </c>
      <c r="K9" s="9">
        <v>0</v>
      </c>
      <c r="L9" s="9">
        <v>1513</v>
      </c>
    </row>
    <row r="10" spans="2:12" s="5" customFormat="1" x14ac:dyDescent="0.25">
      <c r="B10" s="15" t="s">
        <v>55</v>
      </c>
      <c r="C10" s="27">
        <v>15580</v>
      </c>
      <c r="D10" s="27">
        <v>11186</v>
      </c>
      <c r="E10" s="27">
        <v>15021</v>
      </c>
      <c r="F10" s="27">
        <v>17738</v>
      </c>
      <c r="G10" s="27">
        <v>11186</v>
      </c>
      <c r="H10" s="27">
        <v>5486</v>
      </c>
      <c r="I10" s="27">
        <v>3955</v>
      </c>
      <c r="J10" s="27">
        <v>3134</v>
      </c>
      <c r="K10" s="27">
        <v>1957</v>
      </c>
      <c r="L10" s="27">
        <v>961</v>
      </c>
    </row>
    <row r="11" spans="2:12" s="5" customFormat="1" x14ac:dyDescent="0.25">
      <c r="B11" s="16" t="s">
        <v>56</v>
      </c>
      <c r="C11" s="9">
        <v>108528</v>
      </c>
      <c r="D11" s="9">
        <v>93153</v>
      </c>
      <c r="E11" s="9">
        <v>84846</v>
      </c>
      <c r="F11" s="9">
        <v>88143</v>
      </c>
      <c r="G11" s="9">
        <v>93153</v>
      </c>
      <c r="H11" s="9">
        <v>92533</v>
      </c>
      <c r="I11" s="9">
        <v>96235</v>
      </c>
      <c r="J11" s="9">
        <v>94285</v>
      </c>
      <c r="K11" s="9">
        <v>69509</v>
      </c>
      <c r="L11" s="9">
        <v>66448</v>
      </c>
    </row>
    <row r="12" spans="2:12" s="12" customFormat="1" ht="15" customHeight="1" x14ac:dyDescent="0.25">
      <c r="B12" s="22" t="s">
        <v>57</v>
      </c>
      <c r="C12" s="28">
        <f>SUM(C13:C24)</f>
        <v>9471501</v>
      </c>
      <c r="D12" s="28">
        <f t="shared" ref="D12:L12" si="1">SUM(D13:D24)</f>
        <v>11857966</v>
      </c>
      <c r="E12" s="28">
        <f t="shared" si="1"/>
        <v>10897515</v>
      </c>
      <c r="F12" s="28">
        <f t="shared" si="1"/>
        <v>10794376</v>
      </c>
      <c r="G12" s="28">
        <f t="shared" si="1"/>
        <v>11857966</v>
      </c>
      <c r="H12" s="28">
        <f t="shared" si="1"/>
        <v>11800971</v>
      </c>
      <c r="I12" s="28">
        <f t="shared" si="1"/>
        <v>11635777</v>
      </c>
      <c r="J12" s="28">
        <f t="shared" si="1"/>
        <v>11518960</v>
      </c>
      <c r="K12" s="28">
        <f t="shared" si="1"/>
        <v>13433007</v>
      </c>
      <c r="L12" s="28">
        <f t="shared" si="1"/>
        <v>13246752</v>
      </c>
    </row>
    <row r="13" spans="2:12" s="5" customFormat="1" x14ac:dyDescent="0.25">
      <c r="B13" s="21" t="s">
        <v>11</v>
      </c>
      <c r="C13" s="29">
        <v>0</v>
      </c>
      <c r="D13" s="29">
        <v>21225</v>
      </c>
      <c r="E13" s="29">
        <v>0</v>
      </c>
      <c r="F13" s="29">
        <v>2563</v>
      </c>
      <c r="G13" s="29">
        <v>21225</v>
      </c>
      <c r="H13" s="29">
        <v>0</v>
      </c>
      <c r="I13" s="29">
        <v>0</v>
      </c>
      <c r="J13" s="29">
        <v>0</v>
      </c>
      <c r="K13" s="29">
        <v>0</v>
      </c>
      <c r="L13" s="29" t="s">
        <v>143</v>
      </c>
    </row>
    <row r="14" spans="2:12" s="5" customFormat="1" x14ac:dyDescent="0.25">
      <c r="B14" s="20" t="s">
        <v>54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2610</v>
      </c>
      <c r="I14" s="30">
        <v>3555</v>
      </c>
      <c r="J14" s="30">
        <v>2751</v>
      </c>
      <c r="K14" s="30">
        <v>0</v>
      </c>
      <c r="L14" s="30">
        <v>0</v>
      </c>
    </row>
    <row r="15" spans="2:12" s="5" customFormat="1" x14ac:dyDescent="0.25">
      <c r="B15" s="21" t="s">
        <v>58</v>
      </c>
      <c r="C15" s="29">
        <v>536254</v>
      </c>
      <c r="D15" s="29">
        <v>343979</v>
      </c>
      <c r="E15" s="29">
        <v>556114</v>
      </c>
      <c r="F15" s="29">
        <v>545462</v>
      </c>
      <c r="G15" s="29">
        <v>343979</v>
      </c>
      <c r="H15" s="29">
        <v>332187</v>
      </c>
      <c r="I15" s="29">
        <v>292940</v>
      </c>
      <c r="J15" s="29">
        <v>268739</v>
      </c>
      <c r="K15" s="29">
        <v>260496</v>
      </c>
      <c r="L15" s="29">
        <v>218870</v>
      </c>
    </row>
    <row r="16" spans="2:12" s="5" customFormat="1" x14ac:dyDescent="0.25">
      <c r="B16" s="20" t="s">
        <v>59</v>
      </c>
      <c r="C16" s="30">
        <v>579226</v>
      </c>
      <c r="D16" s="30">
        <v>1877412</v>
      </c>
      <c r="E16" s="30">
        <v>571603</v>
      </c>
      <c r="F16" s="30">
        <v>571603</v>
      </c>
      <c r="G16" s="30">
        <v>1877412</v>
      </c>
      <c r="H16" s="30">
        <v>1947308</v>
      </c>
      <c r="I16" s="30">
        <v>1915075</v>
      </c>
      <c r="J16" s="30">
        <v>1920530</v>
      </c>
      <c r="K16" s="30">
        <v>3954680</v>
      </c>
      <c r="L16" s="30">
        <v>3908905</v>
      </c>
    </row>
    <row r="17" spans="2:12" s="5" customFormat="1" x14ac:dyDescent="0.25">
      <c r="B17" s="21" t="s">
        <v>60</v>
      </c>
      <c r="C17" s="29">
        <v>4302</v>
      </c>
      <c r="D17" s="29">
        <v>7611</v>
      </c>
      <c r="E17" s="29">
        <v>4713</v>
      </c>
      <c r="F17" s="29">
        <v>5060</v>
      </c>
      <c r="G17" s="29">
        <v>7611</v>
      </c>
      <c r="H17" s="29">
        <v>8584</v>
      </c>
      <c r="I17" s="29">
        <v>6170</v>
      </c>
      <c r="J17" s="29">
        <v>6041</v>
      </c>
      <c r="K17" s="29">
        <v>6023</v>
      </c>
      <c r="L17" s="29">
        <v>5959</v>
      </c>
    </row>
    <row r="18" spans="2:12" s="5" customFormat="1" x14ac:dyDescent="0.25">
      <c r="B18" s="20" t="s">
        <v>61</v>
      </c>
      <c r="C18" s="30">
        <v>1949430</v>
      </c>
      <c r="D18" s="30">
        <v>1719390</v>
      </c>
      <c r="E18" s="30">
        <v>1949430</v>
      </c>
      <c r="F18" s="30">
        <v>1949430</v>
      </c>
      <c r="G18" s="30">
        <v>1719390</v>
      </c>
      <c r="H18" s="30">
        <v>1719390</v>
      </c>
      <c r="I18" s="30">
        <v>1719390</v>
      </c>
      <c r="J18" s="30">
        <v>1719390</v>
      </c>
      <c r="K18" s="30">
        <v>1739161</v>
      </c>
      <c r="L18" s="30">
        <v>1739161</v>
      </c>
    </row>
    <row r="19" spans="2:12" s="5" customFormat="1" x14ac:dyDescent="0.25">
      <c r="B19" s="21" t="s">
        <v>62</v>
      </c>
      <c r="C19" s="29">
        <v>0</v>
      </c>
      <c r="D19" s="29">
        <v>0</v>
      </c>
      <c r="E19" s="29">
        <v>0</v>
      </c>
      <c r="F19" s="29">
        <v>1000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</row>
    <row r="20" spans="2:12" s="5" customFormat="1" x14ac:dyDescent="0.25">
      <c r="B20" s="20" t="s">
        <v>63</v>
      </c>
      <c r="C20" s="30">
        <v>36800</v>
      </c>
      <c r="D20" s="30">
        <v>1575300</v>
      </c>
      <c r="E20" s="30">
        <v>1603567</v>
      </c>
      <c r="F20" s="30">
        <v>1588087</v>
      </c>
      <c r="G20" s="30">
        <v>1575300</v>
      </c>
      <c r="H20" s="30">
        <v>1560881</v>
      </c>
      <c r="I20" s="30">
        <v>1548484</v>
      </c>
      <c r="J20" s="30">
        <v>1535257</v>
      </c>
      <c r="K20" s="30">
        <v>1509895</v>
      </c>
      <c r="L20" s="30">
        <v>5872427</v>
      </c>
    </row>
    <row r="21" spans="2:12" s="5" customFormat="1" x14ac:dyDescent="0.25">
      <c r="B21" s="21" t="s">
        <v>64</v>
      </c>
      <c r="C21" s="29">
        <v>6356617</v>
      </c>
      <c r="D21" s="29">
        <v>6305943</v>
      </c>
      <c r="E21" s="29">
        <v>6202984</v>
      </c>
      <c r="F21" s="29">
        <v>6122386</v>
      </c>
      <c r="G21" s="29">
        <v>6305943</v>
      </c>
      <c r="H21" s="29">
        <v>6222653</v>
      </c>
      <c r="I21" s="29">
        <v>6143150</v>
      </c>
      <c r="J21" s="29">
        <v>6059584</v>
      </c>
      <c r="K21" s="29">
        <v>5956429</v>
      </c>
      <c r="L21" s="29">
        <v>1495452</v>
      </c>
    </row>
    <row r="22" spans="2:12" s="5" customFormat="1" x14ac:dyDescent="0.25">
      <c r="B22" s="20" t="s">
        <v>65</v>
      </c>
      <c r="C22" s="30">
        <v>0</v>
      </c>
      <c r="D22" s="30">
        <v>7106</v>
      </c>
      <c r="E22" s="30">
        <v>0</v>
      </c>
      <c r="F22" s="30">
        <v>7424</v>
      </c>
      <c r="G22" s="30">
        <v>7106</v>
      </c>
      <c r="H22" s="30">
        <v>7358</v>
      </c>
      <c r="I22" s="30">
        <v>7013</v>
      </c>
      <c r="J22" s="30">
        <v>6668</v>
      </c>
      <c r="K22" s="30">
        <v>6323</v>
      </c>
      <c r="L22" s="30">
        <v>5978</v>
      </c>
    </row>
    <row r="23" spans="2:12" s="5" customFormat="1" x14ac:dyDescent="0.25">
      <c r="B23" s="21" t="s">
        <v>55</v>
      </c>
      <c r="C23" s="29">
        <v>7511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</row>
    <row r="24" spans="2:12" s="5" customFormat="1" x14ac:dyDescent="0.25">
      <c r="B24" s="20" t="s">
        <v>56</v>
      </c>
      <c r="C24" s="30">
        <v>1361</v>
      </c>
      <c r="D24" s="30">
        <v>0</v>
      </c>
      <c r="E24" s="30">
        <v>9104</v>
      </c>
      <c r="F24" s="30">
        <v>1361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</row>
    <row r="25" spans="2:12" s="32" customFormat="1" x14ac:dyDescent="0.25">
      <c r="B25" s="23" t="s">
        <v>66</v>
      </c>
      <c r="C25" s="31">
        <f>C12+C4</f>
        <v>10326500</v>
      </c>
      <c r="D25" s="31">
        <f t="shared" ref="D25:L25" si="2">D12+D4</f>
        <v>12929754</v>
      </c>
      <c r="E25" s="31">
        <f t="shared" si="2"/>
        <v>11680072</v>
      </c>
      <c r="F25" s="31">
        <f t="shared" si="2"/>
        <v>11649440</v>
      </c>
      <c r="G25" s="31">
        <f t="shared" si="2"/>
        <v>12929754</v>
      </c>
      <c r="H25" s="31">
        <f t="shared" si="2"/>
        <v>13126590</v>
      </c>
      <c r="I25" s="31">
        <f t="shared" si="2"/>
        <v>12796562</v>
      </c>
      <c r="J25" s="31">
        <f t="shared" si="2"/>
        <v>12761919</v>
      </c>
      <c r="K25" s="31">
        <f t="shared" si="2"/>
        <v>14551864</v>
      </c>
      <c r="L25" s="31">
        <f t="shared" si="2"/>
        <v>14541251</v>
      </c>
    </row>
    <row r="26" spans="2:12" s="32" customFormat="1" x14ac:dyDescent="0.25">
      <c r="B26" s="22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2" s="12" customFormat="1" x14ac:dyDescent="0.25">
      <c r="B27" s="13" t="s">
        <v>67</v>
      </c>
      <c r="C27" s="33">
        <f>SUM(C28:C39)</f>
        <v>884398</v>
      </c>
      <c r="D27" s="33">
        <f t="shared" ref="D27:L27" si="3">SUM(D28:D39)</f>
        <v>956858</v>
      </c>
      <c r="E27" s="33">
        <f t="shared" si="3"/>
        <v>472280</v>
      </c>
      <c r="F27" s="33">
        <f t="shared" si="3"/>
        <v>392722</v>
      </c>
      <c r="G27" s="33">
        <f t="shared" si="3"/>
        <v>956858</v>
      </c>
      <c r="H27" s="33">
        <f t="shared" si="3"/>
        <v>1077777</v>
      </c>
      <c r="I27" s="33">
        <f t="shared" si="3"/>
        <v>743808</v>
      </c>
      <c r="J27" s="33">
        <f t="shared" si="3"/>
        <v>733938</v>
      </c>
      <c r="K27" s="33">
        <f t="shared" si="3"/>
        <v>1050593</v>
      </c>
      <c r="L27" s="33">
        <f t="shared" si="3"/>
        <v>1286447</v>
      </c>
    </row>
    <row r="28" spans="2:12" s="5" customFormat="1" x14ac:dyDescent="0.25">
      <c r="B28" s="15" t="s">
        <v>68</v>
      </c>
      <c r="C28" s="27">
        <v>175417</v>
      </c>
      <c r="D28" s="27">
        <v>44604</v>
      </c>
      <c r="E28" s="27">
        <v>134508</v>
      </c>
      <c r="F28" s="27">
        <v>41771</v>
      </c>
      <c r="G28" s="27">
        <v>44604</v>
      </c>
      <c r="H28" s="27">
        <v>41849</v>
      </c>
      <c r="I28" s="27">
        <v>67484</v>
      </c>
      <c r="J28" s="27">
        <v>69021</v>
      </c>
      <c r="K28" s="27">
        <v>103080</v>
      </c>
      <c r="L28" s="27">
        <v>105192</v>
      </c>
    </row>
    <row r="29" spans="2:12" s="5" customFormat="1" x14ac:dyDescent="0.25">
      <c r="B29" s="64" t="s">
        <v>69</v>
      </c>
      <c r="C29" s="66">
        <v>214556</v>
      </c>
      <c r="D29" s="66">
        <v>3002</v>
      </c>
      <c r="E29" s="66">
        <v>91380</v>
      </c>
      <c r="F29" s="66">
        <v>83476</v>
      </c>
      <c r="G29" s="66">
        <v>3002</v>
      </c>
      <c r="H29" s="66">
        <v>25446</v>
      </c>
      <c r="I29" s="66">
        <v>1889</v>
      </c>
      <c r="J29" s="66">
        <v>4459</v>
      </c>
      <c r="K29" s="66">
        <v>18220</v>
      </c>
      <c r="L29" s="66">
        <v>5398</v>
      </c>
    </row>
    <row r="30" spans="2:12" s="5" customFormat="1" x14ac:dyDescent="0.25">
      <c r="B30" s="20" t="s">
        <v>70</v>
      </c>
      <c r="C30" s="34">
        <v>25211</v>
      </c>
      <c r="D30" s="34">
        <v>1584</v>
      </c>
      <c r="E30" s="34">
        <v>0</v>
      </c>
      <c r="F30" s="34">
        <v>1584</v>
      </c>
      <c r="G30" s="34">
        <v>1584</v>
      </c>
      <c r="H30" s="34">
        <v>1700</v>
      </c>
      <c r="I30" s="34">
        <v>1700</v>
      </c>
      <c r="J30" s="34">
        <v>1700</v>
      </c>
      <c r="K30" s="34">
        <v>1700</v>
      </c>
      <c r="L30" s="34">
        <v>1700</v>
      </c>
    </row>
    <row r="31" spans="2:12" s="5" customFormat="1" ht="13.5" customHeight="1" x14ac:dyDescent="0.25">
      <c r="B31" s="64" t="s">
        <v>11</v>
      </c>
      <c r="C31" s="66">
        <v>0</v>
      </c>
      <c r="D31" s="66">
        <v>0</v>
      </c>
      <c r="E31" s="66">
        <v>0</v>
      </c>
      <c r="F31" s="66">
        <v>911</v>
      </c>
      <c r="G31" s="66">
        <v>0</v>
      </c>
      <c r="H31" s="66">
        <v>107488</v>
      </c>
      <c r="I31" s="66">
        <v>129693</v>
      </c>
      <c r="J31" s="66">
        <v>147330</v>
      </c>
      <c r="K31" s="66">
        <v>95084</v>
      </c>
      <c r="L31" s="66">
        <v>127584</v>
      </c>
    </row>
    <row r="32" spans="2:12" s="5" customFormat="1" ht="13.5" customHeight="1" x14ac:dyDescent="0.25">
      <c r="B32" s="20" t="s">
        <v>54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17336</v>
      </c>
      <c r="L32" s="34">
        <v>0</v>
      </c>
    </row>
    <row r="33" spans="2:12" s="5" customFormat="1" x14ac:dyDescent="0.25">
      <c r="B33" s="64" t="s">
        <v>71</v>
      </c>
      <c r="C33" s="66">
        <v>0</v>
      </c>
      <c r="D33" s="66">
        <v>21497</v>
      </c>
      <c r="E33" s="66">
        <v>15341</v>
      </c>
      <c r="F33" s="66">
        <v>19195</v>
      </c>
      <c r="G33" s="66">
        <v>21497</v>
      </c>
      <c r="H33" s="66">
        <v>14564</v>
      </c>
      <c r="I33" s="66">
        <v>17373</v>
      </c>
      <c r="J33" s="66">
        <v>20539</v>
      </c>
      <c r="K33" s="66">
        <v>23387</v>
      </c>
      <c r="L33" s="66">
        <v>13060</v>
      </c>
    </row>
    <row r="34" spans="2:12" s="5" customFormat="1" x14ac:dyDescent="0.25">
      <c r="B34" s="20" t="s">
        <v>72</v>
      </c>
      <c r="C34" s="34">
        <v>19061</v>
      </c>
      <c r="D34" s="34">
        <v>23535</v>
      </c>
      <c r="E34" s="34">
        <v>16127</v>
      </c>
      <c r="F34" s="34">
        <v>29289</v>
      </c>
      <c r="G34" s="34">
        <v>23535</v>
      </c>
      <c r="H34" s="34">
        <v>49165</v>
      </c>
      <c r="I34" s="34">
        <v>98404</v>
      </c>
      <c r="J34" s="34">
        <v>68565</v>
      </c>
      <c r="K34" s="34">
        <v>40721</v>
      </c>
      <c r="L34" s="34">
        <v>32881</v>
      </c>
    </row>
    <row r="35" spans="2:12" s="5" customFormat="1" x14ac:dyDescent="0.25">
      <c r="B35" s="64" t="s">
        <v>73</v>
      </c>
      <c r="C35" s="66">
        <v>141742</v>
      </c>
      <c r="D35" s="66">
        <v>115673</v>
      </c>
      <c r="E35" s="66">
        <v>111032</v>
      </c>
      <c r="F35" s="66">
        <v>112061</v>
      </c>
      <c r="G35" s="66">
        <v>115673</v>
      </c>
      <c r="H35" s="66">
        <v>115303</v>
      </c>
      <c r="I35" s="66">
        <v>115420</v>
      </c>
      <c r="J35" s="66">
        <v>114512</v>
      </c>
      <c r="K35" s="66">
        <v>76507</v>
      </c>
      <c r="L35" s="66">
        <v>75534</v>
      </c>
    </row>
    <row r="36" spans="2:12" s="5" customFormat="1" x14ac:dyDescent="0.25">
      <c r="B36" s="20" t="s">
        <v>74</v>
      </c>
      <c r="C36" s="34">
        <v>298750</v>
      </c>
      <c r="D36" s="34">
        <v>606176</v>
      </c>
      <c r="E36" s="34">
        <v>1586</v>
      </c>
      <c r="F36" s="34">
        <v>1586</v>
      </c>
      <c r="G36" s="34">
        <v>606176</v>
      </c>
      <c r="H36" s="34">
        <v>606091</v>
      </c>
      <c r="I36" s="34">
        <v>196618</v>
      </c>
      <c r="J36" s="34">
        <v>196532</v>
      </c>
      <c r="K36" s="34">
        <v>581919</v>
      </c>
      <c r="L36" s="34">
        <v>834541</v>
      </c>
    </row>
    <row r="37" spans="2:12" s="5" customFormat="1" x14ac:dyDescent="0.25">
      <c r="B37" s="64" t="s">
        <v>75</v>
      </c>
      <c r="C37" s="66">
        <v>0</v>
      </c>
      <c r="D37" s="66">
        <v>29275</v>
      </c>
      <c r="E37" s="66">
        <v>7319</v>
      </c>
      <c r="F37" s="66">
        <v>18297</v>
      </c>
      <c r="G37" s="66">
        <v>29275</v>
      </c>
      <c r="H37" s="66">
        <v>40254</v>
      </c>
      <c r="I37" s="66">
        <v>45811</v>
      </c>
      <c r="J37" s="66">
        <v>46003</v>
      </c>
      <c r="K37" s="66">
        <v>41307</v>
      </c>
      <c r="L37" s="66">
        <v>40336</v>
      </c>
    </row>
    <row r="38" spans="2:12" s="5" customFormat="1" x14ac:dyDescent="0.25">
      <c r="B38" s="20" t="s">
        <v>76</v>
      </c>
      <c r="C38" s="34">
        <v>0</v>
      </c>
      <c r="D38" s="34">
        <v>23474</v>
      </c>
      <c r="E38" s="34">
        <v>0</v>
      </c>
      <c r="F38" s="34">
        <v>0</v>
      </c>
      <c r="G38" s="34">
        <v>23474</v>
      </c>
      <c r="H38" s="34">
        <v>27382</v>
      </c>
      <c r="I38" s="34">
        <v>31369</v>
      </c>
      <c r="J38" s="34">
        <v>35343</v>
      </c>
      <c r="K38" s="34">
        <v>28426</v>
      </c>
      <c r="L38" s="34">
        <v>28411</v>
      </c>
    </row>
    <row r="39" spans="2:12" s="5" customFormat="1" x14ac:dyDescent="0.25">
      <c r="B39" s="64" t="s">
        <v>77</v>
      </c>
      <c r="C39" s="66">
        <v>9661</v>
      </c>
      <c r="D39" s="66">
        <v>88038</v>
      </c>
      <c r="E39" s="66">
        <v>94987</v>
      </c>
      <c r="F39" s="66">
        <v>84552</v>
      </c>
      <c r="G39" s="66">
        <v>88038</v>
      </c>
      <c r="H39" s="66">
        <v>48535</v>
      </c>
      <c r="I39" s="66">
        <v>38047</v>
      </c>
      <c r="J39" s="66">
        <v>29934</v>
      </c>
      <c r="K39" s="66">
        <v>22906</v>
      </c>
      <c r="L39" s="66">
        <v>21810</v>
      </c>
    </row>
    <row r="40" spans="2:12" s="12" customFormat="1" ht="15" customHeight="1" x14ac:dyDescent="0.25">
      <c r="B40" s="22" t="s">
        <v>57</v>
      </c>
      <c r="C40" s="28">
        <f>SUM(C41:C50)</f>
        <v>2340036</v>
      </c>
      <c r="D40" s="28">
        <f t="shared" ref="D40:L40" si="4">SUM(D41:D50)</f>
        <v>4827991</v>
      </c>
      <c r="E40" s="28">
        <f t="shared" si="4"/>
        <v>4263605</v>
      </c>
      <c r="F40" s="28">
        <f t="shared" si="4"/>
        <v>4316021</v>
      </c>
      <c r="G40" s="28">
        <f t="shared" si="4"/>
        <v>4827991</v>
      </c>
      <c r="H40" s="28">
        <f t="shared" si="4"/>
        <v>5002659</v>
      </c>
      <c r="I40" s="28">
        <f t="shared" si="4"/>
        <v>4876007</v>
      </c>
      <c r="J40" s="28">
        <f t="shared" si="4"/>
        <v>4899158</v>
      </c>
      <c r="K40" s="28">
        <f t="shared" si="4"/>
        <v>6295058</v>
      </c>
      <c r="L40" s="28">
        <f t="shared" si="4"/>
        <v>6204326</v>
      </c>
    </row>
    <row r="41" spans="2:12" s="5" customFormat="1" x14ac:dyDescent="0.25">
      <c r="B41" s="64" t="s">
        <v>69</v>
      </c>
      <c r="C41" s="66">
        <v>1080</v>
      </c>
      <c r="D41" s="66">
        <v>1781123</v>
      </c>
      <c r="E41" s="66">
        <v>1779561</v>
      </c>
      <c r="F41" s="66">
        <v>1783483</v>
      </c>
      <c r="G41" s="66">
        <v>1781123</v>
      </c>
      <c r="H41" s="66">
        <v>1785056</v>
      </c>
      <c r="I41" s="66">
        <v>1782696</v>
      </c>
      <c r="J41" s="66">
        <v>1758277</v>
      </c>
      <c r="K41" s="66">
        <v>1800854</v>
      </c>
      <c r="L41" s="66">
        <v>1840578</v>
      </c>
    </row>
    <row r="42" spans="2:12" s="5" customFormat="1" x14ac:dyDescent="0.25">
      <c r="B42" s="20" t="s">
        <v>70</v>
      </c>
      <c r="C42" s="34">
        <v>0</v>
      </c>
      <c r="D42" s="34">
        <v>5624</v>
      </c>
      <c r="E42" s="34">
        <v>0</v>
      </c>
      <c r="F42" s="34">
        <v>6029</v>
      </c>
      <c r="G42" s="34">
        <v>5624</v>
      </c>
      <c r="H42" s="34">
        <v>5729</v>
      </c>
      <c r="I42" s="34">
        <v>5419</v>
      </c>
      <c r="J42" s="34">
        <v>5105</v>
      </c>
      <c r="K42" s="34">
        <v>4788</v>
      </c>
      <c r="L42" s="34">
        <v>4468</v>
      </c>
    </row>
    <row r="43" spans="2:12" s="5" customFormat="1" x14ac:dyDescent="0.25">
      <c r="B43" s="64" t="s">
        <v>73</v>
      </c>
      <c r="C43" s="66">
        <v>35852</v>
      </c>
      <c r="D43" s="66">
        <v>12014</v>
      </c>
      <c r="E43" s="66">
        <v>35852</v>
      </c>
      <c r="F43" s="66">
        <v>15899</v>
      </c>
      <c r="G43" s="66">
        <v>12014</v>
      </c>
      <c r="H43" s="66">
        <v>12014</v>
      </c>
      <c r="I43" s="66">
        <v>12014</v>
      </c>
      <c r="J43" s="66">
        <v>12014</v>
      </c>
      <c r="K43" s="66">
        <v>1240</v>
      </c>
      <c r="L43" s="66">
        <v>1240</v>
      </c>
    </row>
    <row r="44" spans="2:12" s="5" customFormat="1" x14ac:dyDescent="0.25">
      <c r="B44" s="20" t="s">
        <v>75</v>
      </c>
      <c r="C44" s="34">
        <v>0</v>
      </c>
      <c r="D44" s="34">
        <v>158355</v>
      </c>
      <c r="E44" s="34">
        <v>176148</v>
      </c>
      <c r="F44" s="34">
        <v>167240</v>
      </c>
      <c r="G44" s="34">
        <v>158355</v>
      </c>
      <c r="H44" s="34">
        <v>149493</v>
      </c>
      <c r="I44" s="34">
        <v>140935</v>
      </c>
      <c r="J44" s="34">
        <v>131783</v>
      </c>
      <c r="K44" s="34">
        <v>114057</v>
      </c>
      <c r="L44" s="34">
        <v>105567</v>
      </c>
    </row>
    <row r="45" spans="2:12" s="5" customFormat="1" x14ac:dyDescent="0.25">
      <c r="B45" s="64" t="s">
        <v>11</v>
      </c>
      <c r="C45" s="66">
        <v>0</v>
      </c>
      <c r="D45" s="66">
        <v>0</v>
      </c>
      <c r="E45" s="66">
        <v>0</v>
      </c>
      <c r="F45" s="66">
        <v>292</v>
      </c>
      <c r="G45" s="66">
        <v>0</v>
      </c>
      <c r="H45" s="66">
        <v>92075</v>
      </c>
      <c r="I45" s="66">
        <v>83767</v>
      </c>
      <c r="J45" s="66">
        <v>55185</v>
      </c>
      <c r="K45" s="66">
        <v>9141</v>
      </c>
      <c r="L45" s="66">
        <v>0</v>
      </c>
    </row>
    <row r="46" spans="2:12" s="5" customFormat="1" x14ac:dyDescent="0.25">
      <c r="B46" s="20" t="s">
        <v>54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4108</v>
      </c>
      <c r="L46" s="34">
        <v>3697</v>
      </c>
    </row>
    <row r="47" spans="2:12" s="5" customFormat="1" x14ac:dyDescent="0.25">
      <c r="B47" s="64" t="s">
        <v>78</v>
      </c>
      <c r="C47" s="66">
        <v>2156162</v>
      </c>
      <c r="D47" s="66">
        <v>1814375</v>
      </c>
      <c r="E47" s="66">
        <v>2120009</v>
      </c>
      <c r="F47" s="66">
        <v>2197258</v>
      </c>
      <c r="G47" s="66">
        <v>1814375</v>
      </c>
      <c r="H47" s="66">
        <v>1889659</v>
      </c>
      <c r="I47" s="66">
        <v>1782843</v>
      </c>
      <c r="J47" s="66">
        <v>1859083</v>
      </c>
      <c r="K47" s="66">
        <v>1748257</v>
      </c>
      <c r="L47" s="66">
        <v>1606027</v>
      </c>
    </row>
    <row r="48" spans="2:12" s="5" customFormat="1" x14ac:dyDescent="0.25">
      <c r="B48" s="20" t="s">
        <v>76</v>
      </c>
      <c r="C48" s="34">
        <v>72915</v>
      </c>
      <c r="D48" s="34">
        <v>164536</v>
      </c>
      <c r="E48" s="34">
        <v>72915</v>
      </c>
      <c r="F48" s="34">
        <v>72915</v>
      </c>
      <c r="G48" s="34">
        <v>164536</v>
      </c>
      <c r="H48" s="34">
        <v>160474</v>
      </c>
      <c r="I48" s="34">
        <v>156391</v>
      </c>
      <c r="J48" s="34">
        <v>152314</v>
      </c>
      <c r="K48" s="34">
        <v>152749</v>
      </c>
      <c r="L48" s="34">
        <v>148503</v>
      </c>
    </row>
    <row r="49" spans="2:12" s="5" customFormat="1" x14ac:dyDescent="0.25">
      <c r="B49" s="64" t="s">
        <v>138</v>
      </c>
      <c r="C49" s="66">
        <v>0</v>
      </c>
      <c r="D49" s="66">
        <v>836995</v>
      </c>
      <c r="E49" s="66">
        <v>0</v>
      </c>
      <c r="F49" s="66">
        <v>0</v>
      </c>
      <c r="G49" s="66">
        <v>836995</v>
      </c>
      <c r="H49" s="66">
        <v>851872</v>
      </c>
      <c r="I49" s="66">
        <v>866326</v>
      </c>
      <c r="J49" s="66">
        <v>880997</v>
      </c>
      <c r="K49" s="66">
        <v>2412379</v>
      </c>
      <c r="L49" s="66">
        <v>2451341</v>
      </c>
    </row>
    <row r="50" spans="2:12" s="5" customFormat="1" x14ac:dyDescent="0.25">
      <c r="B50" s="20" t="s">
        <v>77</v>
      </c>
      <c r="C50" s="34">
        <v>74027</v>
      </c>
      <c r="D50" s="34">
        <v>54969</v>
      </c>
      <c r="E50" s="34">
        <v>79120</v>
      </c>
      <c r="F50" s="34">
        <v>72905</v>
      </c>
      <c r="G50" s="34">
        <v>54969</v>
      </c>
      <c r="H50" s="34">
        <v>56287</v>
      </c>
      <c r="I50" s="34">
        <v>45616</v>
      </c>
      <c r="J50" s="34">
        <v>44400</v>
      </c>
      <c r="K50" s="34">
        <v>47485</v>
      </c>
      <c r="L50" s="34">
        <v>42905</v>
      </c>
    </row>
    <row r="51" spans="2:12" s="24" customFormat="1" x14ac:dyDescent="0.25">
      <c r="B51" s="64" t="s">
        <v>79</v>
      </c>
      <c r="C51" s="66">
        <f>SUM(C40,C27)</f>
        <v>3224434</v>
      </c>
      <c r="D51" s="66">
        <f t="shared" ref="D51:L51" si="5">SUM(D40,D27)</f>
        <v>5784849</v>
      </c>
      <c r="E51" s="66">
        <f t="shared" si="5"/>
        <v>4735885</v>
      </c>
      <c r="F51" s="66">
        <f t="shared" si="5"/>
        <v>4708743</v>
      </c>
      <c r="G51" s="66">
        <f t="shared" si="5"/>
        <v>5784849</v>
      </c>
      <c r="H51" s="66">
        <f t="shared" si="5"/>
        <v>6080436</v>
      </c>
      <c r="I51" s="66">
        <f t="shared" si="5"/>
        <v>5619815</v>
      </c>
      <c r="J51" s="66">
        <f t="shared" si="5"/>
        <v>5633096</v>
      </c>
      <c r="K51" s="66">
        <f t="shared" si="5"/>
        <v>7345651</v>
      </c>
      <c r="L51" s="66">
        <f t="shared" si="5"/>
        <v>7490773</v>
      </c>
    </row>
    <row r="52" spans="2:12" s="32" customFormat="1" x14ac:dyDescent="0.25">
      <c r="B52" s="22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2:12" s="12" customFormat="1" x14ac:dyDescent="0.25">
      <c r="B53" s="67" t="s">
        <v>80</v>
      </c>
      <c r="C53" s="68">
        <f>SUM(C54:C59)</f>
        <v>7102066</v>
      </c>
      <c r="D53" s="68">
        <f t="shared" ref="D53:L53" si="6">SUM(D54:D59)</f>
        <v>7144905</v>
      </c>
      <c r="E53" s="68">
        <f t="shared" si="6"/>
        <v>6944187</v>
      </c>
      <c r="F53" s="68">
        <f t="shared" si="6"/>
        <v>6940697</v>
      </c>
      <c r="G53" s="68">
        <f t="shared" si="6"/>
        <v>7144905</v>
      </c>
      <c r="H53" s="68">
        <f t="shared" si="6"/>
        <v>7046154</v>
      </c>
      <c r="I53" s="68">
        <f t="shared" si="6"/>
        <v>7176747</v>
      </c>
      <c r="J53" s="68">
        <f t="shared" si="6"/>
        <v>7128823</v>
      </c>
      <c r="K53" s="68">
        <f t="shared" si="6"/>
        <v>7206213</v>
      </c>
      <c r="L53" s="68">
        <f t="shared" si="6"/>
        <v>7050478</v>
      </c>
    </row>
    <row r="54" spans="2:12" s="5" customFormat="1" x14ac:dyDescent="0.25">
      <c r="B54" s="20" t="s">
        <v>81</v>
      </c>
      <c r="C54" s="34">
        <v>5975433</v>
      </c>
      <c r="D54" s="34">
        <v>5975433</v>
      </c>
      <c r="E54" s="34">
        <v>5975433</v>
      </c>
      <c r="F54" s="34">
        <v>5975433</v>
      </c>
      <c r="G54" s="34">
        <v>5975433</v>
      </c>
      <c r="H54" s="34">
        <v>5975433</v>
      </c>
      <c r="I54" s="34">
        <v>5975433</v>
      </c>
      <c r="J54" s="34">
        <v>5975433</v>
      </c>
      <c r="K54" s="34">
        <v>5975433</v>
      </c>
      <c r="L54" s="34">
        <v>5975433</v>
      </c>
    </row>
    <row r="55" spans="2:12" s="5" customFormat="1" x14ac:dyDescent="0.25">
      <c r="B55" s="64" t="s">
        <v>82</v>
      </c>
      <c r="C55" s="66">
        <v>1929098</v>
      </c>
      <c r="D55" s="66">
        <v>1929098</v>
      </c>
      <c r="E55" s="66">
        <v>1929098</v>
      </c>
      <c r="F55" s="66">
        <v>1929098</v>
      </c>
      <c r="G55" s="66">
        <v>1929098</v>
      </c>
      <c r="H55" s="66">
        <v>1929098</v>
      </c>
      <c r="I55" s="66">
        <v>1929098</v>
      </c>
      <c r="J55" s="66">
        <v>1929098</v>
      </c>
      <c r="K55" s="66">
        <v>1929098</v>
      </c>
      <c r="L55" s="66">
        <v>1929098</v>
      </c>
    </row>
    <row r="56" spans="2:12" s="5" customFormat="1" x14ac:dyDescent="0.25">
      <c r="B56" s="20" t="s">
        <v>83</v>
      </c>
      <c r="C56" s="34">
        <v>554588</v>
      </c>
      <c r="D56" s="34">
        <v>1084883</v>
      </c>
      <c r="E56" s="34">
        <v>554588</v>
      </c>
      <c r="F56" s="34">
        <v>554588</v>
      </c>
      <c r="G56" s="34">
        <v>1084883</v>
      </c>
      <c r="H56" s="34">
        <v>1084883</v>
      </c>
      <c r="I56" s="34">
        <v>1084883</v>
      </c>
      <c r="J56" s="34">
        <v>1084883</v>
      </c>
      <c r="K56" s="34">
        <v>2187137</v>
      </c>
      <c r="L56" s="34">
        <v>1934515</v>
      </c>
    </row>
    <row r="57" spans="2:12" s="5" customFormat="1" x14ac:dyDescent="0.25">
      <c r="B57" s="64" t="s">
        <v>84</v>
      </c>
      <c r="C57" s="66">
        <v>-976752</v>
      </c>
      <c r="D57" s="66">
        <v>-948623</v>
      </c>
      <c r="E57" s="66">
        <v>-964994</v>
      </c>
      <c r="F57" s="66">
        <v>-958478</v>
      </c>
      <c r="G57" s="66">
        <v>-948623</v>
      </c>
      <c r="H57" s="66">
        <v>-938897</v>
      </c>
      <c r="I57" s="66">
        <v>-928708</v>
      </c>
      <c r="J57" s="66">
        <v>-917819</v>
      </c>
      <c r="K57" s="66">
        <v>-919658</v>
      </c>
      <c r="L57" s="66">
        <v>-2893847</v>
      </c>
    </row>
    <row r="58" spans="2:12" s="5" customFormat="1" x14ac:dyDescent="0.25">
      <c r="B58" s="20" t="s">
        <v>85</v>
      </c>
      <c r="C58" s="34">
        <v>-380301</v>
      </c>
      <c r="D58" s="34">
        <v>-895886</v>
      </c>
      <c r="E58" s="34">
        <v>-375935</v>
      </c>
      <c r="F58" s="34">
        <v>-371569</v>
      </c>
      <c r="G58" s="34">
        <v>-895886</v>
      </c>
      <c r="H58" s="34">
        <v>-1048450</v>
      </c>
      <c r="I58" s="34">
        <v>-1055655</v>
      </c>
      <c r="J58" s="34">
        <v>-1045054</v>
      </c>
      <c r="K58" s="34">
        <v>-1965797</v>
      </c>
      <c r="L58" s="34">
        <v>108611</v>
      </c>
    </row>
    <row r="59" spans="2:12" s="5" customFormat="1" x14ac:dyDescent="0.25">
      <c r="B59" s="64" t="s">
        <v>86</v>
      </c>
      <c r="C59" s="66">
        <v>0</v>
      </c>
      <c r="D59" s="66">
        <v>0</v>
      </c>
      <c r="E59" s="66">
        <v>-174003</v>
      </c>
      <c r="F59" s="66">
        <v>-188375</v>
      </c>
      <c r="G59" s="66">
        <v>0</v>
      </c>
      <c r="H59" s="66">
        <v>44087</v>
      </c>
      <c r="I59" s="66">
        <v>171696</v>
      </c>
      <c r="J59" s="66">
        <v>102282</v>
      </c>
      <c r="K59" s="66">
        <v>0</v>
      </c>
      <c r="L59" s="66">
        <v>-3332</v>
      </c>
    </row>
    <row r="60" spans="2:12" s="12" customFormat="1" x14ac:dyDescent="0.25">
      <c r="B60" s="22" t="s">
        <v>87</v>
      </c>
      <c r="C60" s="28">
        <f>C53+C51</f>
        <v>10326500</v>
      </c>
      <c r="D60" s="28">
        <f t="shared" ref="D60:L60" si="7">D53+D51</f>
        <v>12929754</v>
      </c>
      <c r="E60" s="28">
        <f t="shared" si="7"/>
        <v>11680072</v>
      </c>
      <c r="F60" s="28">
        <f t="shared" si="7"/>
        <v>11649440</v>
      </c>
      <c r="G60" s="28">
        <f t="shared" si="7"/>
        <v>12929754</v>
      </c>
      <c r="H60" s="28">
        <f t="shared" si="7"/>
        <v>13126590</v>
      </c>
      <c r="I60" s="28">
        <f t="shared" si="7"/>
        <v>12796562</v>
      </c>
      <c r="J60" s="28">
        <f t="shared" si="7"/>
        <v>12761919</v>
      </c>
      <c r="K60" s="28">
        <f t="shared" si="7"/>
        <v>14551864</v>
      </c>
      <c r="L60" s="28">
        <f t="shared" si="7"/>
        <v>14541251</v>
      </c>
    </row>
    <row r="61" spans="2:12" s="32" customFormat="1" x14ac:dyDescent="0.25">
      <c r="B61" s="67"/>
      <c r="C61" s="69"/>
      <c r="D61" s="69"/>
      <c r="E61" s="69"/>
      <c r="F61" s="69"/>
      <c r="G61" s="69"/>
      <c r="H61" s="69"/>
      <c r="I61" s="69"/>
      <c r="J61" s="69"/>
      <c r="K61" s="69"/>
      <c r="L61" s="69"/>
    </row>
    <row r="62" spans="2:12" s="32" customFormat="1" x14ac:dyDescent="0.25">
      <c r="B62" s="23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2:12" s="32" customFormat="1" x14ac:dyDescent="0.25">
      <c r="B63" s="23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2:12" x14ac:dyDescent="0.2"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3:12" x14ac:dyDescent="0.2"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3:12" x14ac:dyDescent="0.2"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3:12" x14ac:dyDescent="0.2"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3:12" x14ac:dyDescent="0.2"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3:12" x14ac:dyDescent="0.2"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3:12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3:12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3:12" x14ac:dyDescent="0.2">
      <c r="C72" s="25"/>
      <c r="D72" s="25"/>
      <c r="E72" s="25"/>
      <c r="F72" s="25"/>
      <c r="G72" s="25"/>
      <c r="H72" s="25"/>
      <c r="I72" s="25"/>
      <c r="J72" s="25"/>
      <c r="K72" s="25"/>
      <c r="L72" s="2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CBCA-798F-4768-B5A6-FEFFC0EAB29D}">
  <dimension ref="B1:N30"/>
  <sheetViews>
    <sheetView showGridLines="0" zoomScaleNormal="100" workbookViewId="0">
      <pane xSplit="2" ySplit="3" topLeftCell="C4" activePane="bottomRight" state="frozen"/>
      <selection activeCell="M14" sqref="M13:M14"/>
      <selection pane="topRight" activeCell="M14" sqref="M13:M14"/>
      <selection pane="bottomLeft" activeCell="M14" sqref="M13:M14"/>
      <selection pane="bottomRight" activeCell="C4" sqref="C4"/>
    </sheetView>
  </sheetViews>
  <sheetFormatPr defaultColWidth="9.140625" defaultRowHeight="14.25" x14ac:dyDescent="0.25"/>
  <cols>
    <col min="1" max="1" width="1.42578125" style="36" customWidth="1"/>
    <col min="2" max="2" width="59.7109375" style="36" bestFit="1" customWidth="1"/>
    <col min="3" max="14" width="11.5703125" style="36" customWidth="1"/>
    <col min="15" max="16384" width="9.140625" style="36"/>
  </cols>
  <sheetData>
    <row r="1" spans="2:14" ht="54.75" customHeight="1" x14ac:dyDescent="0.25"/>
    <row r="2" spans="2:14" ht="8.25" customHeight="1" x14ac:dyDescent="0.25"/>
    <row r="3" spans="2:14" s="37" customFormat="1" ht="15" thickBot="1" x14ac:dyDescent="0.3">
      <c r="B3" s="3" t="s">
        <v>88</v>
      </c>
      <c r="C3" s="4">
        <v>2018</v>
      </c>
      <c r="D3" s="4" t="s">
        <v>2</v>
      </c>
      <c r="E3" s="4" t="s">
        <v>3</v>
      </c>
      <c r="F3" s="4" t="s">
        <v>4</v>
      </c>
      <c r="G3" s="4" t="s">
        <v>5</v>
      </c>
      <c r="H3" s="4">
        <v>2019</v>
      </c>
      <c r="I3" s="4" t="s">
        <v>6</v>
      </c>
      <c r="J3" s="4" t="s">
        <v>7</v>
      </c>
      <c r="K3" s="4" t="s">
        <v>8</v>
      </c>
      <c r="L3" s="4" t="s">
        <v>9</v>
      </c>
      <c r="M3" s="4">
        <v>2020</v>
      </c>
      <c r="N3" s="4" t="s">
        <v>139</v>
      </c>
    </row>
    <row r="4" spans="2:14" x14ac:dyDescent="0.25">
      <c r="B4" s="38" t="s">
        <v>89</v>
      </c>
      <c r="C4" s="39">
        <v>-751603</v>
      </c>
      <c r="D4" s="39">
        <v>-222998</v>
      </c>
      <c r="E4" s="39">
        <v>-76100</v>
      </c>
      <c r="F4" s="39">
        <v>-119914</v>
      </c>
      <c r="G4" s="39">
        <v>-122099</v>
      </c>
      <c r="H4" s="39">
        <v>-541111</v>
      </c>
      <c r="I4" s="39">
        <v>-82336</v>
      </c>
      <c r="J4" s="39">
        <v>-137133</v>
      </c>
      <c r="K4" s="39">
        <v>-168418</v>
      </c>
      <c r="L4" s="39">
        <v>-214942</v>
      </c>
      <c r="M4" s="39">
        <v>-602829</v>
      </c>
      <c r="N4" s="39">
        <v>-219719</v>
      </c>
    </row>
    <row r="5" spans="2:14" s="37" customFormat="1" ht="13.5" customHeight="1" x14ac:dyDescent="0.25">
      <c r="B5" s="40" t="s">
        <v>73</v>
      </c>
      <c r="C5" s="9">
        <v>-114509</v>
      </c>
      <c r="D5" s="9">
        <v>-28238</v>
      </c>
      <c r="E5" s="9">
        <v>-29119</v>
      </c>
      <c r="F5" s="9">
        <v>-34345</v>
      </c>
      <c r="G5" s="9">
        <v>-34904</v>
      </c>
      <c r="H5" s="9">
        <v>-126606</v>
      </c>
      <c r="I5" s="9">
        <v>-33931</v>
      </c>
      <c r="J5" s="9">
        <v>-35427</v>
      </c>
      <c r="K5" s="9">
        <v>-39461</v>
      </c>
      <c r="L5" s="9">
        <v>-40039</v>
      </c>
      <c r="M5" s="9">
        <v>-148858</v>
      </c>
      <c r="N5" s="9">
        <v>-39049</v>
      </c>
    </row>
    <row r="6" spans="2:14" s="41" customFormat="1" x14ac:dyDescent="0.25">
      <c r="B6" s="38" t="s">
        <v>90</v>
      </c>
      <c r="C6" s="39">
        <v>-140894</v>
      </c>
      <c r="D6" s="39">
        <v>-39008</v>
      </c>
      <c r="E6" s="39">
        <v>-22143</v>
      </c>
      <c r="F6" s="39">
        <v>-25097</v>
      </c>
      <c r="G6" s="39">
        <v>-20096</v>
      </c>
      <c r="H6" s="39">
        <v>-106344</v>
      </c>
      <c r="I6" s="39">
        <v>-19895</v>
      </c>
      <c r="J6" s="39">
        <v>-15423</v>
      </c>
      <c r="K6" s="39">
        <v>-18502</v>
      </c>
      <c r="L6" s="39">
        <v>-14459</v>
      </c>
      <c r="M6" s="39">
        <v>-68279</v>
      </c>
      <c r="N6" s="39">
        <v>-19945</v>
      </c>
    </row>
    <row r="7" spans="2:14" s="37" customFormat="1" x14ac:dyDescent="0.25">
      <c r="B7" s="40" t="s">
        <v>91</v>
      </c>
      <c r="C7" s="9">
        <v>0</v>
      </c>
      <c r="D7" s="9">
        <v>-102504</v>
      </c>
      <c r="E7" s="9">
        <v>-2287</v>
      </c>
      <c r="F7" s="9">
        <v>-5955</v>
      </c>
      <c r="G7" s="9">
        <v>-336</v>
      </c>
      <c r="H7" s="9">
        <v>-111082</v>
      </c>
      <c r="I7" s="9">
        <v>0</v>
      </c>
      <c r="J7" s="9">
        <v>0</v>
      </c>
      <c r="K7" s="9">
        <v>-5961</v>
      </c>
      <c r="L7" s="9">
        <v>-9037</v>
      </c>
      <c r="M7" s="9">
        <v>-14998</v>
      </c>
      <c r="N7" s="9">
        <v>0</v>
      </c>
    </row>
    <row r="8" spans="2:14" s="41" customFormat="1" x14ac:dyDescent="0.25">
      <c r="B8" s="38" t="s">
        <v>92</v>
      </c>
      <c r="C8" s="39">
        <v>-2238</v>
      </c>
      <c r="D8" s="39">
        <v>-366</v>
      </c>
      <c r="E8" s="39">
        <v>-438</v>
      </c>
      <c r="F8" s="39">
        <v>-364</v>
      </c>
      <c r="G8" s="39">
        <v>-5732</v>
      </c>
      <c r="H8" s="39">
        <v>-6900</v>
      </c>
      <c r="I8" s="39">
        <v>-1240</v>
      </c>
      <c r="J8" s="39">
        <v>-1230</v>
      </c>
      <c r="K8" s="39">
        <v>-1251</v>
      </c>
      <c r="L8" s="39">
        <v>-5044</v>
      </c>
      <c r="M8" s="39">
        <v>-8765</v>
      </c>
      <c r="N8" s="39">
        <v>-2134</v>
      </c>
    </row>
    <row r="9" spans="2:14" s="37" customFormat="1" x14ac:dyDescent="0.25">
      <c r="B9" s="40" t="s">
        <v>138</v>
      </c>
      <c r="C9" s="9">
        <v>-10330</v>
      </c>
      <c r="D9" s="9">
        <v>-3372</v>
      </c>
      <c r="E9" s="9">
        <v>-3380</v>
      </c>
      <c r="F9" s="9">
        <v>-3364</v>
      </c>
      <c r="G9" s="9">
        <v>-3372</v>
      </c>
      <c r="H9" s="9">
        <v>-13488</v>
      </c>
      <c r="I9" s="9">
        <v>122</v>
      </c>
      <c r="J9" s="9">
        <v>122</v>
      </c>
      <c r="K9" s="9">
        <v>122</v>
      </c>
      <c r="L9" s="9">
        <v>123</v>
      </c>
      <c r="M9" s="9">
        <v>489</v>
      </c>
      <c r="N9" s="9">
        <v>438</v>
      </c>
    </row>
    <row r="10" spans="2:14" s="41" customFormat="1" x14ac:dyDescent="0.25">
      <c r="B10" s="38" t="s">
        <v>93</v>
      </c>
      <c r="C10" s="39">
        <v>-4628</v>
      </c>
      <c r="D10" s="39">
        <v>-1204</v>
      </c>
      <c r="E10" s="39">
        <v>-966</v>
      </c>
      <c r="F10" s="39">
        <v>-1531</v>
      </c>
      <c r="G10" s="39">
        <v>-870</v>
      </c>
      <c r="H10" s="39">
        <v>-4571</v>
      </c>
      <c r="I10" s="39">
        <v>-517</v>
      </c>
      <c r="J10" s="39">
        <v>-495</v>
      </c>
      <c r="K10" s="39">
        <v>-227</v>
      </c>
      <c r="L10" s="39">
        <v>-437</v>
      </c>
      <c r="M10" s="39">
        <v>-1676</v>
      </c>
      <c r="N10" s="39">
        <v>-538</v>
      </c>
    </row>
    <row r="11" spans="2:14" s="37" customFormat="1" x14ac:dyDescent="0.25">
      <c r="B11" s="40" t="s">
        <v>94</v>
      </c>
      <c r="C11" s="9">
        <v>-59246</v>
      </c>
      <c r="D11" s="9">
        <v>-12898</v>
      </c>
      <c r="E11" s="9">
        <v>-12619</v>
      </c>
      <c r="F11" s="9">
        <v>-9216</v>
      </c>
      <c r="G11" s="9">
        <v>-11700</v>
      </c>
      <c r="H11" s="9">
        <v>-46433</v>
      </c>
      <c r="I11" s="9">
        <v>-6186</v>
      </c>
      <c r="J11" s="9">
        <v>-7401</v>
      </c>
      <c r="K11" s="9">
        <v>-6314</v>
      </c>
      <c r="L11" s="9">
        <v>-14639</v>
      </c>
      <c r="M11" s="9">
        <v>-34540</v>
      </c>
      <c r="N11" s="9">
        <v>-7760</v>
      </c>
    </row>
    <row r="12" spans="2:14" s="41" customFormat="1" x14ac:dyDescent="0.25">
      <c r="B12" s="38" t="s">
        <v>95</v>
      </c>
      <c r="C12" s="39">
        <v>0</v>
      </c>
      <c r="D12" s="39">
        <v>-409</v>
      </c>
      <c r="E12" s="39">
        <v>-384</v>
      </c>
      <c r="F12" s="39">
        <v>-894</v>
      </c>
      <c r="G12" s="39">
        <v>-1863</v>
      </c>
      <c r="H12" s="39">
        <v>-3550</v>
      </c>
      <c r="I12" s="39">
        <v>-2250</v>
      </c>
      <c r="J12" s="39">
        <v>-1919</v>
      </c>
      <c r="K12" s="39">
        <v>-723</v>
      </c>
      <c r="L12" s="39">
        <v>-1074</v>
      </c>
      <c r="M12" s="39">
        <v>-5966</v>
      </c>
      <c r="N12" s="39">
        <v>-1036</v>
      </c>
    </row>
    <row r="13" spans="2:14" s="37" customFormat="1" x14ac:dyDescent="0.25">
      <c r="B13" s="40" t="s">
        <v>96</v>
      </c>
      <c r="C13" s="9">
        <v>-316345</v>
      </c>
      <c r="D13" s="9">
        <v>-78510</v>
      </c>
      <c r="E13" s="9">
        <v>-92530</v>
      </c>
      <c r="F13" s="9">
        <v>-96289</v>
      </c>
      <c r="G13" s="9">
        <v>-112236</v>
      </c>
      <c r="H13" s="9">
        <v>-379565</v>
      </c>
      <c r="I13" s="9">
        <v>-100395</v>
      </c>
      <c r="J13" s="9">
        <v>-99876</v>
      </c>
      <c r="K13" s="9">
        <v>-95376</v>
      </c>
      <c r="L13" s="9">
        <v>-101682</v>
      </c>
      <c r="M13" s="9">
        <v>-397329</v>
      </c>
      <c r="N13" s="9">
        <v>-97855</v>
      </c>
    </row>
    <row r="14" spans="2:14" s="37" customFormat="1" x14ac:dyDescent="0.25">
      <c r="B14" s="87" t="s">
        <v>97</v>
      </c>
      <c r="C14" s="11">
        <v>-4640</v>
      </c>
      <c r="D14" s="11">
        <v>-714</v>
      </c>
      <c r="E14" s="11">
        <v>-747</v>
      </c>
      <c r="F14" s="11">
        <v>-98</v>
      </c>
      <c r="G14" s="11">
        <v>-28</v>
      </c>
      <c r="H14" s="11">
        <v>-1587</v>
      </c>
      <c r="I14" s="11">
        <v>-663</v>
      </c>
      <c r="J14" s="11">
        <v>-418</v>
      </c>
      <c r="K14" s="11">
        <v>-283</v>
      </c>
      <c r="L14" s="11">
        <v>-463</v>
      </c>
      <c r="M14" s="11">
        <v>-1827</v>
      </c>
      <c r="N14" s="11">
        <v>-253</v>
      </c>
    </row>
    <row r="15" spans="2:14" s="83" customFormat="1" x14ac:dyDescent="0.25">
      <c r="B15" s="82" t="s">
        <v>98</v>
      </c>
      <c r="C15" s="65">
        <v>-52000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</row>
    <row r="16" spans="2:14" s="84" customFormat="1" x14ac:dyDescent="0.25">
      <c r="B16" s="87" t="s">
        <v>99</v>
      </c>
      <c r="C16" s="11">
        <v>29353</v>
      </c>
      <c r="D16" s="11">
        <v>0</v>
      </c>
      <c r="E16" s="11">
        <v>0</v>
      </c>
      <c r="F16" s="11">
        <v>0</v>
      </c>
      <c r="G16" s="11">
        <v>14835</v>
      </c>
      <c r="H16" s="11">
        <v>14835</v>
      </c>
      <c r="I16" s="11">
        <v>0</v>
      </c>
      <c r="J16" s="11">
        <v>0</v>
      </c>
      <c r="K16" s="11">
        <v>0</v>
      </c>
      <c r="L16" s="11">
        <v>-4206</v>
      </c>
      <c r="M16" s="11">
        <v>-4206</v>
      </c>
      <c r="N16" s="11">
        <v>0</v>
      </c>
    </row>
    <row r="17" spans="2:14" s="83" customFormat="1" x14ac:dyDescent="0.25">
      <c r="B17" s="82" t="s">
        <v>100</v>
      </c>
      <c r="C17" s="65">
        <v>0</v>
      </c>
      <c r="D17" s="65">
        <v>0</v>
      </c>
      <c r="E17" s="65">
        <v>0</v>
      </c>
      <c r="F17" s="65">
        <v>23152</v>
      </c>
      <c r="G17" s="65"/>
      <c r="H17" s="65">
        <v>23152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</row>
    <row r="18" spans="2:14" s="84" customFormat="1" x14ac:dyDescent="0.25">
      <c r="B18" s="87" t="s">
        <v>101</v>
      </c>
      <c r="C18" s="11">
        <v>-9505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</row>
    <row r="19" spans="2:14" s="83" customFormat="1" x14ac:dyDescent="0.25">
      <c r="B19" s="82" t="s">
        <v>102</v>
      </c>
      <c r="C19" s="65">
        <v>3370</v>
      </c>
      <c r="D19" s="65">
        <v>4796</v>
      </c>
      <c r="E19" s="65">
        <v>2654</v>
      </c>
      <c r="F19" s="65">
        <v>339</v>
      </c>
      <c r="G19" s="65">
        <v>264</v>
      </c>
      <c r="H19" s="65">
        <v>8053</v>
      </c>
      <c r="I19" s="65">
        <v>54</v>
      </c>
      <c r="J19" s="65">
        <v>0</v>
      </c>
      <c r="K19" s="65">
        <v>12</v>
      </c>
      <c r="L19" s="65">
        <v>0</v>
      </c>
      <c r="M19" s="65">
        <v>66</v>
      </c>
      <c r="N19" s="65">
        <v>0</v>
      </c>
    </row>
    <row r="20" spans="2:14" s="84" customFormat="1" x14ac:dyDescent="0.25">
      <c r="B20" s="87" t="s">
        <v>103</v>
      </c>
      <c r="C20" s="11">
        <v>410186</v>
      </c>
      <c r="D20" s="11">
        <v>36307</v>
      </c>
      <c r="E20" s="11">
        <v>-23855</v>
      </c>
      <c r="F20" s="11">
        <v>-5259</v>
      </c>
      <c r="G20" s="11">
        <v>324759</v>
      </c>
      <c r="H20" s="11">
        <v>331952</v>
      </c>
      <c r="I20" s="11">
        <v>-26979</v>
      </c>
      <c r="J20" s="11">
        <v>134167</v>
      </c>
      <c r="K20" s="11">
        <v>22052</v>
      </c>
      <c r="L20" s="11">
        <v>137404</v>
      </c>
      <c r="M20" s="11">
        <v>266644</v>
      </c>
      <c r="N20" s="11">
        <v>202872</v>
      </c>
    </row>
    <row r="21" spans="2:14" s="84" customFormat="1" x14ac:dyDescent="0.25">
      <c r="B21" s="82" t="s">
        <v>104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-23643</v>
      </c>
      <c r="K21" s="65">
        <v>-23163</v>
      </c>
      <c r="L21" s="65">
        <v>-16478</v>
      </c>
      <c r="M21" s="65">
        <v>-63284</v>
      </c>
      <c r="N21" s="65">
        <v>-39781</v>
      </c>
    </row>
    <row r="22" spans="2:14" s="83" customFormat="1" x14ac:dyDescent="0.25">
      <c r="B22" s="87" t="s">
        <v>105</v>
      </c>
      <c r="C22" s="11">
        <v>62652</v>
      </c>
      <c r="D22" s="11">
        <v>0</v>
      </c>
      <c r="E22" s="11">
        <v>0</v>
      </c>
      <c r="F22" s="11">
        <v>0</v>
      </c>
      <c r="G22" s="11">
        <v>120405</v>
      </c>
      <c r="H22" s="11">
        <v>120405</v>
      </c>
      <c r="I22" s="11">
        <v>0</v>
      </c>
      <c r="J22" s="11">
        <v>0</v>
      </c>
      <c r="K22" s="11">
        <v>0</v>
      </c>
      <c r="L22" s="11">
        <v>7589</v>
      </c>
      <c r="M22" s="11">
        <v>7589</v>
      </c>
      <c r="N22" s="11">
        <v>0</v>
      </c>
    </row>
    <row r="23" spans="2:14" s="84" customFormat="1" x14ac:dyDescent="0.25">
      <c r="B23" s="82" t="s">
        <v>106</v>
      </c>
      <c r="C23" s="65">
        <v>0</v>
      </c>
      <c r="D23" s="65">
        <v>0</v>
      </c>
      <c r="E23" s="65">
        <v>0</v>
      </c>
      <c r="F23" s="65">
        <v>0</v>
      </c>
      <c r="G23" s="65">
        <v>-230040</v>
      </c>
      <c r="H23" s="65">
        <v>-230040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</row>
    <row r="24" spans="2:14" s="83" customFormat="1" x14ac:dyDescent="0.25">
      <c r="B24" s="87" t="s">
        <v>107</v>
      </c>
      <c r="C24" s="11">
        <v>9873</v>
      </c>
      <c r="D24" s="11">
        <v>-81</v>
      </c>
      <c r="E24" s="11">
        <v>-132</v>
      </c>
      <c r="F24" s="11">
        <v>91</v>
      </c>
      <c r="G24" s="11">
        <v>6170</v>
      </c>
      <c r="H24" s="11">
        <v>6048</v>
      </c>
      <c r="I24" s="11">
        <v>-15</v>
      </c>
      <c r="J24" s="11">
        <v>315</v>
      </c>
      <c r="K24" s="11">
        <v>164</v>
      </c>
      <c r="L24" s="11">
        <v>63</v>
      </c>
      <c r="M24" s="11">
        <v>527</v>
      </c>
      <c r="N24" s="11">
        <v>-268</v>
      </c>
    </row>
    <row r="25" spans="2:14" s="84" customFormat="1" x14ac:dyDescent="0.25">
      <c r="B25" s="82" t="s">
        <v>54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24840</v>
      </c>
      <c r="J25" s="65">
        <v>-2599</v>
      </c>
      <c r="K25" s="65">
        <v>-8405</v>
      </c>
      <c r="L25" s="65">
        <v>-35280</v>
      </c>
      <c r="M25" s="65">
        <v>-21444</v>
      </c>
      <c r="N25" s="65">
        <v>19260</v>
      </c>
    </row>
    <row r="26" spans="2:14" s="83" customFormat="1" x14ac:dyDescent="0.25">
      <c r="B26" s="87" t="s">
        <v>108</v>
      </c>
      <c r="C26" s="11">
        <f>-21028-865+367-2927</f>
        <v>-24453</v>
      </c>
      <c r="D26" s="11">
        <f>-9782+253</f>
        <v>-9529</v>
      </c>
      <c r="E26" s="11">
        <f>-5590-617</f>
        <v>-6207</v>
      </c>
      <c r="F26" s="11">
        <f>-7290-1316</f>
        <v>-8606</v>
      </c>
      <c r="G26" s="11">
        <f>1560+1316+364</f>
        <v>3240</v>
      </c>
      <c r="H26" s="11">
        <v>-21102</v>
      </c>
      <c r="I26" s="11">
        <v>-2352</v>
      </c>
      <c r="J26" s="11">
        <v>3352</v>
      </c>
      <c r="K26" s="11">
        <f>-3557+12268</f>
        <v>8711</v>
      </c>
      <c r="L26" s="11">
        <f>-15547</f>
        <v>-15547</v>
      </c>
      <c r="M26" s="11">
        <v>-5836</v>
      </c>
      <c r="N26" s="11">
        <v>-768</v>
      </c>
    </row>
    <row r="27" spans="2:14" s="84" customFormat="1" x14ac:dyDescent="0.25">
      <c r="B27" s="82" t="s">
        <v>145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-1245</v>
      </c>
    </row>
    <row r="28" spans="2:14" s="83" customFormat="1" ht="15" thickBot="1" x14ac:dyDescent="0.3">
      <c r="B28" s="87" t="s">
        <v>146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-1476</v>
      </c>
    </row>
    <row r="29" spans="2:14" s="83" customFormat="1" ht="15" thickBot="1" x14ac:dyDescent="0.3">
      <c r="B29" s="85" t="s">
        <v>109</v>
      </c>
      <c r="C29" s="86">
        <f t="shared" ref="C29:N29" si="0">SUM(C4:C28)</f>
        <v>-974957</v>
      </c>
      <c r="D29" s="86">
        <f t="shared" si="0"/>
        <v>-458728</v>
      </c>
      <c r="E29" s="86">
        <f t="shared" si="0"/>
        <v>-268253</v>
      </c>
      <c r="F29" s="86">
        <f t="shared" si="0"/>
        <v>-287350</v>
      </c>
      <c r="G29" s="86">
        <f t="shared" si="0"/>
        <v>-73603</v>
      </c>
      <c r="H29" s="86">
        <f t="shared" si="0"/>
        <v>-1087934</v>
      </c>
      <c r="I29" s="86">
        <f t="shared" si="0"/>
        <v>-251743</v>
      </c>
      <c r="J29" s="86">
        <f t="shared" si="0"/>
        <v>-187608</v>
      </c>
      <c r="K29" s="86">
        <f t="shared" si="0"/>
        <v>-337023</v>
      </c>
      <c r="L29" s="86">
        <f t="shared" si="0"/>
        <v>-328148</v>
      </c>
      <c r="M29" s="86">
        <f t="shared" si="0"/>
        <v>-1104522</v>
      </c>
      <c r="N29" s="86">
        <f t="shared" si="0"/>
        <v>-209257</v>
      </c>
    </row>
    <row r="30" spans="2:14" x14ac:dyDescent="0.25">
      <c r="C30" s="42"/>
      <c r="E30" s="42"/>
      <c r="F30" s="42"/>
      <c r="J30" s="43"/>
      <c r="K30" s="43"/>
      <c r="L30" s="43"/>
      <c r="M30" s="43"/>
      <c r="N30" s="43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H29:M29 C2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ED79C-1A15-46A3-BB39-0A15DF9256B0}">
  <dimension ref="B1:XFD30"/>
  <sheetViews>
    <sheetView showGridLines="0" zoomScaleNormal="100" workbookViewId="0">
      <pane xSplit="2" ySplit="1" topLeftCell="I2" activePane="bottomRight" state="frozen"/>
      <selection activeCell="M14" sqref="M13:M14"/>
      <selection pane="topRight" activeCell="M14" sqref="M13:M14"/>
      <selection pane="bottomLeft" activeCell="M14" sqref="M13:M14"/>
      <selection pane="bottomRight"/>
    </sheetView>
  </sheetViews>
  <sheetFormatPr defaultColWidth="9.140625" defaultRowHeight="14.25" x14ac:dyDescent="0.2"/>
  <cols>
    <col min="1" max="1" width="1.42578125" style="2" customWidth="1"/>
    <col min="2" max="2" width="37.7109375" style="2" customWidth="1"/>
    <col min="3" max="7" width="16.7109375" style="2" customWidth="1"/>
    <col min="8" max="8" width="21.85546875" style="2" customWidth="1"/>
    <col min="9" max="18" width="11.28515625" style="2" customWidth="1"/>
    <col min="19" max="16384" width="9.140625" style="2"/>
  </cols>
  <sheetData>
    <row r="1" spans="2:16384" ht="54.75" customHeight="1" x14ac:dyDescent="0.2"/>
    <row r="2" spans="2:16384" ht="8.25" customHeight="1" x14ac:dyDescent="0.2"/>
    <row r="3" spans="2:16384" s="5" customFormat="1" ht="26.25" x14ac:dyDescent="0.25">
      <c r="B3" s="6" t="s">
        <v>110</v>
      </c>
      <c r="C3" s="44" t="s">
        <v>111</v>
      </c>
      <c r="D3" s="44" t="s">
        <v>112</v>
      </c>
      <c r="E3" s="44" t="s">
        <v>113</v>
      </c>
      <c r="F3" s="44" t="s">
        <v>114</v>
      </c>
      <c r="G3" s="44" t="s">
        <v>115</v>
      </c>
      <c r="H3" s="44" t="s">
        <v>116</v>
      </c>
      <c r="I3" s="44" t="s">
        <v>147</v>
      </c>
      <c r="J3" s="45"/>
      <c r="K3" s="45"/>
      <c r="L3" s="45"/>
      <c r="M3" s="45"/>
      <c r="N3" s="45"/>
      <c r="O3" s="45"/>
      <c r="P3" s="45"/>
      <c r="Q3" s="45"/>
      <c r="R3" s="45"/>
    </row>
    <row r="4" spans="2:16384" s="5" customFormat="1" x14ac:dyDescent="0.25">
      <c r="B4" s="8" t="s">
        <v>117</v>
      </c>
      <c r="C4" s="46">
        <v>2040</v>
      </c>
      <c r="D4" s="47">
        <v>54527</v>
      </c>
      <c r="E4" s="48">
        <v>10.199999999999999</v>
      </c>
      <c r="F4" s="16">
        <v>14</v>
      </c>
      <c r="G4" s="16">
        <v>1999</v>
      </c>
      <c r="H4" s="16" t="s">
        <v>150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  <c r="XFB4" s="16"/>
      <c r="XFC4" s="16"/>
      <c r="XFD4" s="16"/>
    </row>
    <row r="5" spans="2:16384" s="5" customFormat="1" x14ac:dyDescent="0.25">
      <c r="B5" s="10" t="s">
        <v>118</v>
      </c>
      <c r="C5" s="45">
        <v>177</v>
      </c>
      <c r="D5" s="49">
        <v>44448</v>
      </c>
      <c r="E5" s="70">
        <v>2.4</v>
      </c>
      <c r="F5" s="45">
        <v>2</v>
      </c>
      <c r="G5" s="20">
        <v>1978</v>
      </c>
      <c r="H5" s="15" t="s">
        <v>151</v>
      </c>
      <c r="I5" s="15" t="s">
        <v>149</v>
      </c>
      <c r="J5" s="45"/>
      <c r="K5" s="45"/>
      <c r="L5" s="45"/>
      <c r="M5" s="45"/>
      <c r="N5" s="45"/>
      <c r="O5" s="45"/>
      <c r="P5" s="45"/>
      <c r="Q5" s="45"/>
      <c r="R5" s="45"/>
    </row>
    <row r="6" spans="2:16384" s="5" customFormat="1" x14ac:dyDescent="0.25">
      <c r="B6" s="8" t="s">
        <v>119</v>
      </c>
      <c r="C6" s="46">
        <v>56</v>
      </c>
      <c r="D6" s="47">
        <v>44196</v>
      </c>
      <c r="E6" s="48">
        <v>1</v>
      </c>
      <c r="F6" s="46">
        <v>2</v>
      </c>
      <c r="G6" s="16">
        <v>1972</v>
      </c>
      <c r="H6" s="16" t="s">
        <v>152</v>
      </c>
      <c r="I6" s="16" t="s">
        <v>148</v>
      </c>
      <c r="J6" s="46"/>
      <c r="K6" s="46"/>
      <c r="L6" s="46"/>
      <c r="M6" s="46"/>
      <c r="N6" s="46"/>
      <c r="O6" s="46"/>
      <c r="P6" s="46"/>
      <c r="Q6" s="46"/>
      <c r="R6" s="46"/>
    </row>
    <row r="7" spans="2:16384" s="5" customFormat="1" x14ac:dyDescent="0.25">
      <c r="B7" s="8"/>
      <c r="C7" s="46"/>
      <c r="D7" s="16"/>
      <c r="E7" s="47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16384" s="5" customFormat="1" ht="15" thickBot="1" x14ac:dyDescent="0.3">
      <c r="B8" s="3" t="s">
        <v>120</v>
      </c>
      <c r="C8" s="71">
        <v>43831</v>
      </c>
      <c r="D8" s="71">
        <v>43862</v>
      </c>
      <c r="E8" s="71">
        <v>43891</v>
      </c>
      <c r="F8" s="71">
        <v>43922</v>
      </c>
      <c r="G8" s="71">
        <v>43952</v>
      </c>
      <c r="H8" s="71">
        <v>43983</v>
      </c>
      <c r="I8" s="71">
        <v>44013</v>
      </c>
      <c r="J8" s="71">
        <v>44044</v>
      </c>
      <c r="K8" s="71">
        <v>44075</v>
      </c>
      <c r="L8" s="71">
        <v>44105</v>
      </c>
      <c r="M8" s="71">
        <v>44136</v>
      </c>
      <c r="N8" s="71">
        <v>44166</v>
      </c>
      <c r="O8" s="4">
        <v>2020</v>
      </c>
      <c r="P8" s="71">
        <v>44197</v>
      </c>
      <c r="Q8" s="71">
        <v>44228</v>
      </c>
      <c r="R8" s="71">
        <v>44256</v>
      </c>
    </row>
    <row r="9" spans="2:16384" s="5" customFormat="1" x14ac:dyDescent="0.25">
      <c r="B9" s="50" t="s">
        <v>121</v>
      </c>
      <c r="C9" s="72">
        <v>0.86</v>
      </c>
      <c r="D9" s="72">
        <v>1.05</v>
      </c>
      <c r="E9" s="72">
        <v>1.24</v>
      </c>
      <c r="F9" s="72">
        <v>1.04</v>
      </c>
      <c r="G9" s="72">
        <v>0.96</v>
      </c>
      <c r="H9" s="72">
        <v>0.76</v>
      </c>
      <c r="I9" s="72">
        <v>0.69</v>
      </c>
      <c r="J9" s="72">
        <v>0.63</v>
      </c>
      <c r="K9" s="72">
        <v>0.66</v>
      </c>
      <c r="L9" s="72">
        <v>0.64</v>
      </c>
      <c r="M9" s="72">
        <v>0.69</v>
      </c>
      <c r="N9" s="72">
        <v>0.83</v>
      </c>
      <c r="O9" s="72">
        <v>0.81</v>
      </c>
      <c r="P9" s="72">
        <v>0.67</v>
      </c>
      <c r="Q9" s="72">
        <v>0.87</v>
      </c>
      <c r="R9" s="72">
        <v>1.1299999999999999</v>
      </c>
    </row>
    <row r="10" spans="2:16384" s="5" customFormat="1" x14ac:dyDescent="0.25">
      <c r="B10" s="8" t="s">
        <v>122</v>
      </c>
      <c r="C10" s="56">
        <v>998</v>
      </c>
      <c r="D10" s="56">
        <v>895</v>
      </c>
      <c r="E10" s="56">
        <v>746</v>
      </c>
      <c r="F10" s="56">
        <v>729</v>
      </c>
      <c r="G10" s="56">
        <v>751</v>
      </c>
      <c r="H10" s="56">
        <v>866</v>
      </c>
      <c r="I10" s="56">
        <v>956</v>
      </c>
      <c r="J10" s="56">
        <v>1027</v>
      </c>
      <c r="K10" s="56">
        <v>1058</v>
      </c>
      <c r="L10" s="56">
        <v>1033</v>
      </c>
      <c r="M10" s="56">
        <v>964</v>
      </c>
      <c r="N10" s="56">
        <v>903</v>
      </c>
      <c r="O10" s="56">
        <v>910</v>
      </c>
      <c r="P10" s="56">
        <v>1121</v>
      </c>
      <c r="Q10" s="56">
        <v>906</v>
      </c>
      <c r="R10" s="56">
        <v>767</v>
      </c>
      <c r="S10" s="51"/>
      <c r="T10" s="51"/>
      <c r="U10" s="51"/>
      <c r="V10" s="51"/>
      <c r="W10" s="51"/>
      <c r="X10" s="51"/>
    </row>
    <row r="11" spans="2:16384" s="5" customFormat="1" x14ac:dyDescent="0.25">
      <c r="B11" s="52" t="s">
        <v>123</v>
      </c>
      <c r="C11" s="54">
        <v>887</v>
      </c>
      <c r="D11" s="54">
        <v>950</v>
      </c>
      <c r="E11" s="54">
        <v>932</v>
      </c>
      <c r="F11" s="54">
        <v>812</v>
      </c>
      <c r="G11" s="54">
        <v>783</v>
      </c>
      <c r="H11" s="54">
        <v>725</v>
      </c>
      <c r="I11" s="54">
        <v>715</v>
      </c>
      <c r="J11" s="54">
        <v>703</v>
      </c>
      <c r="K11" s="54">
        <v>744</v>
      </c>
      <c r="L11" s="54">
        <v>716</v>
      </c>
      <c r="M11" s="54">
        <v>715</v>
      </c>
      <c r="N11" s="54">
        <v>799</v>
      </c>
      <c r="O11" s="54">
        <v>790</v>
      </c>
      <c r="P11" s="54">
        <v>798</v>
      </c>
      <c r="Q11" s="54">
        <v>809</v>
      </c>
      <c r="R11" s="54">
        <v>880</v>
      </c>
    </row>
    <row r="12" spans="2:16384" s="5" customFormat="1" x14ac:dyDescent="0.25">
      <c r="B12" s="13" t="s">
        <v>124</v>
      </c>
      <c r="C12" s="73">
        <v>-111</v>
      </c>
      <c r="D12" s="73">
        <v>55</v>
      </c>
      <c r="E12" s="73">
        <v>186</v>
      </c>
      <c r="F12" s="73">
        <v>83</v>
      </c>
      <c r="G12" s="73">
        <v>32</v>
      </c>
      <c r="H12" s="73">
        <v>-141</v>
      </c>
      <c r="I12" s="73">
        <v>-241</v>
      </c>
      <c r="J12" s="73">
        <v>-324</v>
      </c>
      <c r="K12" s="73">
        <v>-314</v>
      </c>
      <c r="L12" s="73">
        <v>-317</v>
      </c>
      <c r="M12" s="73">
        <v>-249</v>
      </c>
      <c r="N12" s="73">
        <v>-104</v>
      </c>
      <c r="O12" s="73">
        <v>-120</v>
      </c>
      <c r="P12" s="73">
        <v>323</v>
      </c>
      <c r="Q12" s="73">
        <v>97</v>
      </c>
      <c r="R12" s="73">
        <v>-113</v>
      </c>
    </row>
    <row r="13" spans="2:16384" s="5" customFormat="1" x14ac:dyDescent="0.25">
      <c r="B13" s="52" t="s">
        <v>125</v>
      </c>
      <c r="C13" s="54">
        <v>1090</v>
      </c>
      <c r="D13" s="54">
        <v>1096</v>
      </c>
      <c r="E13" s="54">
        <v>1102</v>
      </c>
      <c r="F13" s="54">
        <v>1095</v>
      </c>
      <c r="G13" s="54">
        <v>1150</v>
      </c>
      <c r="H13" s="54">
        <v>1171</v>
      </c>
      <c r="I13" s="54">
        <v>1177</v>
      </c>
      <c r="J13" s="54">
        <v>1018</v>
      </c>
      <c r="K13" s="54">
        <v>1040</v>
      </c>
      <c r="L13" s="54">
        <v>1068</v>
      </c>
      <c r="M13" s="54">
        <v>1067</v>
      </c>
      <c r="N13" s="54">
        <v>1128</v>
      </c>
      <c r="O13" s="54">
        <v>1100</v>
      </c>
      <c r="P13" s="54">
        <v>1200</v>
      </c>
      <c r="Q13" s="54">
        <v>1152</v>
      </c>
      <c r="R13" s="54">
        <v>1208</v>
      </c>
    </row>
    <row r="14" spans="2:16384" s="5" customFormat="1" x14ac:dyDescent="0.25">
      <c r="B14" s="13" t="s">
        <v>126</v>
      </c>
      <c r="C14" s="73">
        <v>203</v>
      </c>
      <c r="D14" s="73">
        <v>146</v>
      </c>
      <c r="E14" s="73">
        <v>170</v>
      </c>
      <c r="F14" s="73">
        <v>283</v>
      </c>
      <c r="G14" s="73">
        <v>367</v>
      </c>
      <c r="H14" s="73">
        <v>446</v>
      </c>
      <c r="I14" s="73">
        <v>462</v>
      </c>
      <c r="J14" s="73">
        <v>315</v>
      </c>
      <c r="K14" s="73">
        <v>296</v>
      </c>
      <c r="L14" s="73">
        <v>352</v>
      </c>
      <c r="M14" s="73">
        <v>352</v>
      </c>
      <c r="N14" s="73">
        <v>329</v>
      </c>
      <c r="O14" s="73">
        <v>310</v>
      </c>
      <c r="P14" s="73">
        <f>P13-P11</f>
        <v>402</v>
      </c>
      <c r="Q14" s="73">
        <f t="shared" ref="Q14:R14" si="0">Q13-Q11</f>
        <v>343</v>
      </c>
      <c r="R14" s="73">
        <f t="shared" si="0"/>
        <v>328</v>
      </c>
    </row>
    <row r="15" spans="2:16384" s="5" customFormat="1" x14ac:dyDescent="0.25">
      <c r="B15" s="52" t="s">
        <v>127</v>
      </c>
      <c r="C15" s="54">
        <v>1090</v>
      </c>
      <c r="D15" s="54">
        <v>1096</v>
      </c>
      <c r="E15" s="54">
        <v>1102</v>
      </c>
      <c r="F15" s="54">
        <v>1095</v>
      </c>
      <c r="G15" s="54">
        <v>1150</v>
      </c>
      <c r="H15" s="54">
        <v>1171</v>
      </c>
      <c r="I15" s="54">
        <v>1177</v>
      </c>
      <c r="J15" s="54">
        <v>1018</v>
      </c>
      <c r="K15" s="54">
        <v>1040</v>
      </c>
      <c r="L15" s="54">
        <v>1068</v>
      </c>
      <c r="M15" s="54">
        <v>1067</v>
      </c>
      <c r="N15" s="54">
        <v>1128</v>
      </c>
      <c r="O15" s="54">
        <v>1100</v>
      </c>
      <c r="P15" s="54">
        <f>P13</f>
        <v>1200</v>
      </c>
      <c r="Q15" s="54">
        <f t="shared" ref="Q15:R15" si="1">Q13</f>
        <v>1152</v>
      </c>
      <c r="R15" s="54">
        <f t="shared" si="1"/>
        <v>1208</v>
      </c>
    </row>
    <row r="16" spans="2:16384" s="5" customFormat="1" x14ac:dyDescent="0.25">
      <c r="B16" s="8" t="s">
        <v>89</v>
      </c>
      <c r="C16" s="56">
        <v>209</v>
      </c>
      <c r="D16" s="56">
        <v>153</v>
      </c>
      <c r="E16" s="56">
        <v>153</v>
      </c>
      <c r="F16" s="56">
        <v>213</v>
      </c>
      <c r="G16" s="56">
        <v>212</v>
      </c>
      <c r="H16" s="56">
        <v>254</v>
      </c>
      <c r="I16" s="56">
        <v>353</v>
      </c>
      <c r="J16" s="56">
        <v>353</v>
      </c>
      <c r="K16" s="56">
        <v>358</v>
      </c>
      <c r="L16" s="56">
        <v>323</v>
      </c>
      <c r="M16" s="56">
        <v>323</v>
      </c>
      <c r="N16" s="56">
        <v>293</v>
      </c>
      <c r="O16" s="56">
        <v>267</v>
      </c>
      <c r="P16" s="56">
        <v>403</v>
      </c>
      <c r="Q16" s="56">
        <v>343</v>
      </c>
      <c r="R16" s="56">
        <v>327</v>
      </c>
    </row>
    <row r="17" spans="2:18" s="5" customFormat="1" x14ac:dyDescent="0.25">
      <c r="B17" s="53" t="s">
        <v>128</v>
      </c>
      <c r="C17" s="74">
        <v>235</v>
      </c>
      <c r="D17" s="74">
        <v>211</v>
      </c>
      <c r="E17" s="74">
        <v>211</v>
      </c>
      <c r="F17" s="74">
        <v>209</v>
      </c>
      <c r="G17" s="74">
        <v>209</v>
      </c>
      <c r="H17" s="74">
        <v>203</v>
      </c>
      <c r="I17" s="74">
        <v>213</v>
      </c>
      <c r="J17" s="74">
        <v>213</v>
      </c>
      <c r="K17" s="74">
        <v>212</v>
      </c>
      <c r="L17" s="74">
        <v>212</v>
      </c>
      <c r="M17" s="74">
        <v>212</v>
      </c>
      <c r="N17" s="74">
        <v>213</v>
      </c>
      <c r="O17" s="74">
        <v>213</v>
      </c>
      <c r="P17" s="74">
        <v>215</v>
      </c>
      <c r="Q17" s="74">
        <v>202</v>
      </c>
      <c r="R17" s="74">
        <v>205</v>
      </c>
    </row>
    <row r="18" spans="2:18" s="5" customFormat="1" x14ac:dyDescent="0.25">
      <c r="B18" s="8" t="s">
        <v>129</v>
      </c>
      <c r="C18" s="56">
        <v>1096</v>
      </c>
      <c r="D18" s="56">
        <v>1103</v>
      </c>
      <c r="E18" s="56">
        <v>1085</v>
      </c>
      <c r="F18" s="56">
        <v>1025</v>
      </c>
      <c r="G18" s="56">
        <v>995</v>
      </c>
      <c r="H18" s="56">
        <v>979</v>
      </c>
      <c r="I18" s="56">
        <v>1068</v>
      </c>
      <c r="J18" s="56">
        <v>1056</v>
      </c>
      <c r="K18" s="56">
        <v>1102</v>
      </c>
      <c r="L18" s="56">
        <v>1039</v>
      </c>
      <c r="M18" s="56">
        <v>1038</v>
      </c>
      <c r="N18" s="56">
        <v>1092</v>
      </c>
      <c r="O18" s="56">
        <v>1057</v>
      </c>
      <c r="P18" s="56">
        <f>P15+P16-P14</f>
        <v>1201</v>
      </c>
      <c r="Q18" s="56">
        <f t="shared" ref="Q18:R18" si="2">Q15+Q16-Q14</f>
        <v>1152</v>
      </c>
      <c r="R18" s="56">
        <f t="shared" si="2"/>
        <v>1207</v>
      </c>
    </row>
    <row r="19" spans="2:18" s="5" customFormat="1" x14ac:dyDescent="0.25">
      <c r="B19" s="52" t="s">
        <v>126</v>
      </c>
      <c r="C19" s="54">
        <v>-6</v>
      </c>
      <c r="D19" s="54">
        <v>-7</v>
      </c>
      <c r="E19" s="54">
        <v>17</v>
      </c>
      <c r="F19" s="54">
        <v>70</v>
      </c>
      <c r="G19" s="54">
        <v>155</v>
      </c>
      <c r="H19" s="54">
        <v>193</v>
      </c>
      <c r="I19" s="54">
        <v>109</v>
      </c>
      <c r="J19" s="54">
        <v>-38</v>
      </c>
      <c r="K19" s="54">
        <v>-63</v>
      </c>
      <c r="L19" s="54">
        <v>29</v>
      </c>
      <c r="M19" s="54">
        <v>29</v>
      </c>
      <c r="N19" s="54">
        <v>37</v>
      </c>
      <c r="O19" s="54">
        <v>44</v>
      </c>
      <c r="P19" s="54">
        <f>P15-P18</f>
        <v>-1</v>
      </c>
      <c r="Q19" s="54">
        <f t="shared" ref="Q19:R19" si="3">Q15-Q18</f>
        <v>0</v>
      </c>
      <c r="R19" s="54">
        <f t="shared" si="3"/>
        <v>1</v>
      </c>
    </row>
    <row r="20" spans="2:18" s="5" customFormat="1" x14ac:dyDescent="0.25">
      <c r="B20" s="8"/>
      <c r="C20" s="46"/>
      <c r="D20" s="16"/>
      <c r="E20" s="47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2:18" s="5" customFormat="1" ht="21.95" customHeight="1" thickBot="1" x14ac:dyDescent="0.3">
      <c r="B21" s="3"/>
      <c r="C21" s="4" t="s">
        <v>130</v>
      </c>
      <c r="D21" s="4" t="s">
        <v>131</v>
      </c>
      <c r="E21" s="4" t="s">
        <v>132</v>
      </c>
      <c r="F21" s="4" t="s">
        <v>133</v>
      </c>
      <c r="G21" s="4">
        <v>2018</v>
      </c>
      <c r="H21" s="4" t="s">
        <v>2</v>
      </c>
      <c r="I21" s="4" t="s">
        <v>3</v>
      </c>
      <c r="J21" s="4" t="s">
        <v>4</v>
      </c>
      <c r="K21" s="4" t="s">
        <v>5</v>
      </c>
      <c r="L21" s="4" t="s">
        <v>6</v>
      </c>
      <c r="M21" s="4" t="s">
        <v>7</v>
      </c>
      <c r="N21" s="4" t="s">
        <v>8</v>
      </c>
      <c r="O21" s="4" t="s">
        <v>9</v>
      </c>
      <c r="P21" s="4" t="s">
        <v>139</v>
      </c>
      <c r="Q21" s="75"/>
      <c r="R21" s="75"/>
    </row>
    <row r="22" spans="2:18" x14ac:dyDescent="0.2">
      <c r="B22" s="6" t="s">
        <v>134</v>
      </c>
      <c r="C22" s="54"/>
      <c r="D22" s="54"/>
      <c r="E22" s="54"/>
      <c r="F22" s="54"/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76"/>
      <c r="R22" s="76"/>
    </row>
    <row r="23" spans="2:18" s="5" customFormat="1" x14ac:dyDescent="0.25">
      <c r="B23" s="8" t="s">
        <v>117</v>
      </c>
      <c r="C23" s="56">
        <v>1540</v>
      </c>
      <c r="D23" s="56">
        <v>1540</v>
      </c>
      <c r="E23" s="56">
        <v>1540</v>
      </c>
      <c r="F23" s="56">
        <v>1540</v>
      </c>
      <c r="G23" s="56">
        <v>1540</v>
      </c>
      <c r="H23" s="56">
        <v>1540</v>
      </c>
      <c r="I23" s="56">
        <v>1540</v>
      </c>
      <c r="J23" s="56">
        <v>1540</v>
      </c>
      <c r="K23" s="56">
        <v>1540</v>
      </c>
      <c r="L23" s="56">
        <v>1540</v>
      </c>
      <c r="M23" s="56">
        <v>1540</v>
      </c>
      <c r="N23" s="56">
        <v>1540</v>
      </c>
      <c r="O23" s="56">
        <v>1540</v>
      </c>
      <c r="P23" s="56">
        <f>O23</f>
        <v>1540</v>
      </c>
      <c r="Q23" s="77"/>
      <c r="R23" s="77"/>
    </row>
    <row r="24" spans="2:18" s="5" customFormat="1" x14ac:dyDescent="0.25">
      <c r="B24" s="10" t="s">
        <v>118</v>
      </c>
      <c r="C24" s="54">
        <v>87</v>
      </c>
      <c r="D24" s="54">
        <v>87</v>
      </c>
      <c r="E24" s="54">
        <v>87</v>
      </c>
      <c r="F24" s="54">
        <v>87</v>
      </c>
      <c r="G24" s="54">
        <v>87</v>
      </c>
      <c r="H24" s="54">
        <v>87</v>
      </c>
      <c r="I24" s="54">
        <v>87</v>
      </c>
      <c r="J24" s="54">
        <v>87</v>
      </c>
      <c r="K24" s="54">
        <v>87</v>
      </c>
      <c r="L24" s="54">
        <v>87</v>
      </c>
      <c r="M24" s="54">
        <v>87</v>
      </c>
      <c r="N24" s="54">
        <v>87</v>
      </c>
      <c r="O24" s="54">
        <v>87</v>
      </c>
      <c r="P24" s="54">
        <f>O24</f>
        <v>87</v>
      </c>
      <c r="Q24" s="77"/>
      <c r="R24" s="77"/>
    </row>
    <row r="25" spans="2:18" s="5" customFormat="1" x14ac:dyDescent="0.25">
      <c r="B25" s="8" t="s">
        <v>119</v>
      </c>
      <c r="C25" s="56">
        <v>28</v>
      </c>
      <c r="D25" s="56">
        <v>28</v>
      </c>
      <c r="E25" s="56">
        <v>28</v>
      </c>
      <c r="F25" s="56">
        <v>28</v>
      </c>
      <c r="G25" s="56">
        <v>28</v>
      </c>
      <c r="H25" s="56">
        <v>28</v>
      </c>
      <c r="I25" s="56">
        <v>28</v>
      </c>
      <c r="J25" s="56">
        <v>28</v>
      </c>
      <c r="K25" s="56">
        <v>28</v>
      </c>
      <c r="L25" s="56">
        <v>28</v>
      </c>
      <c r="M25" s="56">
        <v>28</v>
      </c>
      <c r="N25" s="56">
        <v>28</v>
      </c>
      <c r="O25" s="56">
        <v>28</v>
      </c>
      <c r="P25" s="57" t="s">
        <v>143</v>
      </c>
      <c r="Q25" s="76"/>
      <c r="R25" s="76"/>
    </row>
    <row r="26" spans="2:18" s="5" customFormat="1" x14ac:dyDescent="0.25">
      <c r="B26" s="6" t="s">
        <v>135</v>
      </c>
      <c r="C26" s="54"/>
      <c r="D26" s="54"/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6"/>
      <c r="R26" s="76"/>
    </row>
    <row r="27" spans="2:18" s="5" customFormat="1" x14ac:dyDescent="0.25">
      <c r="B27" s="8" t="s">
        <v>117</v>
      </c>
      <c r="C27" s="56">
        <v>941.8</v>
      </c>
      <c r="D27" s="56">
        <v>941.8</v>
      </c>
      <c r="E27" s="57">
        <v>887</v>
      </c>
      <c r="F27" s="57">
        <v>887</v>
      </c>
      <c r="G27" s="57">
        <v>887</v>
      </c>
      <c r="H27" s="57">
        <v>887</v>
      </c>
      <c r="I27" s="57">
        <v>887</v>
      </c>
      <c r="J27" s="57">
        <v>887</v>
      </c>
      <c r="K27" s="57">
        <v>887</v>
      </c>
      <c r="L27" s="57">
        <v>887</v>
      </c>
      <c r="M27" s="57">
        <v>887</v>
      </c>
      <c r="N27" s="57">
        <v>887</v>
      </c>
      <c r="O27" s="57">
        <v>887</v>
      </c>
      <c r="P27" s="57">
        <f>O27</f>
        <v>887</v>
      </c>
      <c r="Q27" s="76"/>
      <c r="R27" s="76"/>
    </row>
    <row r="28" spans="2:18" s="5" customFormat="1" x14ac:dyDescent="0.25">
      <c r="B28" s="10" t="s">
        <v>118</v>
      </c>
      <c r="C28" s="54">
        <v>48</v>
      </c>
      <c r="D28" s="54">
        <v>48</v>
      </c>
      <c r="E28" s="55">
        <v>48</v>
      </c>
      <c r="F28" s="55">
        <v>48</v>
      </c>
      <c r="G28" s="55">
        <v>48</v>
      </c>
      <c r="H28" s="55">
        <v>48</v>
      </c>
      <c r="I28" s="55">
        <v>48</v>
      </c>
      <c r="J28" s="55">
        <v>48</v>
      </c>
      <c r="K28" s="55">
        <v>48</v>
      </c>
      <c r="L28" s="55">
        <v>48</v>
      </c>
      <c r="M28" s="55">
        <v>48</v>
      </c>
      <c r="N28" s="55">
        <v>48</v>
      </c>
      <c r="O28" s="55">
        <v>48</v>
      </c>
      <c r="P28" s="55">
        <f>O28</f>
        <v>48</v>
      </c>
      <c r="Q28" s="76"/>
      <c r="R28" s="76"/>
    </row>
    <row r="29" spans="2:18" s="5" customFormat="1" x14ac:dyDescent="0.25">
      <c r="B29" s="8" t="s">
        <v>119</v>
      </c>
      <c r="C29" s="57">
        <v>13</v>
      </c>
      <c r="D29" s="57">
        <v>13</v>
      </c>
      <c r="E29" s="57">
        <v>13</v>
      </c>
      <c r="F29" s="57">
        <v>13</v>
      </c>
      <c r="G29" s="57">
        <v>13</v>
      </c>
      <c r="H29" s="57">
        <v>13</v>
      </c>
      <c r="I29" s="57">
        <v>13</v>
      </c>
      <c r="J29" s="57">
        <v>13</v>
      </c>
      <c r="K29" s="57">
        <v>13</v>
      </c>
      <c r="L29" s="57">
        <v>13</v>
      </c>
      <c r="M29" s="57">
        <v>13</v>
      </c>
      <c r="N29" s="57">
        <v>13</v>
      </c>
      <c r="O29" s="57">
        <v>13</v>
      </c>
      <c r="P29" s="57" t="s">
        <v>143</v>
      </c>
      <c r="Q29" s="76"/>
      <c r="R29" s="76"/>
    </row>
    <row r="30" spans="2:18" x14ac:dyDescent="0.2">
      <c r="B30" s="58" t="s">
        <v>136</v>
      </c>
      <c r="C30" s="59">
        <v>0.93700000000000006</v>
      </c>
      <c r="D30" s="59">
        <v>0.93799999999999994</v>
      </c>
      <c r="E30" s="59">
        <v>0.93700000000000006</v>
      </c>
      <c r="F30" s="59">
        <v>0.93700000000000006</v>
      </c>
      <c r="G30" s="59">
        <v>0.93700000000000006</v>
      </c>
      <c r="H30" s="59">
        <v>0.93799999999999994</v>
      </c>
      <c r="I30" s="59">
        <v>0.93899999999999995</v>
      </c>
      <c r="J30" s="59">
        <v>0.94</v>
      </c>
      <c r="K30" s="59">
        <v>0.93899999999999995</v>
      </c>
      <c r="L30" s="59">
        <v>0.94099999999999995</v>
      </c>
      <c r="M30" s="59">
        <v>0.94499999999999995</v>
      </c>
      <c r="N30" s="59">
        <v>0.95</v>
      </c>
      <c r="O30" s="59">
        <v>0.95699999999999996</v>
      </c>
      <c r="P30" s="59">
        <v>0.95799999999999996</v>
      </c>
      <c r="Q30" s="78"/>
      <c r="R30" s="78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Cover</vt:lpstr>
      <vt:lpstr>Resultados</vt:lpstr>
      <vt:lpstr>Fluxo de Caixa</vt:lpstr>
      <vt:lpstr>Balanço Patrimonial</vt:lpstr>
      <vt:lpstr>Custos e Despesas</vt:lpstr>
      <vt:lpstr>Dados Operacionais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De Luiz Cesari</dc:creator>
  <cp:lastModifiedBy>Lais Lobão</cp:lastModifiedBy>
  <dcterms:created xsi:type="dcterms:W3CDTF">2021-02-23T14:20:39Z</dcterms:created>
  <dcterms:modified xsi:type="dcterms:W3CDTF">2021-06-22T16:52:25Z</dcterms:modified>
</cp:coreProperties>
</file>