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F:\FIN\F\Fi\8. Divulgação de Resultados\2021\3T21\11. Planilha Interativa Website\"/>
    </mc:Choice>
  </mc:AlternateContent>
  <xr:revisionPtr revIDLastSave="0" documentId="13_ncr:1_{B1A39F0A-507A-4B6E-AEB2-CCFB0124C417}" xr6:coauthVersionLast="47" xr6:coauthVersionMax="47" xr10:uidLastSave="{00000000-0000-0000-0000-000000000000}"/>
  <bookViews>
    <workbookView xWindow="20370" yWindow="-3765" windowWidth="29040" windowHeight="15840" tabRatio="1000" xr2:uid="{C989D257-D0D6-4F8E-BB50-1BB580E4F9C6}"/>
  </bookViews>
  <sheets>
    <sheet name="Home" sheetId="1" r:id="rId1"/>
    <sheet name="Resultados" sheetId="2" r:id="rId2"/>
    <sheet name="Fluxo de Caixa" sheetId="7" r:id="rId3"/>
    <sheet name="Balanço Patrimonial" sheetId="4" r:id="rId4"/>
    <sheet name="Custos e Despesas" sheetId="5" r:id="rId5"/>
    <sheet name="Endividamento" sheetId="16" r:id="rId6"/>
    <sheet name="Operação" sheetId="6" r:id="rId7"/>
    <sheet name="Balanço Energético" sheetId="9" r:id="rId8"/>
    <sheet name="Portfólio de Energia" sheetId="18" r:id="rId9"/>
    <sheet name="Contencioso Passivo" sheetId="15" r:id="rId10"/>
    <sheet name="Dividendos" sheetId="14" r:id="rId11"/>
  </sheets>
  <definedNames>
    <definedName name="_xlnm._FilterDatabase" localSheetId="9" hidden="1">'Contencioso Passivo'!$A$3:$H$4</definedName>
    <definedName name="_xlnm._FilterDatabase" localSheetId="4" hidden="1">'Custos e Despesas'!$A$3:$J$30</definedName>
    <definedName name="_xlnm._FilterDatabase" localSheetId="5" hidden="1">Endividamento!$A$3:$I$4</definedName>
    <definedName name="_xlnm._FilterDatabase" localSheetId="8" hidden="1">'Portfólio de Energia'!$A$3:$F$4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8" l="1"/>
  <c r="E13" i="18"/>
  <c r="D13" i="18"/>
  <c r="C13" i="18"/>
  <c r="B13" i="18"/>
  <c r="J8" i="15"/>
  <c r="H8" i="15"/>
  <c r="N30" i="5" l="1"/>
  <c r="M30" i="5"/>
  <c r="L30" i="5"/>
  <c r="K30" i="5"/>
  <c r="J30" i="5"/>
  <c r="I30" i="5"/>
  <c r="H30" i="5"/>
  <c r="G30" i="5"/>
  <c r="F30" i="5"/>
  <c r="E30" i="5"/>
  <c r="D30" i="5"/>
  <c r="C30" i="5"/>
  <c r="B30" i="5"/>
  <c r="I54" i="4"/>
  <c r="H54" i="4"/>
  <c r="G54" i="4"/>
  <c r="F54" i="4"/>
  <c r="E54" i="4"/>
  <c r="D54" i="4"/>
  <c r="C54" i="4"/>
  <c r="B54" i="4"/>
  <c r="J54" i="4"/>
  <c r="K54" i="4"/>
  <c r="M54" i="4" l="1"/>
  <c r="L54" i="4"/>
  <c r="O30" i="5" l="1"/>
  <c r="J6" i="15" l="1"/>
  <c r="J5" i="15"/>
  <c r="J4" i="15"/>
  <c r="J21" i="15"/>
  <c r="J20" i="15"/>
  <c r="J19" i="15"/>
  <c r="J18" i="15"/>
  <c r="J17" i="15"/>
  <c r="J16" i="15"/>
  <c r="J12" i="15"/>
  <c r="J11" i="15"/>
  <c r="J10" i="15"/>
  <c r="J15" i="15" s="1"/>
  <c r="J24" i="15" s="1"/>
  <c r="I10" i="15"/>
  <c r="I15" i="15" s="1"/>
  <c r="I24" i="15" s="1"/>
  <c r="I22" i="15"/>
  <c r="J22" i="15" s="1"/>
  <c r="I13" i="15"/>
  <c r="I7" i="15"/>
  <c r="J7" i="15" s="1"/>
  <c r="O23" i="6"/>
  <c r="O15" i="6"/>
  <c r="O14" i="6"/>
  <c r="O11" i="6"/>
  <c r="O10" i="6"/>
  <c r="H17" i="16"/>
  <c r="H7" i="16"/>
  <c r="H11" i="16" s="1"/>
  <c r="L41" i="4"/>
  <c r="L28" i="4"/>
  <c r="L12" i="4"/>
  <c r="L4" i="4"/>
  <c r="O19" i="7"/>
  <c r="N8" i="7"/>
  <c r="N10" i="7" s="1"/>
  <c r="N18" i="7" s="1"/>
  <c r="N27" i="2"/>
  <c r="N11" i="2"/>
  <c r="N4" i="2"/>
  <c r="Y42" i="9"/>
  <c r="V42" i="9"/>
  <c r="S42" i="9"/>
  <c r="P42" i="9"/>
  <c r="L42" i="9"/>
  <c r="I42" i="9"/>
  <c r="F42" i="9"/>
  <c r="C42" i="9"/>
  <c r="L52" i="4" l="1"/>
  <c r="L62" i="4" s="1"/>
  <c r="N19" i="2"/>
  <c r="N21" i="2" s="1"/>
  <c r="N23" i="2" s="1"/>
  <c r="L26" i="4"/>
  <c r="H10" i="16"/>
  <c r="N28" i="2"/>
  <c r="N30" i="2" s="1"/>
  <c r="AA39" i="9"/>
  <c r="G8" i="15"/>
  <c r="C8" i="15"/>
  <c r="D8" i="15"/>
  <c r="E8" i="15"/>
  <c r="B8" i="15"/>
  <c r="O8" i="7"/>
  <c r="O10" i="7" s="1"/>
  <c r="M41" i="4" l="1"/>
  <c r="M28" i="4"/>
  <c r="M12" i="4"/>
  <c r="M4" i="4"/>
  <c r="O18" i="7"/>
  <c r="M52" i="4" l="1"/>
  <c r="M62" i="4"/>
  <c r="M26" i="4"/>
  <c r="O27" i="2" l="1"/>
  <c r="O11" i="2"/>
  <c r="O4" i="2"/>
  <c r="O19" i="2" l="1"/>
  <c r="O21" i="2" s="1"/>
  <c r="O23" i="2" s="1"/>
  <c r="O28" i="2" s="1"/>
  <c r="O30" i="2" s="1"/>
  <c r="B32" i="18"/>
  <c r="D5" i="18" l="1"/>
  <c r="E4" i="18"/>
  <c r="F4" i="18" s="1"/>
  <c r="F5" i="18" s="1"/>
  <c r="C4" i="18"/>
  <c r="C5" i="18" s="1"/>
  <c r="B4" i="18"/>
  <c r="B5" i="18" s="1"/>
  <c r="E5" i="18" l="1"/>
  <c r="F23" i="18"/>
  <c r="E23" i="18"/>
  <c r="D23" i="18"/>
  <c r="C23" i="18"/>
  <c r="B23" i="18"/>
  <c r="F11" i="18"/>
  <c r="E11" i="18"/>
  <c r="D11" i="18"/>
  <c r="C11" i="18"/>
  <c r="B11" i="18"/>
  <c r="F19" i="16" l="1"/>
  <c r="D29" i="16" l="1"/>
  <c r="F16" i="16"/>
  <c r="F15" i="16"/>
  <c r="C17" i="16"/>
  <c r="D17" i="16"/>
  <c r="E17" i="16"/>
  <c r="G17" i="16"/>
  <c r="I17" i="16"/>
  <c r="B17" i="16"/>
  <c r="F9" i="16"/>
  <c r="F8" i="16"/>
  <c r="F6" i="16"/>
  <c r="F5" i="16"/>
  <c r="F4" i="16"/>
  <c r="I7" i="16"/>
  <c r="I11" i="16" s="1"/>
  <c r="G7" i="16"/>
  <c r="G10" i="16" s="1"/>
  <c r="E7" i="16"/>
  <c r="E11" i="16" s="1"/>
  <c r="D7" i="16"/>
  <c r="D11" i="16" s="1"/>
  <c r="C7" i="16"/>
  <c r="C10" i="16" s="1"/>
  <c r="B7" i="16"/>
  <c r="B10" i="16" s="1"/>
  <c r="F17" i="16" l="1"/>
  <c r="F7" i="16"/>
  <c r="F10" i="16" s="1"/>
  <c r="I10" i="16"/>
  <c r="D10" i="16"/>
  <c r="G11" i="16"/>
  <c r="E10" i="16"/>
  <c r="C11" i="16"/>
  <c r="B11" i="16"/>
  <c r="F11" i="16" l="1"/>
  <c r="F8" i="15" l="1"/>
  <c r="F21" i="15" l="1"/>
  <c r="F20" i="15"/>
  <c r="F19" i="15"/>
  <c r="F18" i="15"/>
  <c r="F17" i="15"/>
  <c r="F16" i="15"/>
  <c r="F12" i="15"/>
  <c r="F11" i="15"/>
  <c r="F6" i="15"/>
  <c r="F5" i="15"/>
  <c r="F4" i="15"/>
  <c r="F13" i="15" l="1"/>
  <c r="H13" i="15"/>
  <c r="G13" i="15"/>
  <c r="J13" i="15" s="1"/>
  <c r="E13" i="15"/>
  <c r="D13" i="15"/>
  <c r="C13" i="15"/>
  <c r="B13" i="15"/>
  <c r="H22" i="15" l="1"/>
  <c r="G22" i="15"/>
  <c r="G30" i="15" s="1"/>
  <c r="E22" i="15"/>
  <c r="D22" i="15"/>
  <c r="D29" i="15" s="1"/>
  <c r="C22" i="15"/>
  <c r="C30" i="15" s="1"/>
  <c r="B22" i="15"/>
  <c r="B26" i="15" s="1"/>
  <c r="H7" i="15"/>
  <c r="G7" i="15"/>
  <c r="E7" i="15"/>
  <c r="F7" i="15" s="1"/>
  <c r="D7" i="15"/>
  <c r="C7" i="15"/>
  <c r="B7" i="15"/>
  <c r="I28" i="15" l="1"/>
  <c r="I27" i="15"/>
  <c r="I30" i="15"/>
  <c r="I26" i="15"/>
  <c r="I29" i="15"/>
  <c r="I25" i="15"/>
  <c r="H29" i="15"/>
  <c r="E30" i="15"/>
  <c r="F22" i="15"/>
  <c r="E28" i="15"/>
  <c r="E29" i="15"/>
  <c r="D30" i="15"/>
  <c r="D25" i="15"/>
  <c r="G27" i="15"/>
  <c r="C26" i="15"/>
  <c r="B29" i="15"/>
  <c r="G29" i="15"/>
  <c r="C29" i="15"/>
  <c r="B30" i="15"/>
  <c r="H26" i="15"/>
  <c r="H30" i="15"/>
  <c r="B28" i="15"/>
  <c r="E26" i="15"/>
  <c r="E25" i="15"/>
  <c r="G28" i="15"/>
  <c r="G25" i="15"/>
  <c r="B27" i="15"/>
  <c r="D26" i="15"/>
  <c r="C27" i="15"/>
  <c r="D27" i="15"/>
  <c r="H28" i="15"/>
  <c r="B25" i="15"/>
  <c r="C25" i="15"/>
  <c r="H25" i="15"/>
  <c r="G26" i="15"/>
  <c r="E27" i="15"/>
  <c r="D28" i="15"/>
  <c r="H27" i="15"/>
  <c r="C28" i="15"/>
  <c r="I31" i="15" l="1"/>
  <c r="B31" i="15"/>
  <c r="J31" i="15"/>
  <c r="J28" i="15"/>
  <c r="J26" i="15"/>
  <c r="J29" i="15"/>
  <c r="J30" i="15"/>
  <c r="J25" i="15"/>
  <c r="J27" i="15"/>
  <c r="C31" i="15"/>
  <c r="D31" i="15"/>
  <c r="E31" i="15"/>
  <c r="F25" i="15"/>
  <c r="F31" i="15"/>
  <c r="F27" i="15"/>
  <c r="F29" i="15"/>
  <c r="F30" i="15"/>
  <c r="F26" i="15"/>
  <c r="F28" i="15"/>
  <c r="G31" i="15"/>
  <c r="H31" i="15"/>
  <c r="H11" i="14" l="1"/>
  <c r="G11" i="14"/>
  <c r="F11" i="14"/>
  <c r="F14" i="14"/>
  <c r="H24" i="14"/>
  <c r="G24" i="14"/>
  <c r="F24" i="14"/>
  <c r="E24" i="14"/>
  <c r="H7" i="14"/>
  <c r="G7" i="14"/>
  <c r="F7" i="14"/>
  <c r="H62" i="14" l="1"/>
  <c r="G62" i="14"/>
  <c r="F62" i="14"/>
  <c r="E62" i="14"/>
  <c r="E7" i="14" l="1"/>
  <c r="E11" i="14"/>
  <c r="H58" i="14"/>
  <c r="G58" i="14"/>
  <c r="F58" i="14"/>
  <c r="E58" i="14"/>
  <c r="M54" i="14" s="1"/>
  <c r="H52" i="14"/>
  <c r="G52" i="14"/>
  <c r="F52" i="14"/>
  <c r="E52" i="14"/>
  <c r="M48" i="14" s="1"/>
  <c r="H46" i="14"/>
  <c r="G46" i="14"/>
  <c r="F46" i="14"/>
  <c r="E46" i="14"/>
  <c r="M42" i="14" s="1"/>
  <c r="H40" i="14"/>
  <c r="G40" i="14"/>
  <c r="F40" i="14"/>
  <c r="E40" i="14"/>
  <c r="M37" i="14" s="1"/>
  <c r="H35" i="14"/>
  <c r="G35" i="14"/>
  <c r="F35" i="14"/>
  <c r="E35" i="14"/>
  <c r="H29" i="14"/>
  <c r="G29" i="14"/>
  <c r="F29" i="14"/>
  <c r="E29" i="14"/>
  <c r="M26" i="14" s="1"/>
  <c r="H21" i="14"/>
  <c r="G21" i="14"/>
  <c r="F21" i="14"/>
  <c r="E21" i="14"/>
  <c r="M19" i="14" s="1"/>
  <c r="H17" i="14"/>
  <c r="G17" i="14"/>
  <c r="F17" i="14"/>
  <c r="E17" i="14"/>
  <c r="H14" i="14"/>
  <c r="G14" i="14"/>
  <c r="E14" i="14"/>
  <c r="M13" i="14" s="1"/>
  <c r="P23" i="6" l="1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B10" i="9"/>
  <c r="C10" i="9"/>
  <c r="D10" i="9"/>
  <c r="E10" i="9"/>
  <c r="F10" i="9"/>
  <c r="G10" i="9"/>
  <c r="H10" i="9"/>
  <c r="I10" i="9"/>
  <c r="J10" i="9"/>
  <c r="K10" i="9"/>
  <c r="L10" i="9"/>
  <c r="M10" i="9"/>
  <c r="M8" i="9"/>
  <c r="L8" i="9"/>
  <c r="K8" i="9"/>
  <c r="J8" i="9"/>
  <c r="I8" i="9"/>
  <c r="H8" i="9"/>
  <c r="G8" i="9"/>
  <c r="F8" i="9"/>
  <c r="E8" i="9"/>
  <c r="D8" i="9"/>
  <c r="C8" i="9"/>
  <c r="B8" i="9"/>
  <c r="M6" i="9"/>
  <c r="M11" i="9" s="1"/>
  <c r="M12" i="9" s="1"/>
  <c r="L6" i="9"/>
  <c r="L11" i="9" s="1"/>
  <c r="L12" i="9" s="1"/>
  <c r="K6" i="9"/>
  <c r="J6" i="9"/>
  <c r="I6" i="9"/>
  <c r="I11" i="9" s="1"/>
  <c r="I12" i="9" s="1"/>
  <c r="H6" i="9"/>
  <c r="H9" i="9" s="1"/>
  <c r="G6" i="9"/>
  <c r="F6" i="9"/>
  <c r="E6" i="9"/>
  <c r="D6" i="9"/>
  <c r="D9" i="9" s="1"/>
  <c r="C6" i="9"/>
  <c r="B6" i="9"/>
  <c r="M5" i="9"/>
  <c r="M7" i="9" s="1"/>
  <c r="L5" i="9"/>
  <c r="L7" i="9" s="1"/>
  <c r="K5" i="9"/>
  <c r="K7" i="9" s="1"/>
  <c r="J5" i="9"/>
  <c r="J7" i="9" s="1"/>
  <c r="I5" i="9"/>
  <c r="I7" i="9" s="1"/>
  <c r="H5" i="9"/>
  <c r="H7" i="9" s="1"/>
  <c r="G5" i="9"/>
  <c r="G7" i="9" s="1"/>
  <c r="F5" i="9"/>
  <c r="F7" i="9" s="1"/>
  <c r="E5" i="9"/>
  <c r="E7" i="9" s="1"/>
  <c r="D5" i="9"/>
  <c r="D7" i="9" s="1"/>
  <c r="C5" i="9"/>
  <c r="C7" i="9" s="1"/>
  <c r="B5" i="9"/>
  <c r="B7" i="9" s="1"/>
  <c r="B4" i="9"/>
  <c r="M4" i="9"/>
  <c r="L4" i="9"/>
  <c r="K4" i="9"/>
  <c r="J4" i="9"/>
  <c r="I4" i="9"/>
  <c r="H4" i="9"/>
  <c r="G4" i="9"/>
  <c r="F4" i="9"/>
  <c r="E4" i="9"/>
  <c r="D4" i="9"/>
  <c r="C4" i="9"/>
  <c r="L41" i="9"/>
  <c r="I41" i="9"/>
  <c r="F41" i="9"/>
  <c r="C41" i="9"/>
  <c r="N10" i="9"/>
  <c r="L35" i="9"/>
  <c r="I35" i="9"/>
  <c r="F35" i="9"/>
  <c r="C35" i="9"/>
  <c r="L34" i="9"/>
  <c r="I34" i="9"/>
  <c r="F34" i="9"/>
  <c r="C34" i="9"/>
  <c r="N26" i="9"/>
  <c r="N6" i="9" s="1"/>
  <c r="N32" i="9"/>
  <c r="N8" i="9" s="1"/>
  <c r="L18" i="9"/>
  <c r="I18" i="9"/>
  <c r="F18" i="9"/>
  <c r="C18" i="9"/>
  <c r="L29" i="9"/>
  <c r="I29" i="9"/>
  <c r="F29" i="9"/>
  <c r="C29" i="9"/>
  <c r="L28" i="9"/>
  <c r="I28" i="9"/>
  <c r="F28" i="9"/>
  <c r="C28" i="9"/>
  <c r="L23" i="9"/>
  <c r="I23" i="9"/>
  <c r="F23" i="9"/>
  <c r="C23" i="9"/>
  <c r="N21" i="9"/>
  <c r="N4" i="9" s="1"/>
  <c r="N15" i="9"/>
  <c r="N5" i="9" s="1"/>
  <c r="L17" i="9"/>
  <c r="I17" i="9"/>
  <c r="F17" i="9"/>
  <c r="C17" i="9"/>
  <c r="P10" i="9"/>
  <c r="Q10" i="9"/>
  <c r="R10" i="9"/>
  <c r="S10" i="9"/>
  <c r="T10" i="9"/>
  <c r="U10" i="9"/>
  <c r="V10" i="9"/>
  <c r="W10" i="9"/>
  <c r="X10" i="9"/>
  <c r="Y10" i="9"/>
  <c r="Z10" i="9"/>
  <c r="O10" i="9"/>
  <c r="P8" i="9"/>
  <c r="Q8" i="9"/>
  <c r="R8" i="9"/>
  <c r="S8" i="9"/>
  <c r="T8" i="9"/>
  <c r="U8" i="9"/>
  <c r="V8" i="9"/>
  <c r="W8" i="9"/>
  <c r="X8" i="9"/>
  <c r="Y8" i="9"/>
  <c r="Z8" i="9"/>
  <c r="O8" i="9"/>
  <c r="P6" i="9"/>
  <c r="P11" i="9" s="1"/>
  <c r="P12" i="9" s="1"/>
  <c r="Q6" i="9"/>
  <c r="R6" i="9"/>
  <c r="S6" i="9"/>
  <c r="T6" i="9"/>
  <c r="T11" i="9" s="1"/>
  <c r="T12" i="9" s="1"/>
  <c r="U6" i="9"/>
  <c r="V6" i="9"/>
  <c r="W6" i="9"/>
  <c r="X6" i="9"/>
  <c r="X11" i="9" s="1"/>
  <c r="X12" i="9" s="1"/>
  <c r="Y6" i="9"/>
  <c r="Z6" i="9"/>
  <c r="O6" i="9"/>
  <c r="Y28" i="9"/>
  <c r="V28" i="9"/>
  <c r="S28" i="9"/>
  <c r="P28" i="9"/>
  <c r="Y29" i="9"/>
  <c r="V29" i="9"/>
  <c r="S29" i="9"/>
  <c r="P29" i="9"/>
  <c r="AA26" i="9"/>
  <c r="AA6" i="9" s="1"/>
  <c r="P5" i="9"/>
  <c r="Q5" i="9"/>
  <c r="R5" i="9"/>
  <c r="S5" i="9"/>
  <c r="T5" i="9"/>
  <c r="U5" i="9"/>
  <c r="V5" i="9"/>
  <c r="W5" i="9"/>
  <c r="X5" i="9"/>
  <c r="Y5" i="9"/>
  <c r="Z5" i="9"/>
  <c r="O5" i="9"/>
  <c r="P4" i="9"/>
  <c r="Q4" i="9"/>
  <c r="R4" i="9"/>
  <c r="S4" i="9"/>
  <c r="T4" i="9"/>
  <c r="U4" i="9"/>
  <c r="V4" i="9"/>
  <c r="W4" i="9"/>
  <c r="X4" i="9"/>
  <c r="Y4" i="9"/>
  <c r="Z4" i="9"/>
  <c r="O4" i="9"/>
  <c r="AA15" i="9"/>
  <c r="AA5" i="9" s="1"/>
  <c r="AA21" i="9"/>
  <c r="AA4" i="9" s="1"/>
  <c r="Y23" i="9"/>
  <c r="V23" i="9"/>
  <c r="S23" i="9"/>
  <c r="P23" i="9"/>
  <c r="AA32" i="9"/>
  <c r="AA8" i="9" s="1"/>
  <c r="AA38" i="9"/>
  <c r="AA10" i="9" s="1"/>
  <c r="Y41" i="9"/>
  <c r="V41" i="9"/>
  <c r="S41" i="9"/>
  <c r="P41" i="9"/>
  <c r="Y34" i="9"/>
  <c r="V34" i="9"/>
  <c r="S34" i="9"/>
  <c r="P34" i="9"/>
  <c r="Y35" i="9"/>
  <c r="V35" i="9"/>
  <c r="S35" i="9"/>
  <c r="P35" i="9"/>
  <c r="Y18" i="9"/>
  <c r="Y17" i="9"/>
  <c r="V18" i="9"/>
  <c r="V17" i="9"/>
  <c r="S18" i="9"/>
  <c r="S17" i="9"/>
  <c r="P18" i="9"/>
  <c r="P17" i="9"/>
  <c r="E9" i="9" l="1"/>
  <c r="I9" i="9"/>
  <c r="M9" i="9"/>
  <c r="B9" i="9"/>
  <c r="F9" i="9"/>
  <c r="J9" i="9"/>
  <c r="C9" i="9"/>
  <c r="G9" i="9"/>
  <c r="K9" i="9"/>
  <c r="B11" i="9"/>
  <c r="B12" i="9" s="1"/>
  <c r="C11" i="9"/>
  <c r="C12" i="9" s="1"/>
  <c r="K11" i="9"/>
  <c r="K12" i="9" s="1"/>
  <c r="G11" i="9"/>
  <c r="G12" i="9" s="1"/>
  <c r="F11" i="9"/>
  <c r="F12" i="9" s="1"/>
  <c r="E11" i="9"/>
  <c r="E12" i="9" s="1"/>
  <c r="N9" i="9"/>
  <c r="N7" i="9"/>
  <c r="N11" i="9"/>
  <c r="N12" i="9" s="1"/>
  <c r="F44" i="9"/>
  <c r="S44" i="9"/>
  <c r="D11" i="9"/>
  <c r="D12" i="9" s="1"/>
  <c r="J11" i="9"/>
  <c r="J12" i="9" s="1"/>
  <c r="V44" i="9"/>
  <c r="H11" i="9"/>
  <c r="H12" i="9" s="1"/>
  <c r="Y44" i="9"/>
  <c r="L9" i="9"/>
  <c r="P44" i="9"/>
  <c r="I44" i="9"/>
  <c r="L44" i="9"/>
  <c r="C44" i="9"/>
  <c r="Y11" i="9"/>
  <c r="Y12" i="9" s="1"/>
  <c r="U11" i="9"/>
  <c r="U12" i="9" s="1"/>
  <c r="Q11" i="9"/>
  <c r="Q12" i="9" s="1"/>
  <c r="Z9" i="9"/>
  <c r="V9" i="9"/>
  <c r="R9" i="9"/>
  <c r="Z7" i="9"/>
  <c r="V7" i="9"/>
  <c r="R7" i="9"/>
  <c r="O11" i="9"/>
  <c r="O12" i="9" s="1"/>
  <c r="Y7" i="9"/>
  <c r="U7" i="9"/>
  <c r="Q7" i="9"/>
  <c r="AA11" i="9"/>
  <c r="AA12" i="9" s="1"/>
  <c r="W11" i="9"/>
  <c r="W12" i="9" s="1"/>
  <c r="S11" i="9"/>
  <c r="S12" i="9" s="1"/>
  <c r="Z11" i="9"/>
  <c r="Z12" i="9" s="1"/>
  <c r="V11" i="9"/>
  <c r="V12" i="9" s="1"/>
  <c r="R11" i="9"/>
  <c r="R12" i="9" s="1"/>
  <c r="X7" i="9"/>
  <c r="T7" i="9"/>
  <c r="P7" i="9"/>
  <c r="Y9" i="9"/>
  <c r="Q9" i="9"/>
  <c r="O7" i="9"/>
  <c r="X9" i="9"/>
  <c r="T9" i="9"/>
  <c r="P9" i="9"/>
  <c r="AA7" i="9"/>
  <c r="W9" i="9"/>
  <c r="S9" i="9"/>
  <c r="W7" i="9"/>
  <c r="S7" i="9"/>
  <c r="U9" i="9"/>
  <c r="AA9" i="9"/>
  <c r="O9" i="9" l="1"/>
  <c r="B20" i="7"/>
  <c r="L19" i="7"/>
  <c r="G19" i="7"/>
  <c r="L17" i="7"/>
  <c r="G17" i="7"/>
  <c r="L16" i="7"/>
  <c r="G16" i="7"/>
  <c r="L15" i="7"/>
  <c r="G15" i="7"/>
  <c r="L14" i="7"/>
  <c r="G14" i="7"/>
  <c r="L13" i="7"/>
  <c r="G13" i="7"/>
  <c r="L12" i="7"/>
  <c r="G12" i="7"/>
  <c r="L11" i="7"/>
  <c r="L9" i="7"/>
  <c r="G9" i="7"/>
  <c r="M8" i="7"/>
  <c r="M10" i="7" s="1"/>
  <c r="M18" i="7" s="1"/>
  <c r="K8" i="7"/>
  <c r="K10" i="7" s="1"/>
  <c r="K18" i="7" s="1"/>
  <c r="J8" i="7"/>
  <c r="J10" i="7" s="1"/>
  <c r="J18" i="7" s="1"/>
  <c r="I8" i="7"/>
  <c r="I10" i="7" s="1"/>
  <c r="I18" i="7" s="1"/>
  <c r="H8" i="7"/>
  <c r="H10" i="7" s="1"/>
  <c r="F8" i="7"/>
  <c r="F10" i="7" s="1"/>
  <c r="F18" i="7" s="1"/>
  <c r="F20" i="7" s="1"/>
  <c r="E8" i="7"/>
  <c r="E10" i="7" s="1"/>
  <c r="E18" i="7" s="1"/>
  <c r="D8" i="7"/>
  <c r="D10" i="7" s="1"/>
  <c r="D18" i="7" s="1"/>
  <c r="C8" i="7"/>
  <c r="L7" i="7"/>
  <c r="G7" i="7"/>
  <c r="L6" i="7"/>
  <c r="G6" i="7"/>
  <c r="L5" i="7"/>
  <c r="L4" i="7"/>
  <c r="G4" i="7"/>
  <c r="G8" i="7" l="1"/>
  <c r="G10" i="7" s="1"/>
  <c r="C10" i="7"/>
  <c r="L8" i="7"/>
  <c r="L10" i="7" s="1"/>
  <c r="M20" i="7"/>
  <c r="D20" i="7"/>
  <c r="H18" i="7"/>
  <c r="I20" i="7"/>
  <c r="E20" i="7"/>
  <c r="K20" i="7"/>
  <c r="J20" i="7"/>
  <c r="L18" i="7" l="1"/>
  <c r="H20" i="7"/>
  <c r="L20" i="7" l="1"/>
  <c r="J29" i="5" l="1"/>
  <c r="K29" i="5"/>
  <c r="B29" i="5"/>
  <c r="F29" i="5"/>
  <c r="D29" i="5"/>
  <c r="C29" i="5"/>
  <c r="E29" i="5"/>
  <c r="K41" i="4"/>
  <c r="J41" i="4"/>
  <c r="I41" i="4"/>
  <c r="H41" i="4"/>
  <c r="G41" i="4"/>
  <c r="F41" i="4"/>
  <c r="E41" i="4"/>
  <c r="D41" i="4"/>
  <c r="C41" i="4"/>
  <c r="B41" i="4"/>
  <c r="K28" i="4"/>
  <c r="J28" i="4"/>
  <c r="I28" i="4"/>
  <c r="H28" i="4"/>
  <c r="G28" i="4"/>
  <c r="F28" i="4"/>
  <c r="F52" i="4" s="1"/>
  <c r="E28" i="4"/>
  <c r="E52" i="4" s="1"/>
  <c r="D28" i="4"/>
  <c r="C28" i="4"/>
  <c r="B28" i="4"/>
  <c r="K12" i="4"/>
  <c r="J12" i="4"/>
  <c r="I12" i="4"/>
  <c r="H12" i="4"/>
  <c r="G12" i="4"/>
  <c r="G26" i="4" s="1"/>
  <c r="F12" i="4"/>
  <c r="E12" i="4"/>
  <c r="D12" i="4"/>
  <c r="C12" i="4"/>
  <c r="B12" i="4"/>
  <c r="K4" i="4"/>
  <c r="J4" i="4"/>
  <c r="I4" i="4"/>
  <c r="H4" i="4"/>
  <c r="G4" i="4"/>
  <c r="F4" i="4"/>
  <c r="E4" i="4"/>
  <c r="E26" i="4" s="1"/>
  <c r="D4" i="4"/>
  <c r="C4" i="4"/>
  <c r="B4" i="4"/>
  <c r="G29" i="2"/>
  <c r="K26" i="4" l="1"/>
  <c r="J52" i="4"/>
  <c r="J62" i="4" s="1"/>
  <c r="J26" i="4"/>
  <c r="B26" i="4"/>
  <c r="H26" i="4"/>
  <c r="D26" i="4"/>
  <c r="B52" i="4"/>
  <c r="B62" i="4" s="1"/>
  <c r="C26" i="4"/>
  <c r="F62" i="4"/>
  <c r="I26" i="4"/>
  <c r="I52" i="4"/>
  <c r="I62" i="4" s="1"/>
  <c r="E62" i="4"/>
  <c r="C52" i="4"/>
  <c r="C62" i="4" s="1"/>
  <c r="G52" i="4"/>
  <c r="G62" i="4" s="1"/>
  <c r="K52" i="4"/>
  <c r="K62" i="4" s="1"/>
  <c r="D52" i="4"/>
  <c r="D62" i="4" s="1"/>
  <c r="H52" i="4"/>
  <c r="H62" i="4" s="1"/>
  <c r="F26" i="4"/>
  <c r="L10" i="2" l="1"/>
  <c r="L4" i="2" s="1"/>
  <c r="J4" i="2"/>
  <c r="I4" i="2"/>
  <c r="M27" i="2"/>
  <c r="L27" i="2"/>
  <c r="K27" i="2"/>
  <c r="J27" i="2"/>
  <c r="I27" i="2"/>
  <c r="H27" i="2"/>
  <c r="F27" i="2"/>
  <c r="E27" i="2"/>
  <c r="D27" i="2"/>
  <c r="C27" i="2"/>
  <c r="M11" i="2"/>
  <c r="L11" i="2"/>
  <c r="K11" i="2"/>
  <c r="J11" i="2"/>
  <c r="I11" i="2"/>
  <c r="H11" i="2"/>
  <c r="G11" i="2"/>
  <c r="F11" i="2"/>
  <c r="E11" i="2"/>
  <c r="D11" i="2"/>
  <c r="C11" i="2"/>
  <c r="B11" i="2"/>
  <c r="M4" i="2"/>
  <c r="H4" i="2"/>
  <c r="H19" i="2" s="1"/>
  <c r="H21" i="2" s="1"/>
  <c r="H23" i="2" s="1"/>
  <c r="G4" i="2"/>
  <c r="G19" i="2" s="1"/>
  <c r="G21" i="2" s="1"/>
  <c r="G23" i="2" s="1"/>
  <c r="F4" i="2"/>
  <c r="E4" i="2"/>
  <c r="D4" i="2"/>
  <c r="D19" i="2" s="1"/>
  <c r="D21" i="2" s="1"/>
  <c r="D23" i="2" s="1"/>
  <c r="C4" i="2"/>
  <c r="C19" i="2" s="1"/>
  <c r="C21" i="2" s="1"/>
  <c r="C23" i="2" s="1"/>
  <c r="B4" i="2"/>
  <c r="B27" i="2"/>
  <c r="L19" i="2" l="1"/>
  <c r="L21" i="2" s="1"/>
  <c r="L23" i="2" s="1"/>
  <c r="L28" i="2"/>
  <c r="L30" i="2" s="1"/>
  <c r="L4" i="14" s="1"/>
  <c r="M4" i="14" s="1"/>
  <c r="M19" i="2"/>
  <c r="M21" i="2" s="1"/>
  <c r="M23" i="2" s="1"/>
  <c r="M28" i="2" s="1"/>
  <c r="M30" i="2" s="1"/>
  <c r="F19" i="2"/>
  <c r="F21" i="2" s="1"/>
  <c r="F23" i="2" s="1"/>
  <c r="F28" i="2" s="1"/>
  <c r="F30" i="2" s="1"/>
  <c r="H28" i="2"/>
  <c r="H30" i="2" s="1"/>
  <c r="B19" i="2"/>
  <c r="B21" i="2" s="1"/>
  <c r="B23" i="2" s="1"/>
  <c r="B28" i="2" s="1"/>
  <c r="B30" i="2" s="1"/>
  <c r="E19" i="2"/>
  <c r="E21" i="2" s="1"/>
  <c r="E23" i="2" s="1"/>
  <c r="E28" i="2" s="1"/>
  <c r="E30" i="2" s="1"/>
  <c r="J19" i="2"/>
  <c r="J21" i="2" s="1"/>
  <c r="J23" i="2" s="1"/>
  <c r="J28" i="2" s="1"/>
  <c r="J30" i="2" s="1"/>
  <c r="K4" i="2"/>
  <c r="K19" i="2" s="1"/>
  <c r="K21" i="2" s="1"/>
  <c r="K23" i="2" s="1"/>
  <c r="K28" i="2" s="1"/>
  <c r="K30" i="2" s="1"/>
  <c r="I19" i="2"/>
  <c r="I21" i="2" s="1"/>
  <c r="I23" i="2" s="1"/>
  <c r="I28" i="2" s="1"/>
  <c r="I30" i="2" s="1"/>
  <c r="D28" i="2"/>
  <c r="D30" i="2" s="1"/>
  <c r="C28" i="2"/>
  <c r="C30" i="2" s="1"/>
  <c r="G26" i="2" l="1"/>
  <c r="G27" i="2" l="1"/>
  <c r="G28" i="2" s="1"/>
  <c r="G30" i="2" s="1"/>
  <c r="L9" i="14" s="1"/>
  <c r="M9" i="14" s="1"/>
  <c r="N11" i="6"/>
  <c r="P11" i="6" s="1"/>
  <c r="N10" i="6"/>
  <c r="P10" i="6" s="1"/>
  <c r="N15" i="6"/>
  <c r="P15" i="6" s="1"/>
  <c r="N14" i="6"/>
  <c r="P14" i="6" s="1"/>
  <c r="C18" i="7" l="1"/>
  <c r="G11" i="7"/>
  <c r="G18" i="7" s="1"/>
  <c r="G20" i="7" l="1"/>
  <c r="C20" i="7"/>
</calcChain>
</file>

<file path=xl/sharedStrings.xml><?xml version="1.0" encoding="utf-8"?>
<sst xmlns="http://schemas.openxmlformats.org/spreadsheetml/2006/main" count="607" uniqueCount="345">
  <si>
    <t/>
  </si>
  <si>
    <t xml:space="preserve">Demonstração dos Resultados  - R$ mil </t>
  </si>
  <si>
    <t>1T19</t>
  </si>
  <si>
    <t>2T19</t>
  </si>
  <si>
    <t>3T19</t>
  </si>
  <si>
    <t>4T19</t>
  </si>
  <si>
    <t>1T20</t>
  </si>
  <si>
    <t>2T20</t>
  </si>
  <si>
    <t>3T20</t>
  </si>
  <si>
    <t>4T20</t>
  </si>
  <si>
    <t>Receita operacional bruta</t>
  </si>
  <si>
    <t>Instrumentos financeiros derivativos</t>
  </si>
  <si>
    <t>Outras receitas</t>
  </si>
  <si>
    <t>Deduções à receita operacional</t>
  </si>
  <si>
    <t>Quota para a reserva global de reversão - RGR</t>
  </si>
  <si>
    <t>Pesquisa e desenvolvimento - P&amp;D</t>
  </si>
  <si>
    <t>Imposto sobre serviços - ISS</t>
  </si>
  <si>
    <t>COFINS sobre receitas operacionais</t>
  </si>
  <si>
    <t>PIS sobre receitas operacionais</t>
  </si>
  <si>
    <t>Compensação financeira pela utilização de recursos hídricos</t>
  </si>
  <si>
    <t>Taxa de fiscalização do setor elétrico - TFSE</t>
  </si>
  <si>
    <t>Receita operacional líquida</t>
  </si>
  <si>
    <t>Custo com energia elétrica</t>
  </si>
  <si>
    <t>Lucro operacional bruto</t>
  </si>
  <si>
    <t>Despesas operacionais</t>
  </si>
  <si>
    <t>Lucro (prejuízo) operacional antes do resultado financeiro</t>
  </si>
  <si>
    <t>Receitas financeiras</t>
  </si>
  <si>
    <t>Despesas financeiras</t>
  </si>
  <si>
    <t>Variação cambial líquida</t>
  </si>
  <si>
    <t>Resultado financeiro</t>
  </si>
  <si>
    <t>Resultado antes dos Tributos</t>
  </si>
  <si>
    <t>Imposto de renda e contribuição social líquido</t>
  </si>
  <si>
    <t xml:space="preserve">Resultado líquido </t>
  </si>
  <si>
    <t>Fluxo de Caixa - R$ mil</t>
  </si>
  <si>
    <t>EBITDA ajustado</t>
  </si>
  <si>
    <t>IR/CSLL caixa</t>
  </si>
  <si>
    <t>Capital de giro</t>
  </si>
  <si>
    <t>CAPEX</t>
  </si>
  <si>
    <t>Fluxo de caixa operacional</t>
  </si>
  <si>
    <t>Fluxo de caixa operacional após o serviço da dívida</t>
  </si>
  <si>
    <t>Pagamento de litígio</t>
  </si>
  <si>
    <t>Desbloqueio Judicial</t>
  </si>
  <si>
    <t>Captações</t>
  </si>
  <si>
    <t>Amortizações</t>
  </si>
  <si>
    <t>Pagamento da outorga</t>
  </si>
  <si>
    <t>Dividendos</t>
  </si>
  <si>
    <t>Fluxo de caixa livre</t>
  </si>
  <si>
    <t>Saldo de caixa inicial</t>
  </si>
  <si>
    <t>Saldo de caixa final</t>
  </si>
  <si>
    <t>Balanço Patrimonial - R$ mil</t>
  </si>
  <si>
    <t>Circulante</t>
  </si>
  <si>
    <t>Caixa e equivalentes de caixa</t>
  </si>
  <si>
    <t>Contas a receber</t>
  </si>
  <si>
    <t>Tributos a recuperar</t>
  </si>
  <si>
    <t>Contratos futuros de energia</t>
  </si>
  <si>
    <t>Despesas antecipadas</t>
  </si>
  <si>
    <t>Outros ativos</t>
  </si>
  <si>
    <t>Não circulante</t>
  </si>
  <si>
    <t>Cauções e depósitos judiciais</t>
  </si>
  <si>
    <t>IR e CSLL líquidos diferidos</t>
  </si>
  <si>
    <t>Almoxarifado</t>
  </si>
  <si>
    <t>Ativo sujeito à indenização</t>
  </si>
  <si>
    <t>Investimentos</t>
  </si>
  <si>
    <t>Intangível</t>
  </si>
  <si>
    <t>Imobilizado</t>
  </si>
  <si>
    <t>Direito de uso sobre contratos de arrendamento</t>
  </si>
  <si>
    <t>Total do ativo</t>
  </si>
  <si>
    <t>Passivo circulante</t>
  </si>
  <si>
    <t>Fornecedores</t>
  </si>
  <si>
    <t>Empréstimos e financiamentos</t>
  </si>
  <si>
    <t>Arrendamento mercantil</t>
  </si>
  <si>
    <t>Obrigações estimadas e folha de pagamento</t>
  </si>
  <si>
    <t>Tributos a recolher</t>
  </si>
  <si>
    <t>Encargos setoriais</t>
  </si>
  <si>
    <t>Dividendos a pagar e juros sobre capital próprio</t>
  </si>
  <si>
    <t>UBP - Uso do bem público</t>
  </si>
  <si>
    <t>Obrigações socioambientais</t>
  </si>
  <si>
    <t>Outros passivos</t>
  </si>
  <si>
    <t>Provisão para litígios</t>
  </si>
  <si>
    <t>Total do Passivo</t>
  </si>
  <si>
    <t>Patrimônio Líquido</t>
  </si>
  <si>
    <t>Capital social</t>
  </si>
  <si>
    <t>Reservas de capital</t>
  </si>
  <si>
    <t>Reservas de lucros</t>
  </si>
  <si>
    <t>Ajustes de avaliação patrimonial</t>
  </si>
  <si>
    <t>Outros resultados abrangentes</t>
  </si>
  <si>
    <t>Lucros (prejuízos) acumulados</t>
  </si>
  <si>
    <t>Total do Passivo e Patrimônio Líquido</t>
  </si>
  <si>
    <t xml:space="preserve">Natureza dos Custos e Despesas - R$ Mil </t>
  </si>
  <si>
    <t>Energia comprada</t>
  </si>
  <si>
    <t>Pessoal</t>
  </si>
  <si>
    <t>PDV - Programa de demissão voluntária</t>
  </si>
  <si>
    <t>Administradores</t>
  </si>
  <si>
    <t>Materiais</t>
  </si>
  <si>
    <t>Serviços de terceiros</t>
  </si>
  <si>
    <t>Seguros</t>
  </si>
  <si>
    <t>Depreciação/Amortização</t>
  </si>
  <si>
    <t>Aluguéis</t>
  </si>
  <si>
    <t>Execução Acordo MP-MS</t>
  </si>
  <si>
    <t>Provisão/Reversão para compromissos socioambientais</t>
  </si>
  <si>
    <t>Reversão da diferença de quotas RGR 2018 e 2017</t>
  </si>
  <si>
    <t>Provisão para redução ao valor realizável de almoxarifados</t>
  </si>
  <si>
    <t>Provisão/Reversão para litígios</t>
  </si>
  <si>
    <t>Despesas com depósitos judiciais</t>
  </si>
  <si>
    <t>Ajuste ativo contingente - Ilha Solteira e Jupiá</t>
  </si>
  <si>
    <t>Outras despesas ou receitas</t>
  </si>
  <si>
    <t>Total</t>
  </si>
  <si>
    <t>Dados gerais</t>
  </si>
  <si>
    <t>Prazo de concessão</t>
  </si>
  <si>
    <t>Extensão da barragem (km)</t>
  </si>
  <si>
    <t>Unidades geradoras</t>
  </si>
  <si>
    <t>Início de operação</t>
  </si>
  <si>
    <t>Município</t>
  </si>
  <si>
    <t>Porto Primavera</t>
  </si>
  <si>
    <t>Paraibuna</t>
  </si>
  <si>
    <t>Jaguari</t>
  </si>
  <si>
    <t>Balanço energético (MW médio)</t>
  </si>
  <si>
    <t>GSF</t>
  </si>
  <si>
    <t>Garantia Física</t>
  </si>
  <si>
    <t>Garantia Física Ajustada</t>
  </si>
  <si>
    <t>Secundária (Déficit)</t>
  </si>
  <si>
    <t>Déficit/ (Sobra de Energia)</t>
  </si>
  <si>
    <t>Energia vendida</t>
  </si>
  <si>
    <t>Recurso Total</t>
  </si>
  <si>
    <t>1T18</t>
  </si>
  <si>
    <t>2T18</t>
  </si>
  <si>
    <t>3T18</t>
  </si>
  <si>
    <t>4T18</t>
  </si>
  <si>
    <t>Potência (MW)</t>
  </si>
  <si>
    <t>Garantia física (MW médio)</t>
  </si>
  <si>
    <t>Índice de disponibilidade (%)</t>
  </si>
  <si>
    <t>Operações de trading</t>
  </si>
  <si>
    <t>Benefícios pós-emprego</t>
  </si>
  <si>
    <t>1T21</t>
  </si>
  <si>
    <t>Mercado Livre - Contratos Bilaterais</t>
  </si>
  <si>
    <t>Mercado Regulado - Leilões de energia</t>
  </si>
  <si>
    <t>Energia de Curto Prazo</t>
  </si>
  <si>
    <t xml:space="preserve"> - </t>
  </si>
  <si>
    <t>Plano de Recompra - Fim Programa de ADR</t>
  </si>
  <si>
    <t>Impostos, taxas e contribuições</t>
  </si>
  <si>
    <t>Manutenção e conservação</t>
  </si>
  <si>
    <t>Obs</t>
  </si>
  <si>
    <t>Usina entregue em 31/12/2020</t>
  </si>
  <si>
    <t>Rosana (SP)</t>
  </si>
  <si>
    <t>Paraibuna (SP)</t>
  </si>
  <si>
    <t>São José dos Campos (SP)</t>
  </si>
  <si>
    <t>Serviço da dívida</t>
  </si>
  <si>
    <t>Nota: A partir do 2T19 as despesas de atualização monetária sobre provisão para litígios foram reclassificadas de “Outras despesas Operacionais” para “Despesas Financeiras”. Os períodos comparativos foram alterados para refletir a reclassificação.</t>
  </si>
  <si>
    <t>Potência / GF / Disponibilidade</t>
  </si>
  <si>
    <t>Geração (MWm)</t>
  </si>
  <si>
    <t>Sazonalização da Garantia Física (MWm)</t>
  </si>
  <si>
    <t>2T21</t>
  </si>
  <si>
    <t>3T21</t>
  </si>
  <si>
    <t>4T21</t>
  </si>
  <si>
    <t>GSF (%) - CCEE</t>
  </si>
  <si>
    <t>Alocação Garantia Física</t>
  </si>
  <si>
    <t>Contratos (MWm)</t>
  </si>
  <si>
    <t>Energia Vendida</t>
  </si>
  <si>
    <t>Energia Comprada (MWm)</t>
  </si>
  <si>
    <t>Preço (R$/MWh)</t>
  </si>
  <si>
    <t>Compra de Energia</t>
  </si>
  <si>
    <t>Análise Trimestral - GSF</t>
  </si>
  <si>
    <t>Análise Trimestral - Volume (MWm)</t>
  </si>
  <si>
    <t>Análise Trimestral - Alocação (%)</t>
  </si>
  <si>
    <t>Análise Trimestral - Preço (R$/MWh)</t>
  </si>
  <si>
    <t>2021</t>
  </si>
  <si>
    <t>Garantia Física Ajustada (MWm)</t>
  </si>
  <si>
    <t>Garantia Física pós-GSF (MWm)</t>
  </si>
  <si>
    <t>Balanço (sobra ou déficit)</t>
  </si>
  <si>
    <t>Balanço Energético</t>
  </si>
  <si>
    <t>Custo de Compra de Energia (R$ mil)</t>
  </si>
  <si>
    <t>Dados Operacionais</t>
  </si>
  <si>
    <t>Custos e Despesas Operacionais</t>
  </si>
  <si>
    <t>Balanço Patrimonial Consolidado</t>
  </si>
  <si>
    <t>Fluxo de Caixa Gerencial</t>
  </si>
  <si>
    <t>Histórico de Remuneração aos Acionistas</t>
  </si>
  <si>
    <t>Proventos</t>
  </si>
  <si>
    <t>Evento-Data</t>
  </si>
  <si>
    <t>Montante 
(R$)</t>
  </si>
  <si>
    <t>Data de Pagamento</t>
  </si>
  <si>
    <t>Lucro Exercício
(R$ mil)</t>
  </si>
  <si>
    <t>Payout</t>
  </si>
  <si>
    <t>Prescrição</t>
  </si>
  <si>
    <t>AGOE
29/04/2019</t>
  </si>
  <si>
    <t>TOTAL</t>
  </si>
  <si>
    <t>AGOE
24/04/2018</t>
  </si>
  <si>
    <t>Juros sobre Capital Próprio</t>
  </si>
  <si>
    <t>RCA 
08/11/2016</t>
  </si>
  <si>
    <t>AGOE
26/04/2017</t>
  </si>
  <si>
    <t>Prescrito</t>
  </si>
  <si>
    <t>RCA
12/08/2014</t>
  </si>
  <si>
    <t>RCA
07/05/2013</t>
  </si>
  <si>
    <t>AGOE
25/04/2014</t>
  </si>
  <si>
    <t>RCA
08/05/2012</t>
  </si>
  <si>
    <t>RCA 
07/08/2012</t>
  </si>
  <si>
    <t>AGOE
24/04/2013</t>
  </si>
  <si>
    <t>RCA
05/05/2011</t>
  </si>
  <si>
    <t>AGOE
24/04/2012</t>
  </si>
  <si>
    <t>RCA 
10/08/2010</t>
  </si>
  <si>
    <t>RCA 
12/11/2010</t>
  </si>
  <si>
    <t>AGOE
29/04/2011</t>
  </si>
  <si>
    <t>RCA
12/05/2009</t>
  </si>
  <si>
    <t>RCA 
11/08/2009</t>
  </si>
  <si>
    <t>RCA 
10/11/2009</t>
  </si>
  <si>
    <t>AGOE
30/04/2010</t>
  </si>
  <si>
    <t>RCA
09/05/2008</t>
  </si>
  <si>
    <t>RCA
08/08/2008</t>
  </si>
  <si>
    <t>Exercício Social de Referência</t>
  </si>
  <si>
    <t>AGOE 29/03/2021</t>
  </si>
  <si>
    <t>Data-ex</t>
  </si>
  <si>
    <t>Record Date</t>
  </si>
  <si>
    <t>Aviso aos Acionistas</t>
  </si>
  <si>
    <t>14/05/2009 e 09/06/2009</t>
  </si>
  <si>
    <t>12/08/2008 e 02/09/2008</t>
  </si>
  <si>
    <t>13/08/2009 e 02/10/2009</t>
  </si>
  <si>
    <t>11/11/2009 e 28/12/2009</t>
  </si>
  <si>
    <t>Dividend Yield</t>
  </si>
  <si>
    <t>ON - CESP3
(R$ por ação)</t>
  </si>
  <si>
    <t>PNA - CESP5
(R$ por ação)</t>
  </si>
  <si>
    <t>PNB - CESP6
(R$ por ação)</t>
  </si>
  <si>
    <t>CESP3 = 1,4%
CESP5 = 14,9%
CESP6 = 1,0%</t>
  </si>
  <si>
    <t>CESP3 = 2,1%
CESP5 = 6,7%
CESP6 = 1,7%</t>
  </si>
  <si>
    <t>RCA
11/05/2010</t>
  </si>
  <si>
    <t>30/04/2010 e 22/06/2010</t>
  </si>
  <si>
    <t>11/05/2010 e 30/06/2010</t>
  </si>
  <si>
    <t>16/11/2010 e 10/12/2010</t>
  </si>
  <si>
    <t>12/08/2010 e 01/10/2010</t>
  </si>
  <si>
    <t>CESP3 = 3,2%
CESP5 = 7,6%
CESP6 = 2,6%</t>
  </si>
  <si>
    <t>06/05/2011 e 12/07/2011</t>
  </si>
  <si>
    <t>RCA 
04/08/2011</t>
  </si>
  <si>
    <t>02/05/2011 e 20/09/2011</t>
  </si>
  <si>
    <t>08/08/2011 e 18/10/2011</t>
  </si>
  <si>
    <t>09/05/2012 e 13/07/2012</t>
  </si>
  <si>
    <t xml:space="preserve">25/04/2012 e 19/06/2012 e 19/09/2012 </t>
  </si>
  <si>
    <t>CESP3 = 5,2%
CESP5 = 5,4%
CESP6 = 4,3%</t>
  </si>
  <si>
    <t>08/08/2012 e 22/10/2012</t>
  </si>
  <si>
    <t>24/04/2013 e 22/11/2013</t>
  </si>
  <si>
    <t>CESP3 = 7,0%
CESP5 = 9,8%
CESP6 = 6,0%</t>
  </si>
  <si>
    <t>09/05/2013 e 19/07/2013</t>
  </si>
  <si>
    <t>RCA
13/08/2013</t>
  </si>
  <si>
    <t>14/08/2013 e 23/10/2013</t>
  </si>
  <si>
    <t>25/04/2014 e 24/06/2014</t>
  </si>
  <si>
    <t>15/08/2014 e 24/09/2014</t>
  </si>
  <si>
    <t>25/04/2014 e 19/11/2014</t>
  </si>
  <si>
    <t>CESP3 = 16,0%
CESP5 = 14,4%
CESP6 = 14,2%</t>
  </si>
  <si>
    <t>RCA
27/04/2015</t>
  </si>
  <si>
    <t>27/04/2015 e 21/05/2015</t>
  </si>
  <si>
    <t>27/04/2015 e 21/09/2015</t>
  </si>
  <si>
    <t>CESP3 = 24,2%
CESP5 = 21,5%
CESP6 = 20,2%</t>
  </si>
  <si>
    <t>AGOE
26/04/2016</t>
  </si>
  <si>
    <t>26/04/2016 e 22/06/2016</t>
  </si>
  <si>
    <t>CESP3 = 0,9%
CESP5 = 0,6%
CESP6 = 20,2%</t>
  </si>
  <si>
    <t>11/11/2016 e 24/11/2016</t>
  </si>
  <si>
    <t>26/04/2017 e 21/06/2017</t>
  </si>
  <si>
    <t>CESP3 = 7,0%
CESP5 = 9,5%
CESP6 = 6,5%</t>
  </si>
  <si>
    <t>24/04/2018 e 12/06/2018</t>
  </si>
  <si>
    <t>CESP3 = 0,3%
CESP5 = 9,1%
CESP6 = 0,3%</t>
  </si>
  <si>
    <t>CESP3 = 4,2%
CESP5 = 9,1%
CESP6 = 4,1%</t>
  </si>
  <si>
    <t>AGOE 30/03/2020</t>
  </si>
  <si>
    <t>CESP3 = 5,7%
CESP5 = 5,8%
CESP6 = 5,8%</t>
  </si>
  <si>
    <t>16/12/2020 e 19/02/2020</t>
  </si>
  <si>
    <t>CESP3 = 9,3%
CESP5 = 7,3%
CESP6 = 9,0%</t>
  </si>
  <si>
    <t>Contencioso Passivo</t>
  </si>
  <si>
    <t>Provável</t>
  </si>
  <si>
    <t>Possível</t>
  </si>
  <si>
    <t>Remoto</t>
  </si>
  <si>
    <t>Ambiental</t>
  </si>
  <si>
    <t>Civil - Geral</t>
  </si>
  <si>
    <t>Civil - Pescadores</t>
  </si>
  <si>
    <t>Civil - Oleiros</t>
  </si>
  <si>
    <t>Natureza (%)</t>
  </si>
  <si>
    <t>Trabalhista</t>
  </si>
  <si>
    <t>Tributário</t>
  </si>
  <si>
    <t>Natureza (R$ milhões)</t>
  </si>
  <si>
    <t>Classificação (R$ milhões)</t>
  </si>
  <si>
    <t>Nota: não considera proformas apresentados nas divulgações de resultados</t>
  </si>
  <si>
    <t>Variações Trimestre (R$ milhões)</t>
  </si>
  <si>
    <t>Atualização monetária</t>
  </si>
  <si>
    <t>Movimentos, julgamentos e acordos</t>
  </si>
  <si>
    <t>Endividamento</t>
  </si>
  <si>
    <t>Dívida Bruta</t>
  </si>
  <si>
    <t>Caixa e Equivalentes de Caixa</t>
  </si>
  <si>
    <t>Derivativos</t>
  </si>
  <si>
    <t>Dívida Líquida</t>
  </si>
  <si>
    <t xml:space="preserve">EBITDA LTM </t>
  </si>
  <si>
    <t>EBITDA LTM ajustado</t>
  </si>
  <si>
    <t>Alavancagem EBITDA</t>
  </si>
  <si>
    <t>Alavancagem EBITDA Ajustado</t>
  </si>
  <si>
    <t>IPCA</t>
  </si>
  <si>
    <t>CDI</t>
  </si>
  <si>
    <t>Prazo médio da dívida (anos)</t>
  </si>
  <si>
    <t>Dívida Bruta por Indexador (%)</t>
  </si>
  <si>
    <t>CDI + 1,64% a.a</t>
  </si>
  <si>
    <t>Encargos</t>
  </si>
  <si>
    <t>IPCA + 4,30% a.a.</t>
  </si>
  <si>
    <t>11ª Emissão de Debêntures - 1ª série</t>
  </si>
  <si>
    <t>12ª Emissão de Debêntures - 1ª série</t>
  </si>
  <si>
    <t>12ª Emissão de Debêntures - 2ª série</t>
  </si>
  <si>
    <t>12ª Emissão de Debêntures - 3ª série</t>
  </si>
  <si>
    <t>Vencimento</t>
  </si>
  <si>
    <t>11ª Emissão de Debêntures - 2ª série</t>
  </si>
  <si>
    <t>11ª Emissão de Debêntures - 4ª série</t>
  </si>
  <si>
    <t>11ª Emissão de Debêntures - 3ª série</t>
  </si>
  <si>
    <t>Nota: Dívida Bruta considera arrendamento mercantil</t>
  </si>
  <si>
    <t>Principal - R$ milhões</t>
  </si>
  <si>
    <t>Garantia Física Bruta</t>
  </si>
  <si>
    <t>Garantia Física Líquida (considerando perdas de 2,5%)</t>
  </si>
  <si>
    <t>Endividamento (R$ mil)</t>
  </si>
  <si>
    <t>Energia Disponível para Venda (MWm)</t>
  </si>
  <si>
    <t>Energia Vendida (MWm)</t>
  </si>
  <si>
    <t>Mercado Regulado - ACR</t>
  </si>
  <si>
    <t>Nível de Contratação</t>
  </si>
  <si>
    <t>Preço Médio (R$/MWh)</t>
  </si>
  <si>
    <t>Mercado Livre - ACL</t>
  </si>
  <si>
    <t>Portfólio</t>
  </si>
  <si>
    <t>Dólar</t>
  </si>
  <si>
    <t>Nota: Garantia Física considera -  2021 (Porto Primavera + Paraibuna), 2022 (Porto Primavera e Paraibuna até junho), a partir de 2023 (Porto Primavera)</t>
  </si>
  <si>
    <t>Indexadores (% Total do ACL)</t>
  </si>
  <si>
    <t>Carteira de Clientes (% Total do ACL)</t>
  </si>
  <si>
    <r>
      <t>Área do resevatório (km</t>
    </r>
    <r>
      <rPr>
        <b/>
        <vertAlign val="superscript"/>
        <sz val="10"/>
        <color theme="1" tint="0.249977111117893"/>
        <rFont val="Arial"/>
        <family val="2"/>
      </rPr>
      <t>2</t>
    </r>
    <r>
      <rPr>
        <b/>
        <sz val="10"/>
        <color theme="1" tint="0.249977111117893"/>
        <rFont val="Arial"/>
        <family val="2"/>
      </rPr>
      <t>)</t>
    </r>
  </si>
  <si>
    <t>Resultados Consolidados
(DRE)</t>
  </si>
  <si>
    <t>Valor Provisionado</t>
  </si>
  <si>
    <t xml:space="preserve">Notas: 
2019 alterado para base de comparação com 2020. A linha de desbloqueio judicial passou a ser contabilizada no Capital e Giro e a linha de serviços de dívida passou a desconsiderar as receitas financeiras, que também estão englobadas no Capital de Giro
Linha de pagamento de litígio representa a soma de pagamento de litígios e acordos judiciais 
1T21: linha de IR/CSLL onsidera R$16 milhões de IR retido na fonte referente a distribuição de JCP
</t>
  </si>
  <si>
    <r>
      <rPr>
        <b/>
        <sz val="9"/>
        <color theme="1" tint="0.249977111117893"/>
        <rFont val="Arial"/>
        <family val="2"/>
      </rPr>
      <t xml:space="preserve">Notas: </t>
    </r>
    <r>
      <rPr>
        <sz val="9"/>
        <color theme="1" tint="0.249977111117893"/>
        <rFont val="Arial"/>
        <family val="2"/>
      </rPr>
      <t xml:space="preserve">
</t>
    </r>
    <r>
      <rPr>
        <b/>
        <u/>
        <sz val="9"/>
        <color theme="1" tint="0.249977111117893"/>
        <rFont val="Arial"/>
        <family val="2"/>
      </rPr>
      <t>2020</t>
    </r>
    <r>
      <rPr>
        <sz val="9"/>
        <color theme="1" tint="0.249977111117893"/>
        <rFont val="Arial"/>
        <family val="2"/>
      </rPr>
      <t xml:space="preserve"> - balanço publicado na divulgação de resultados do 4T20
</t>
    </r>
    <r>
      <rPr>
        <b/>
        <u/>
        <sz val="9"/>
        <color theme="1" tint="0.249977111117893"/>
        <rFont val="Arial"/>
        <family val="2"/>
      </rPr>
      <t>2021</t>
    </r>
    <r>
      <rPr>
        <sz val="9"/>
        <color theme="1" tint="0.249977111117893"/>
        <rFont val="Arial"/>
        <family val="2"/>
      </rPr>
      <t xml:space="preserve"> - balanço publicado na divulgação de resultados do 2T21
</t>
    </r>
    <r>
      <rPr>
        <b/>
        <sz val="9"/>
        <color theme="1" tint="0.249977111117893"/>
        <rFont val="Arial"/>
        <family val="2"/>
      </rPr>
      <t xml:space="preserve">GSF </t>
    </r>
    <r>
      <rPr>
        <sz val="9"/>
        <color theme="1" tint="0.249977111117893"/>
        <rFont val="Arial"/>
        <family val="2"/>
      </rPr>
      <t xml:space="preserve">ponderado pela alocação da Companhia dado que para os anos de 2020 e 2021, seguimos o MRE
</t>
    </r>
    <r>
      <rPr>
        <b/>
        <sz val="9"/>
        <color theme="1" tint="0.249977111117893"/>
        <rFont val="Arial"/>
        <family val="2"/>
      </rPr>
      <t>Custo de Compra de Energia</t>
    </r>
    <r>
      <rPr>
        <sz val="9"/>
        <color theme="1" tint="0.249977111117893"/>
        <rFont val="Arial"/>
        <family val="2"/>
      </rPr>
      <t xml:space="preserve"> considera apenas os dados apresentados no balanço, considerando o preço médio do período e não reflete os dados oficiais reportados na nota explicativa da DF da Companhia</t>
    </r>
  </si>
  <si>
    <t>9M21</t>
  </si>
  <si>
    <t>Portfólio de Energia 3T21</t>
  </si>
  <si>
    <t>Repactuação Risco Hidrológico (GSF)</t>
  </si>
  <si>
    <t>Contratos futuros de energia¹</t>
  </si>
  <si>
    <t>Notas:</t>
  </si>
  <si>
    <t>Ativos mantidos para venda</t>
  </si>
  <si>
    <t>(-) Ações em Tesouraria</t>
  </si>
  <si>
    <t xml:space="preserve">Reversão/provisão de impairment de ativo imobilizado </t>
  </si>
  <si>
    <t>Provisão/Reversão Honorários ad exitum</t>
  </si>
  <si>
    <t>Provisão/Reversão PIS/COFINS sobre atualização de depósitos judiciais</t>
  </si>
  <si>
    <t>Extensão de concessão provisória concedida em mar/2021 e final em ago21</t>
  </si>
  <si>
    <t>Extensão de concessão concedida em set/2021</t>
  </si>
  <si>
    <t>Indústria Automotiva</t>
  </si>
  <si>
    <t>Alimentos</t>
  </si>
  <si>
    <t>Manufatura</t>
  </si>
  <si>
    <t>Agronegócio</t>
  </si>
  <si>
    <t>Petróleo e Gás</t>
  </si>
  <si>
    <t>Outros</t>
  </si>
  <si>
    <t>Portfolio 21-27</t>
  </si>
  <si>
    <t>¹ A partir do 3T21, por recomendação da auditoria, passamos a reportar os valores de contratos futuros de energia brutos e não mais líquidos. Para propósitos de comparação, aqui foram ajustados os números desde 31/12/2020.</t>
  </si>
  <si>
    <t>Carteira 3T21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</si>
</sst>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#,##0.0"/>
    <numFmt numFmtId="167" formatCode="0.0%"/>
    <numFmt numFmtId="168" formatCode="0.0"/>
    <numFmt numFmtId="169" formatCode="_-* #,##0.0000000000_-;\-* #,##0.0000000000_-;_-* &quot;-&quot;??_-;_-@_-"/>
    <numFmt numFmtId="170" formatCode="dd/mm/yy;@"/>
    <numFmt numFmtId="171" formatCode="_-* #,##0.00000000_-;\-* #,##0.00000000_-;_-* &quot;-&quot;??_-;_-@_-"/>
    <numFmt numFmtId="172" formatCode="_-* #,##0.000000000_-;\-* #,##0.000000000_-;_-* &quot;-&quot;??_-;_-@_-"/>
    <numFmt numFmtId="173" formatCode="_-* #,##0.0_-;\-* #,##0.0_-;_-* &quot;-&quot;??_-;_-@_-"/>
    <numFmt numFmtId="174" formatCode="0.0\x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2174B9"/>
      <name val="Arial"/>
      <family val="2"/>
    </font>
    <font>
      <sz val="10"/>
      <color theme="1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0"/>
      <color theme="1" tint="0.249977111117893"/>
      <name val="Arial"/>
      <family val="2"/>
    </font>
    <font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8"/>
      <color theme="0"/>
      <name val="Arial Black"/>
      <family val="2"/>
    </font>
    <font>
      <b/>
      <sz val="10"/>
      <color theme="1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u/>
      <sz val="9"/>
      <color theme="1" tint="0.249977111117893"/>
      <name val="Arial"/>
      <family val="2"/>
    </font>
    <font>
      <b/>
      <sz val="9"/>
      <color rgb="FF2174B9"/>
      <name val="Arial"/>
      <family val="2"/>
    </font>
    <font>
      <sz val="10"/>
      <color rgb="FF2174B9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 Black"/>
      <family val="2"/>
    </font>
    <font>
      <sz val="9"/>
      <color theme="1"/>
      <name val="Arial"/>
      <family val="2"/>
    </font>
    <font>
      <sz val="10"/>
      <color rgb="FFC00000"/>
      <name val="Arial"/>
      <family val="2"/>
    </font>
    <font>
      <b/>
      <i/>
      <sz val="10"/>
      <color rgb="FF2174B9"/>
      <name val="Arial"/>
      <family val="2"/>
    </font>
    <font>
      <sz val="9"/>
      <color rgb="FF2174B9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4B9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thin">
        <color rgb="FF2174B9"/>
      </left>
      <right style="thin">
        <color rgb="FF2174B9"/>
      </right>
      <top style="thin">
        <color rgb="FF2174B9"/>
      </top>
      <bottom style="thin">
        <color rgb="FF2174B9"/>
      </bottom>
      <diagonal/>
    </border>
    <border>
      <left style="thin">
        <color rgb="FF2174B9"/>
      </left>
      <right/>
      <top style="thin">
        <color rgb="FF2174B9"/>
      </top>
      <bottom style="thin">
        <color rgb="FF2174B9"/>
      </bottom>
      <diagonal/>
    </border>
    <border>
      <left style="thin">
        <color rgb="FF2174B9"/>
      </left>
      <right style="thin">
        <color rgb="FF2174B9"/>
      </right>
      <top style="thin">
        <color rgb="FF2174B9"/>
      </top>
      <bottom style="medium">
        <color rgb="FFBFBFBF"/>
      </bottom>
      <diagonal/>
    </border>
    <border>
      <left style="thin">
        <color rgb="FF2174B9"/>
      </left>
      <right style="thin">
        <color rgb="FF2174B9"/>
      </right>
      <top/>
      <bottom/>
      <diagonal/>
    </border>
    <border>
      <left style="thin">
        <color rgb="FF2174B9"/>
      </left>
      <right style="thin">
        <color rgb="FF2174B9"/>
      </right>
      <top/>
      <bottom style="thin">
        <color rgb="FF2174B9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rgb="FFBFBFBF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319">
    <xf numFmtId="0" fontId="0" fillId="0" borderId="0" xfId="0"/>
    <xf numFmtId="0" fontId="0" fillId="0" borderId="0" xfId="0" quotePrefix="1"/>
    <xf numFmtId="0" fontId="0" fillId="5" borderId="0" xfId="0" applyFill="1"/>
    <xf numFmtId="0" fontId="0" fillId="0" borderId="0" xfId="0" applyFill="1"/>
    <xf numFmtId="0" fontId="2" fillId="0" borderId="0" xfId="0" applyFont="1"/>
    <xf numFmtId="0" fontId="3" fillId="0" borderId="1" xfId="0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0" xfId="0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165" fontId="7" fillId="0" borderId="0" xfId="1" applyNumberFormat="1" applyFont="1"/>
    <xf numFmtId="0" fontId="7" fillId="0" borderId="4" xfId="0" applyFont="1" applyBorder="1"/>
    <xf numFmtId="3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8" fontId="7" fillId="0" borderId="3" xfId="0" applyNumberFormat="1" applyFont="1" applyBorder="1"/>
    <xf numFmtId="9" fontId="7" fillId="0" borderId="3" xfId="2" applyNumberFormat="1" applyFont="1" applyBorder="1"/>
    <xf numFmtId="167" fontId="7" fillId="0" borderId="3" xfId="2" applyNumberFormat="1" applyFont="1" applyBorder="1" applyAlignment="1">
      <alignment horizontal="right"/>
    </xf>
    <xf numFmtId="1" fontId="7" fillId="0" borderId="3" xfId="0" applyNumberFormat="1" applyFont="1" applyBorder="1"/>
    <xf numFmtId="9" fontId="7" fillId="0" borderId="0" xfId="2" applyFont="1"/>
    <xf numFmtId="9" fontId="7" fillId="0" borderId="0" xfId="2" applyFont="1" applyAlignment="1">
      <alignment horizontal="right"/>
    </xf>
    <xf numFmtId="0" fontId="8" fillId="0" borderId="0" xfId="0" applyFont="1" applyAlignment="1">
      <alignment horizontal="left" vertical="center"/>
    </xf>
    <xf numFmtId="15" fontId="8" fillId="0" borderId="0" xfId="0" applyNumberFormat="1" applyFont="1" applyAlignment="1">
      <alignment horizontal="left" vertical="center"/>
    </xf>
    <xf numFmtId="165" fontId="9" fillId="0" borderId="0" xfId="1" applyNumberFormat="1" applyFont="1"/>
    <xf numFmtId="9" fontId="9" fillId="0" borderId="0" xfId="2" applyFont="1"/>
    <xf numFmtId="0" fontId="3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9" fillId="0" borderId="0" xfId="0" applyNumberFormat="1" applyFont="1"/>
    <xf numFmtId="165" fontId="7" fillId="0" borderId="3" xfId="1" applyNumberFormat="1" applyFont="1" applyBorder="1"/>
    <xf numFmtId="0" fontId="16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64" fontId="6" fillId="3" borderId="0" xfId="0" applyNumberFormat="1" applyFont="1" applyFill="1" applyAlignment="1">
      <alignment horizontal="right" vertical="top" wrapText="1"/>
    </xf>
    <xf numFmtId="0" fontId="11" fillId="0" borderId="0" xfId="0" applyFont="1"/>
    <xf numFmtId="0" fontId="5" fillId="2" borderId="0" xfId="0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65" fontId="6" fillId="2" borderId="0" xfId="1" applyNumberFormat="1" applyFont="1" applyFill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165" fontId="5" fillId="4" borderId="0" xfId="1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165" fontId="6" fillId="3" borderId="0" xfId="1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165" fontId="6" fillId="4" borderId="0" xfId="1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165" fontId="5" fillId="3" borderId="0" xfId="1" applyNumberFormat="1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165" fontId="6" fillId="4" borderId="0" xfId="1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3" fontId="5" fillId="0" borderId="0" xfId="0" applyNumberFormat="1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9" fillId="0" borderId="0" xfId="0" applyFont="1"/>
    <xf numFmtId="0" fontId="4" fillId="6" borderId="12" xfId="0" applyFont="1" applyFill="1" applyBorder="1"/>
    <xf numFmtId="0" fontId="4" fillId="3" borderId="0" xfId="0" applyFont="1" applyFill="1"/>
    <xf numFmtId="14" fontId="3" fillId="0" borderId="9" xfId="0" applyNumberFormat="1" applyFont="1" applyFill="1" applyBorder="1" applyAlignment="1">
      <alignment horizontal="center" vertical="center" wrapText="1"/>
    </xf>
    <xf numFmtId="14" fontId="17" fillId="0" borderId="16" xfId="0" applyNumberFormat="1" applyFont="1" applyFill="1" applyBorder="1" applyAlignment="1">
      <alignment horizontal="center" vertical="center" wrapText="1"/>
    </xf>
    <xf numFmtId="0" fontId="7" fillId="6" borderId="12" xfId="0" applyFont="1" applyFill="1" applyBorder="1"/>
    <xf numFmtId="14" fontId="9" fillId="0" borderId="16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Fill="1" applyBorder="1" applyAlignment="1">
      <alignment horizontal="center" vertical="center" wrapText="1"/>
    </xf>
    <xf numFmtId="14" fontId="7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14" fontId="7" fillId="0" borderId="21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/>
    <xf numFmtId="172" fontId="9" fillId="0" borderId="16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left" vertical="center" wrapText="1" indent="1"/>
    </xf>
    <xf numFmtId="172" fontId="7" fillId="0" borderId="10" xfId="1" applyNumberFormat="1" applyFont="1" applyFill="1" applyBorder="1" applyAlignment="1">
      <alignment horizontal="left" vertical="center" wrapText="1" indent="1"/>
    </xf>
    <xf numFmtId="0" fontId="9" fillId="0" borderId="22" xfId="0" applyFont="1" applyFill="1" applyBorder="1" applyAlignment="1">
      <alignment horizontal="right" vertical="center" wrapText="1"/>
    </xf>
    <xf numFmtId="172" fontId="9" fillId="0" borderId="10" xfId="1" applyNumberFormat="1" applyFont="1" applyFill="1" applyBorder="1" applyAlignment="1">
      <alignment horizontal="left" vertical="center" wrapText="1" indent="1"/>
    </xf>
    <xf numFmtId="169" fontId="7" fillId="0" borderId="10" xfId="1" applyNumberFormat="1" applyFont="1" applyFill="1" applyBorder="1" applyAlignment="1">
      <alignment horizontal="left" vertical="center" wrapText="1" indent="1"/>
    </xf>
    <xf numFmtId="169" fontId="9" fillId="0" borderId="16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0" fontId="7" fillId="0" borderId="10" xfId="0" applyNumberFormat="1" applyFont="1" applyFill="1" applyBorder="1" applyAlignment="1">
      <alignment horizontal="center" vertical="center" wrapText="1"/>
    </xf>
    <xf numFmtId="170" fontId="7" fillId="0" borderId="12" xfId="0" applyNumberFormat="1" applyFont="1" applyFill="1" applyBorder="1" applyAlignment="1">
      <alignment horizontal="center" vertical="center" wrapText="1"/>
    </xf>
    <xf numFmtId="170" fontId="6" fillId="0" borderId="10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right" vertical="center" wrapText="1"/>
    </xf>
    <xf numFmtId="43" fontId="9" fillId="0" borderId="12" xfId="1" applyFont="1" applyFill="1" applyBorder="1" applyAlignment="1">
      <alignment horizontal="left" vertical="center" wrapText="1" indent="1"/>
    </xf>
    <xf numFmtId="169" fontId="9" fillId="0" borderId="12" xfId="1" applyNumberFormat="1" applyFont="1" applyFill="1" applyBorder="1" applyAlignment="1">
      <alignment horizontal="left" vertical="center" wrapText="1" indent="1"/>
    </xf>
    <xf numFmtId="0" fontId="9" fillId="0" borderId="12" xfId="0" applyFont="1" applyFill="1" applyBorder="1"/>
    <xf numFmtId="0" fontId="9" fillId="0" borderId="10" xfId="0" applyFont="1" applyFill="1" applyBorder="1"/>
    <xf numFmtId="0" fontId="11" fillId="0" borderId="12" xfId="0" applyFont="1" applyFill="1" applyBorder="1"/>
    <xf numFmtId="43" fontId="7" fillId="0" borderId="12" xfId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4"/>
    </xf>
    <xf numFmtId="170" fontId="20" fillId="0" borderId="12" xfId="0" applyNumberFormat="1" applyFont="1" applyFill="1" applyBorder="1" applyAlignment="1">
      <alignment horizontal="center" vertical="center" wrapText="1"/>
    </xf>
    <xf numFmtId="170" fontId="6" fillId="0" borderId="12" xfId="0" applyNumberFormat="1" applyFont="1" applyFill="1" applyBorder="1" applyAlignment="1">
      <alignment horizontal="center" vertical="center" wrapText="1"/>
    </xf>
    <xf numFmtId="169" fontId="7" fillId="0" borderId="12" xfId="1" applyNumberFormat="1" applyFont="1" applyFill="1" applyBorder="1" applyAlignment="1">
      <alignment horizontal="right" vertical="center" wrapText="1" indent="1"/>
    </xf>
    <xf numFmtId="169" fontId="9" fillId="0" borderId="12" xfId="1" applyNumberFormat="1" applyFont="1" applyFill="1" applyBorder="1" applyAlignment="1">
      <alignment horizontal="right" vertical="center" wrapText="1" indent="1"/>
    </xf>
    <xf numFmtId="0" fontId="11" fillId="0" borderId="0" xfId="0" applyFont="1" applyFill="1"/>
    <xf numFmtId="172" fontId="7" fillId="0" borderId="12" xfId="1" applyNumberFormat="1" applyFont="1" applyFill="1" applyBorder="1" applyAlignment="1">
      <alignment horizontal="right" vertical="center" wrapText="1" indent="1"/>
    </xf>
    <xf numFmtId="0" fontId="7" fillId="0" borderId="12" xfId="0" applyFont="1" applyFill="1" applyBorder="1"/>
    <xf numFmtId="0" fontId="7" fillId="0" borderId="10" xfId="0" applyFont="1" applyFill="1" applyBorder="1"/>
    <xf numFmtId="0" fontId="4" fillId="0" borderId="12" xfId="0" applyFont="1" applyFill="1" applyBorder="1"/>
    <xf numFmtId="172" fontId="7" fillId="0" borderId="12" xfId="1" applyNumberFormat="1" applyFont="1" applyFill="1" applyBorder="1" applyAlignment="1">
      <alignment horizontal="left" vertical="center" wrapText="1" indent="1"/>
    </xf>
    <xf numFmtId="169" fontId="7" fillId="0" borderId="12" xfId="1" applyNumberFormat="1" applyFont="1" applyFill="1" applyBorder="1" applyAlignment="1">
      <alignment horizontal="left" vertical="center" wrapText="1" indent="3"/>
    </xf>
    <xf numFmtId="171" fontId="7" fillId="0" borderId="12" xfId="1" applyNumberFormat="1" applyFont="1" applyFill="1" applyBorder="1" applyAlignment="1">
      <alignment horizontal="left" vertical="center" wrapText="1" indent="1"/>
    </xf>
    <xf numFmtId="169" fontId="9" fillId="0" borderId="12" xfId="1" applyNumberFormat="1" applyFont="1" applyFill="1" applyBorder="1" applyAlignment="1">
      <alignment horizontal="left" vertical="center" wrapText="1" indent="2"/>
    </xf>
    <xf numFmtId="0" fontId="7" fillId="0" borderId="16" xfId="0" applyFont="1" applyFill="1" applyBorder="1"/>
    <xf numFmtId="172" fontId="7" fillId="0" borderId="12" xfId="1" applyNumberFormat="1" applyFont="1" applyFill="1" applyBorder="1" applyAlignment="1">
      <alignment horizontal="left" vertical="center" wrapText="1" indent="3"/>
    </xf>
    <xf numFmtId="172" fontId="9" fillId="0" borderId="12" xfId="1" applyNumberFormat="1" applyFont="1" applyFill="1" applyBorder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/>
    <xf numFmtId="0" fontId="13" fillId="0" borderId="23" xfId="0" applyFont="1" applyBorder="1"/>
    <xf numFmtId="0" fontId="12" fillId="4" borderId="0" xfId="0" applyFont="1" applyFill="1"/>
    <xf numFmtId="164" fontId="13" fillId="0" borderId="23" xfId="0" applyNumberFormat="1" applyFont="1" applyBorder="1"/>
    <xf numFmtId="9" fontId="13" fillId="0" borderId="23" xfId="2" applyFont="1" applyBorder="1" applyAlignment="1">
      <alignment horizontal="center"/>
    </xf>
    <xf numFmtId="165" fontId="12" fillId="0" borderId="0" xfId="1" applyNumberFormat="1" applyFont="1"/>
    <xf numFmtId="165" fontId="12" fillId="4" borderId="0" xfId="1" applyNumberFormat="1" applyFont="1" applyFill="1"/>
    <xf numFmtId="0" fontId="15" fillId="0" borderId="1" xfId="0" applyFont="1" applyBorder="1" applyAlignment="1">
      <alignment horizontal="right" vertical="center" wrapText="1"/>
    </xf>
    <xf numFmtId="167" fontId="12" fillId="2" borderId="0" xfId="2" applyNumberFormat="1" applyFont="1" applyFill="1" applyAlignment="1">
      <alignment horizontal="right" vertical="top" wrapText="1"/>
    </xf>
    <xf numFmtId="167" fontId="12" fillId="0" borderId="0" xfId="2" applyNumberFormat="1" applyFont="1" applyAlignment="1">
      <alignment horizontal="right"/>
    </xf>
    <xf numFmtId="167" fontId="12" fillId="4" borderId="0" xfId="2" applyNumberFormat="1" applyFont="1" applyFill="1" applyAlignment="1">
      <alignment horizontal="right"/>
    </xf>
    <xf numFmtId="167" fontId="13" fillId="0" borderId="23" xfId="2" applyNumberFormat="1" applyFont="1" applyBorder="1" applyAlignment="1">
      <alignment horizontal="right"/>
    </xf>
    <xf numFmtId="165" fontId="12" fillId="4" borderId="0" xfId="1" applyNumberFormat="1" applyFont="1" applyFill="1" applyAlignment="1">
      <alignment horizontal="right"/>
    </xf>
    <xf numFmtId="165" fontId="12" fillId="0" borderId="0" xfId="1" applyNumberFormat="1" applyFont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0" fontId="12" fillId="3" borderId="0" xfId="0" applyFont="1" applyFill="1"/>
    <xf numFmtId="164" fontId="12" fillId="4" borderId="0" xfId="1" applyNumberFormat="1" applyFont="1" applyFill="1"/>
    <xf numFmtId="164" fontId="12" fillId="3" borderId="0" xfId="1" applyNumberFormat="1" applyFont="1" applyFill="1"/>
    <xf numFmtId="0" fontId="13" fillId="2" borderId="23" xfId="0" applyFont="1" applyFill="1" applyBorder="1" applyAlignment="1">
      <alignment horizontal="left" vertical="center" wrapText="1"/>
    </xf>
    <xf numFmtId="0" fontId="13" fillId="0" borderId="0" xfId="0" applyFont="1"/>
    <xf numFmtId="174" fontId="13" fillId="4" borderId="23" xfId="1" applyNumberFormat="1" applyFont="1" applyFill="1" applyBorder="1"/>
    <xf numFmtId="174" fontId="13" fillId="3" borderId="0" xfId="1" applyNumberFormat="1" applyFont="1" applyFill="1"/>
    <xf numFmtId="165" fontId="12" fillId="3" borderId="0" xfId="1" applyNumberFormat="1" applyFont="1" applyFill="1"/>
    <xf numFmtId="165" fontId="12" fillId="3" borderId="0" xfId="1" applyNumberFormat="1" applyFont="1" applyFill="1" applyAlignment="1">
      <alignment horizontal="right"/>
    </xf>
    <xf numFmtId="0" fontId="13" fillId="2" borderId="24" xfId="0" applyFont="1" applyFill="1" applyBorder="1" applyAlignment="1">
      <alignment horizontal="left" vertical="center" wrapText="1"/>
    </xf>
    <xf numFmtId="0" fontId="23" fillId="0" borderId="0" xfId="0" applyFont="1"/>
    <xf numFmtId="0" fontId="13" fillId="0" borderId="0" xfId="0" applyFont="1" applyBorder="1"/>
    <xf numFmtId="164" fontId="13" fillId="0" borderId="0" xfId="0" applyNumberFormat="1" applyFont="1" applyBorder="1"/>
    <xf numFmtId="9" fontId="12" fillId="4" borderId="0" xfId="2" applyFont="1" applyFill="1"/>
    <xf numFmtId="9" fontId="12" fillId="4" borderId="0" xfId="2" applyFont="1" applyFill="1" applyAlignment="1">
      <alignment horizontal="right"/>
    </xf>
    <xf numFmtId="9" fontId="12" fillId="0" borderId="0" xfId="2" applyFont="1"/>
    <xf numFmtId="9" fontId="12" fillId="0" borderId="0" xfId="2" applyFont="1" applyAlignment="1">
      <alignment horizontal="right"/>
    </xf>
    <xf numFmtId="173" fontId="13" fillId="2" borderId="24" xfId="1" applyNumberFormat="1" applyFont="1" applyFill="1" applyBorder="1" applyAlignment="1">
      <alignment horizontal="right" vertical="top" wrapText="1"/>
    </xf>
    <xf numFmtId="9" fontId="13" fillId="0" borderId="23" xfId="2" applyFont="1" applyBorder="1"/>
    <xf numFmtId="0" fontId="19" fillId="0" borderId="0" xfId="0" applyFont="1" applyBorder="1"/>
    <xf numFmtId="0" fontId="15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/>
    <xf numFmtId="9" fontId="12" fillId="3" borderId="0" xfId="2" applyFont="1" applyFill="1" applyBorder="1"/>
    <xf numFmtId="9" fontId="12" fillId="3" borderId="0" xfId="2" applyFont="1" applyFill="1" applyBorder="1" applyAlignment="1">
      <alignment horizontal="right"/>
    </xf>
    <xf numFmtId="9" fontId="13" fillId="3" borderId="0" xfId="2" applyFont="1" applyFill="1" applyBorder="1"/>
    <xf numFmtId="14" fontId="12" fillId="0" borderId="0" xfId="2" applyNumberFormat="1" applyFont="1"/>
    <xf numFmtId="14" fontId="12" fillId="4" borderId="0" xfId="2" applyNumberFormat="1" applyFont="1" applyFill="1"/>
    <xf numFmtId="165" fontId="12" fillId="3" borderId="0" xfId="1" applyNumberFormat="1" applyFont="1" applyFill="1" applyBorder="1"/>
    <xf numFmtId="165" fontId="13" fillId="0" borderId="23" xfId="2" applyNumberFormat="1" applyFont="1" applyBorder="1"/>
    <xf numFmtId="0" fontId="12" fillId="3" borderId="0" xfId="0" applyFont="1" applyFill="1" applyAlignment="1">
      <alignment horizontal="left" vertical="center" wrapText="1"/>
    </xf>
    <xf numFmtId="9" fontId="12" fillId="3" borderId="0" xfId="2" applyFont="1" applyFill="1"/>
    <xf numFmtId="14" fontId="12" fillId="3" borderId="0" xfId="2" applyNumberFormat="1" applyFont="1" applyFill="1"/>
    <xf numFmtId="165" fontId="12" fillId="4" borderId="0" xfId="1" applyNumberFormat="1" applyFont="1" applyFill="1" applyBorder="1"/>
    <xf numFmtId="165" fontId="12" fillId="4" borderId="25" xfId="1" applyNumberFormat="1" applyFont="1" applyFill="1" applyBorder="1"/>
    <xf numFmtId="0" fontId="12" fillId="0" borderId="0" xfId="0" applyFont="1" applyBorder="1"/>
    <xf numFmtId="165" fontId="13" fillId="3" borderId="0" xfId="1" applyNumberFormat="1" applyFont="1" applyFill="1" applyBorder="1"/>
    <xf numFmtId="165" fontId="19" fillId="3" borderId="0" xfId="0" applyNumberFormat="1" applyFont="1" applyFill="1" applyBorder="1"/>
    <xf numFmtId="0" fontId="15" fillId="3" borderId="0" xfId="0" applyFont="1" applyFill="1" applyBorder="1" applyAlignment="1">
      <alignment horizontal="center" vertical="center" wrapText="1"/>
    </xf>
    <xf numFmtId="0" fontId="13" fillId="4" borderId="23" xfId="0" applyFont="1" applyFill="1" applyBorder="1"/>
    <xf numFmtId="0" fontId="12" fillId="2" borderId="25" xfId="0" applyFont="1" applyFill="1" applyBorder="1" applyAlignment="1">
      <alignment horizontal="left" vertical="center" wrapText="1"/>
    </xf>
    <xf numFmtId="165" fontId="12" fillId="4" borderId="25" xfId="1" applyNumberFormat="1" applyFont="1" applyFill="1" applyBorder="1" applyAlignment="1">
      <alignment horizontal="right"/>
    </xf>
    <xf numFmtId="0" fontId="15" fillId="0" borderId="0" xfId="0" applyFont="1" applyBorder="1"/>
    <xf numFmtId="164" fontId="13" fillId="0" borderId="0" xfId="0" applyNumberFormat="1" applyFont="1" applyBorder="1" applyAlignment="1">
      <alignment horizontal="right"/>
    </xf>
    <xf numFmtId="164" fontId="13" fillId="4" borderId="23" xfId="0" applyNumberFormat="1" applyFont="1" applyFill="1" applyBorder="1" applyAlignment="1">
      <alignment horizontal="right"/>
    </xf>
    <xf numFmtId="9" fontId="13" fillId="4" borderId="23" xfId="2" applyNumberFormat="1" applyFont="1" applyFill="1" applyBorder="1" applyAlignment="1">
      <alignment horizontal="right"/>
    </xf>
    <xf numFmtId="9" fontId="12" fillId="4" borderId="25" xfId="2" applyNumberFormat="1" applyFont="1" applyFill="1" applyBorder="1" applyAlignment="1">
      <alignment horizontal="right"/>
    </xf>
    <xf numFmtId="9" fontId="12" fillId="0" borderId="0" xfId="2" applyNumberFormat="1" applyFont="1" applyAlignment="1">
      <alignment horizontal="right"/>
    </xf>
    <xf numFmtId="164" fontId="13" fillId="0" borderId="25" xfId="0" applyNumberFormat="1" applyFont="1" applyBorder="1" applyAlignment="1">
      <alignment horizontal="right"/>
    </xf>
    <xf numFmtId="0" fontId="12" fillId="0" borderId="25" xfId="0" applyFont="1" applyBorder="1"/>
    <xf numFmtId="0" fontId="10" fillId="0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left" vertical="center"/>
    </xf>
    <xf numFmtId="164" fontId="7" fillId="3" borderId="0" xfId="0" applyNumberFormat="1" applyFont="1" applyFill="1" applyAlignment="1">
      <alignment horizontal="right" vertical="top" wrapText="1"/>
    </xf>
    <xf numFmtId="0" fontId="7" fillId="4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64" fontId="7" fillId="0" borderId="0" xfId="0" applyNumberFormat="1" applyFont="1" applyFill="1" applyAlignment="1">
      <alignment horizontal="right" vertical="top" wrapText="1"/>
    </xf>
    <xf numFmtId="0" fontId="9" fillId="4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>
      <alignment vertical="center"/>
    </xf>
    <xf numFmtId="49" fontId="7" fillId="3" borderId="0" xfId="0" applyNumberFormat="1" applyFont="1" applyFill="1" applyAlignment="1">
      <alignment horizontal="left" vertical="center" wrapText="1" shrinkToFit="1"/>
    </xf>
    <xf numFmtId="164" fontId="7" fillId="3" borderId="0" xfId="0" applyNumberFormat="1" applyFont="1" applyFill="1" applyAlignment="1">
      <alignment vertical="top"/>
    </xf>
    <xf numFmtId="0" fontId="9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3" fontId="7" fillId="0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 indent="1"/>
    </xf>
    <xf numFmtId="3" fontId="7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164" fontId="9" fillId="3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vertical="center" inden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6" fillId="0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164" fontId="7" fillId="2" borderId="0" xfId="0" applyNumberFormat="1" applyFont="1" applyFill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3" fontId="6" fillId="2" borderId="0" xfId="0" applyNumberFormat="1" applyFont="1" applyFill="1" applyAlignment="1">
      <alignment horizontal="left" vertical="center"/>
    </xf>
    <xf numFmtId="15" fontId="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15" fontId="7" fillId="0" borderId="0" xfId="0" applyNumberFormat="1" applyFont="1" applyAlignment="1">
      <alignment horizontal="left" vertical="center"/>
    </xf>
    <xf numFmtId="166" fontId="7" fillId="0" borderId="0" xfId="0" applyNumberFormat="1" applyFont="1" applyAlignment="1">
      <alignment horizontal="left" vertical="center"/>
    </xf>
    <xf numFmtId="3" fontId="7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7" fontId="9" fillId="2" borderId="0" xfId="0" applyNumberFormat="1" applyFont="1" applyFill="1" applyAlignment="1">
      <alignment horizontal="left" vertical="center"/>
    </xf>
    <xf numFmtId="167" fontId="7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3" fontId="9" fillId="2" borderId="0" xfId="0" applyNumberFormat="1" applyFont="1" applyFill="1" applyAlignment="1">
      <alignment horizontal="center" vertical="center"/>
    </xf>
    <xf numFmtId="0" fontId="25" fillId="0" borderId="0" xfId="0" applyFont="1"/>
    <xf numFmtId="4" fontId="9" fillId="2" borderId="0" xfId="0" applyNumberFormat="1" applyFont="1" applyFill="1" applyAlignment="1">
      <alignment horizontal="left"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4" fontId="7" fillId="2" borderId="0" xfId="0" applyNumberFormat="1" applyFont="1" applyFill="1" applyAlignment="1">
      <alignment horizontal="left" vertical="center" indent="1"/>
    </xf>
    <xf numFmtId="3" fontId="7" fillId="2" borderId="6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41" fontId="7" fillId="2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1" fontId="12" fillId="3" borderId="0" xfId="0" applyNumberFormat="1" applyFont="1" applyFill="1"/>
    <xf numFmtId="164" fontId="13" fillId="0" borderId="0" xfId="0" applyNumberFormat="1" applyFont="1" applyFill="1" applyBorder="1"/>
    <xf numFmtId="0" fontId="15" fillId="0" borderId="0" xfId="0" applyFont="1" applyFill="1" applyBorder="1" applyAlignment="1">
      <alignment horizontal="right" vertical="center" wrapText="1"/>
    </xf>
    <xf numFmtId="165" fontId="12" fillId="0" borderId="0" xfId="1" applyNumberFormat="1" applyFont="1" applyFill="1" applyBorder="1"/>
    <xf numFmtId="174" fontId="13" fillId="0" borderId="0" xfId="1" applyNumberFormat="1" applyFont="1" applyFill="1" applyBorder="1"/>
    <xf numFmtId="0" fontId="19" fillId="0" borderId="0" xfId="0" applyFont="1" applyFill="1" applyBorder="1"/>
    <xf numFmtId="9" fontId="12" fillId="0" borderId="0" xfId="2" applyFont="1" applyFill="1" applyBorder="1"/>
    <xf numFmtId="9" fontId="12" fillId="0" borderId="0" xfId="2" applyFont="1" applyFill="1" applyBorder="1" applyAlignment="1">
      <alignment horizontal="right"/>
    </xf>
    <xf numFmtId="9" fontId="13" fillId="0" borderId="0" xfId="2" applyFont="1" applyFill="1" applyBorder="1"/>
    <xf numFmtId="173" fontId="13" fillId="0" borderId="0" xfId="1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Alignment="1">
      <alignment horizontal="left" vertical="center"/>
    </xf>
    <xf numFmtId="3" fontId="7" fillId="0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9" fontId="7" fillId="0" borderId="0" xfId="2" applyNumberFormat="1" applyFont="1"/>
    <xf numFmtId="165" fontId="7" fillId="0" borderId="0" xfId="0" applyNumberFormat="1" applyFont="1"/>
    <xf numFmtId="9" fontId="4" fillId="0" borderId="0" xfId="2" applyNumberFormat="1" applyFont="1"/>
    <xf numFmtId="9" fontId="12" fillId="4" borderId="0" xfId="2" applyNumberFormat="1" applyFont="1" applyFill="1" applyAlignment="1">
      <alignment horizontal="right"/>
    </xf>
    <xf numFmtId="0" fontId="0" fillId="3" borderId="0" xfId="0" applyFill="1"/>
    <xf numFmtId="165" fontId="6" fillId="3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65" fontId="6" fillId="0" borderId="0" xfId="1" applyNumberFormat="1" applyFont="1" applyFill="1" applyAlignment="1">
      <alignment horizontal="right" vertical="center"/>
    </xf>
    <xf numFmtId="0" fontId="7" fillId="4" borderId="2" xfId="0" applyFont="1" applyFill="1" applyBorder="1" applyAlignment="1">
      <alignment horizontal="left" vertical="center" wrapText="1"/>
    </xf>
    <xf numFmtId="164" fontId="9" fillId="4" borderId="2" xfId="0" applyNumberFormat="1" applyFont="1" applyFill="1" applyBorder="1" applyAlignment="1">
      <alignment horizontal="right" vertical="center" wrapText="1"/>
    </xf>
    <xf numFmtId="164" fontId="4" fillId="0" borderId="0" xfId="0" applyNumberFormat="1" applyFont="1"/>
    <xf numFmtId="15" fontId="7" fillId="4" borderId="0" xfId="0" applyNumberFormat="1" applyFont="1" applyFill="1" applyAlignment="1">
      <alignment horizontal="left" vertical="center"/>
    </xf>
    <xf numFmtId="15" fontId="7" fillId="0" borderId="0" xfId="0" applyNumberFormat="1" applyFont="1" applyFill="1" applyAlignment="1">
      <alignment horizontal="left" vertical="center"/>
    </xf>
    <xf numFmtId="9" fontId="12" fillId="0" borderId="0" xfId="2" applyNumberFormat="1" applyFont="1" applyFill="1" applyBorder="1" applyAlignment="1">
      <alignment horizontal="right"/>
    </xf>
    <xf numFmtId="41" fontId="12" fillId="0" borderId="0" xfId="2" applyNumberFormat="1" applyFont="1" applyFill="1" applyBorder="1" applyAlignment="1">
      <alignment horizontal="right"/>
    </xf>
    <xf numFmtId="167" fontId="12" fillId="0" borderId="0" xfId="2" applyNumberFormat="1" applyFont="1" applyFill="1" applyBorder="1" applyAlignment="1">
      <alignment horizontal="right"/>
    </xf>
    <xf numFmtId="9" fontId="13" fillId="0" borderId="0" xfId="2" applyNumberFormat="1" applyFont="1" applyFill="1" applyBorder="1" applyAlignment="1">
      <alignment horizontal="right"/>
    </xf>
    <xf numFmtId="0" fontId="18" fillId="5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5" borderId="0" xfId="0" applyFont="1" applyFill="1" applyAlignment="1">
      <alignment horizontal="left" vertical="center"/>
    </xf>
    <xf numFmtId="49" fontId="7" fillId="3" borderId="0" xfId="0" applyNumberFormat="1" applyFont="1" applyFill="1" applyAlignment="1">
      <alignment horizontal="left" vertical="center" wrapText="1" shrinkToFit="1"/>
    </xf>
    <xf numFmtId="0" fontId="12" fillId="0" borderId="0" xfId="0" applyFont="1" applyAlignment="1">
      <alignment horizontal="left" vertical="top" wrapText="1"/>
    </xf>
    <xf numFmtId="9" fontId="7" fillId="0" borderId="11" xfId="2" applyFont="1" applyFill="1" applyBorder="1" applyAlignment="1">
      <alignment horizontal="center" vertical="center" wrapText="1"/>
    </xf>
    <xf numFmtId="9" fontId="7" fillId="0" borderId="16" xfId="2" applyFont="1" applyFill="1" applyBorder="1" applyAlignment="1">
      <alignment horizontal="center" vertical="center" wrapText="1"/>
    </xf>
    <xf numFmtId="9" fontId="7" fillId="0" borderId="10" xfId="2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14" fontId="7" fillId="0" borderId="10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16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9" fontId="7" fillId="0" borderId="15" xfId="2" applyFont="1" applyFill="1" applyBorder="1" applyAlignment="1">
      <alignment horizontal="center" vertical="center" wrapText="1"/>
    </xf>
    <xf numFmtId="170" fontId="7" fillId="0" borderId="15" xfId="0" applyNumberFormat="1" applyFont="1" applyFill="1" applyBorder="1" applyAlignment="1">
      <alignment horizontal="center" vertical="center" wrapText="1"/>
    </xf>
    <xf numFmtId="170" fontId="7" fillId="0" borderId="10" xfId="0" applyNumberFormat="1" applyFont="1" applyFill="1" applyBorder="1" applyAlignment="1">
      <alignment horizontal="center" vertical="center" wrapText="1"/>
    </xf>
    <xf numFmtId="43" fontId="7" fillId="0" borderId="15" xfId="1" applyFont="1" applyFill="1" applyBorder="1" applyAlignment="1">
      <alignment horizontal="center" vertical="center" wrapText="1"/>
    </xf>
    <xf numFmtId="43" fontId="7" fillId="0" borderId="16" xfId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165" fontId="7" fillId="0" borderId="15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9" fontId="7" fillId="0" borderId="8" xfId="2" applyFont="1" applyFill="1" applyBorder="1" applyAlignment="1">
      <alignment horizontal="center" vertical="center" wrapText="1"/>
    </xf>
    <xf numFmtId="9" fontId="7" fillId="0" borderId="18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right" vertical="center" wrapText="1"/>
    </xf>
    <xf numFmtId="0" fontId="9" fillId="0" borderId="20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9" fontId="7" fillId="0" borderId="15" xfId="2" applyFont="1" applyFill="1" applyBorder="1" applyAlignment="1">
      <alignment horizontal="left" vertical="center" wrapText="1"/>
    </xf>
    <xf numFmtId="9" fontId="7" fillId="0" borderId="16" xfId="2" applyFont="1" applyFill="1" applyBorder="1" applyAlignment="1">
      <alignment horizontal="left" vertical="center" wrapText="1"/>
    </xf>
    <xf numFmtId="9" fontId="7" fillId="0" borderId="10" xfId="2" applyFont="1" applyFill="1" applyBorder="1" applyAlignment="1">
      <alignment horizontal="left" vertical="center" wrapText="1"/>
    </xf>
  </cellXfs>
  <cellStyles count="4">
    <cellStyle name="Normal" xfId="0" builtinId="0"/>
    <cellStyle name="Normal 2" xfId="3" xr:uid="{25D35071-2743-4249-9C9B-E1FC9F60315B}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2174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pera&#231;&#227;o!A1"/><Relationship Id="rId3" Type="http://schemas.openxmlformats.org/officeDocument/2006/relationships/hyperlink" Target="#'Custos e Despesas'!A1"/><Relationship Id="rId7" Type="http://schemas.openxmlformats.org/officeDocument/2006/relationships/hyperlink" Target="#Endividamento!A1"/><Relationship Id="rId12" Type="http://schemas.openxmlformats.org/officeDocument/2006/relationships/hyperlink" Target="#Dividendos!A1"/><Relationship Id="rId2" Type="http://schemas.openxmlformats.org/officeDocument/2006/relationships/hyperlink" Target="#'Fluxo de Caixa'!A1"/><Relationship Id="rId1" Type="http://schemas.openxmlformats.org/officeDocument/2006/relationships/hyperlink" Target="#Resultados!A1"/><Relationship Id="rId6" Type="http://schemas.microsoft.com/office/2007/relationships/hdphoto" Target="../media/hdphoto1.wdp"/><Relationship Id="rId11" Type="http://schemas.openxmlformats.org/officeDocument/2006/relationships/hyperlink" Target="#'Portf&#243;lio de Energia'!A1"/><Relationship Id="rId5" Type="http://schemas.openxmlformats.org/officeDocument/2006/relationships/image" Target="../media/image1.png"/><Relationship Id="rId10" Type="http://schemas.openxmlformats.org/officeDocument/2006/relationships/hyperlink" Target="#'Contencioso Passivo'!A1"/><Relationship Id="rId4" Type="http://schemas.openxmlformats.org/officeDocument/2006/relationships/hyperlink" Target="#'Balan&#231;o Patrimonial'!A1"/><Relationship Id="rId9" Type="http://schemas.openxmlformats.org/officeDocument/2006/relationships/hyperlink" Target="#'Balan&#231;o Energ&#233;tico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Home!A1"/><Relationship Id="rId4" Type="http://schemas.microsoft.com/office/2007/relationships/hdphoto" Target="../media/hdphoto2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Cover!A1"/><Relationship Id="rId5" Type="http://schemas.openxmlformats.org/officeDocument/2006/relationships/hyperlink" Target="#Home!A1"/><Relationship Id="rId4" Type="http://schemas.microsoft.com/office/2007/relationships/hdphoto" Target="../media/hdphoto2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Home!A1"/><Relationship Id="rId2" Type="http://schemas.microsoft.com/office/2007/relationships/hdphoto" Target="../media/hdphoto2.wdp"/><Relationship Id="rId1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382669</xdr:colOff>
      <xdr:row>1</xdr:row>
      <xdr:rowOff>66811</xdr:rowOff>
    </xdr:from>
    <xdr:to>
      <xdr:col>19</xdr:col>
      <xdr:colOff>258542</xdr:colOff>
      <xdr:row>5</xdr:row>
      <xdr:rowOff>168811</xdr:rowOff>
    </xdr:to>
    <xdr:sp macro="" textlink="">
      <xdr:nvSpPr>
        <xdr:cNvPr id="2" name="Retângulo de cantos arredondado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D2C1E8-9381-4936-A2DC-9E3F030E42E1}"/>
            </a:ext>
          </a:extLst>
        </xdr:cNvPr>
        <xdr:cNvSpPr/>
      </xdr:nvSpPr>
      <xdr:spPr>
        <a:xfrm>
          <a:off x="7088269" y="257311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Demonstrativo de Resultados</a:t>
          </a:r>
        </a:p>
      </xdr:txBody>
    </xdr:sp>
    <xdr:clientData/>
  </xdr:twoCellAnchor>
  <xdr:twoCellAnchor>
    <xdr:from>
      <xdr:col>11</xdr:col>
      <xdr:colOff>382669</xdr:colOff>
      <xdr:row>7</xdr:row>
      <xdr:rowOff>91617</xdr:rowOff>
    </xdr:from>
    <xdr:to>
      <xdr:col>19</xdr:col>
      <xdr:colOff>258542</xdr:colOff>
      <xdr:row>12</xdr:row>
      <xdr:rowOff>3117</xdr:rowOff>
    </xdr:to>
    <xdr:sp macro="" textlink="">
      <xdr:nvSpPr>
        <xdr:cNvPr id="3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00646E-5237-45DC-A611-DD9BA4E2409E}"/>
            </a:ext>
          </a:extLst>
        </xdr:cNvPr>
        <xdr:cNvSpPr/>
      </xdr:nvSpPr>
      <xdr:spPr>
        <a:xfrm>
          <a:off x="7088269" y="1425117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Demonstração do Fluxo de Caixa</a:t>
          </a:r>
        </a:p>
      </xdr:txBody>
    </xdr:sp>
    <xdr:clientData/>
  </xdr:twoCellAnchor>
  <xdr:twoCellAnchor>
    <xdr:from>
      <xdr:col>11</xdr:col>
      <xdr:colOff>372583</xdr:colOff>
      <xdr:row>19</xdr:row>
      <xdr:rowOff>128530</xdr:rowOff>
    </xdr:from>
    <xdr:to>
      <xdr:col>19</xdr:col>
      <xdr:colOff>248456</xdr:colOff>
      <xdr:row>24</xdr:row>
      <xdr:rowOff>40030</xdr:rowOff>
    </xdr:to>
    <xdr:sp macro="" textlink="">
      <xdr:nvSpPr>
        <xdr:cNvPr id="4" name="Retângulo de cantos arredondado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DE34C3F-EB6F-4BA3-A7E7-70C4C9619515}"/>
            </a:ext>
          </a:extLst>
        </xdr:cNvPr>
        <xdr:cNvSpPr/>
      </xdr:nvSpPr>
      <xdr:spPr>
        <a:xfrm>
          <a:off x="7078183" y="3748030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Custos e Despesas</a:t>
          </a:r>
        </a:p>
      </xdr:txBody>
    </xdr:sp>
    <xdr:clientData/>
  </xdr:twoCellAnchor>
  <xdr:oneCellAnchor>
    <xdr:from>
      <xdr:col>3</xdr:col>
      <xdr:colOff>168731</xdr:colOff>
      <xdr:row>11</xdr:row>
      <xdr:rowOff>117123</xdr:rowOff>
    </xdr:from>
    <xdr:ext cx="4675413" cy="88870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3E226B31-8A3E-4C50-A675-00F40E1E2973}"/>
            </a:ext>
          </a:extLst>
        </xdr:cNvPr>
        <xdr:cNvSpPr txBox="1"/>
      </xdr:nvSpPr>
      <xdr:spPr>
        <a:xfrm>
          <a:off x="2005695" y="2212623"/>
          <a:ext cx="4675413" cy="88870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Relações com Investidores</a:t>
          </a:r>
        </a:p>
        <a:p>
          <a:pPr algn="l"/>
          <a:r>
            <a:rPr lang="pt-BR" sz="1800" b="0" baseline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ricesp@cesp.com.br</a:t>
          </a:r>
        </a:p>
        <a:p>
          <a:pPr algn="l"/>
          <a:r>
            <a:rPr lang="pt-BR" sz="1800" b="0" baseline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(11) 3092-2956</a:t>
          </a:r>
        </a:p>
      </xdr:txBody>
    </xdr:sp>
    <xdr:clientData/>
  </xdr:oneCellAnchor>
  <xdr:twoCellAnchor>
    <xdr:from>
      <xdr:col>11</xdr:col>
      <xdr:colOff>392194</xdr:colOff>
      <xdr:row>13</xdr:row>
      <xdr:rowOff>103724</xdr:rowOff>
    </xdr:from>
    <xdr:to>
      <xdr:col>19</xdr:col>
      <xdr:colOff>268067</xdr:colOff>
      <xdr:row>18</xdr:row>
      <xdr:rowOff>15224</xdr:rowOff>
    </xdr:to>
    <xdr:sp macro="" textlink="">
      <xdr:nvSpPr>
        <xdr:cNvPr id="7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F51777-3E2C-492C-BC6C-BA36D8300681}"/>
            </a:ext>
          </a:extLst>
        </xdr:cNvPr>
        <xdr:cNvSpPr/>
      </xdr:nvSpPr>
      <xdr:spPr>
        <a:xfrm>
          <a:off x="7097794" y="2580224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 i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Balanço</a:t>
          </a:r>
          <a:r>
            <a:rPr lang="pt-BR" sz="1800" b="1" i="0" baseline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 Patrimonial</a:t>
          </a:r>
          <a:endParaRPr lang="pt-BR" sz="1800" b="1" i="1">
            <a:solidFill>
              <a:schemeClr val="tx1">
                <a:lumMod val="75000"/>
                <a:lumOff val="25000"/>
              </a:schemeClr>
            </a:solidFill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88648</xdr:colOff>
      <xdr:row>1</xdr:row>
      <xdr:rowOff>108721</xdr:rowOff>
    </xdr:from>
    <xdr:to>
      <xdr:col>9</xdr:col>
      <xdr:colOff>343094</xdr:colOff>
      <xdr:row>7</xdr:row>
      <xdr:rowOff>109622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6123427-F0CF-47F4-944C-47CDAE198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artisticPhotocopy/>
                  </a14:imgEffect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4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5612" y="299221"/>
          <a:ext cx="3928375" cy="1143901"/>
        </a:xfrm>
        <a:prstGeom prst="rect">
          <a:avLst/>
        </a:prstGeom>
      </xdr:spPr>
    </xdr:pic>
    <xdr:clientData/>
  </xdr:twoCellAnchor>
  <xdr:twoCellAnchor>
    <xdr:from>
      <xdr:col>11</xdr:col>
      <xdr:colOff>372582</xdr:colOff>
      <xdr:row>25</xdr:row>
      <xdr:rowOff>162097</xdr:rowOff>
    </xdr:from>
    <xdr:to>
      <xdr:col>19</xdr:col>
      <xdr:colOff>248455</xdr:colOff>
      <xdr:row>30</xdr:row>
      <xdr:rowOff>73597</xdr:rowOff>
    </xdr:to>
    <xdr:sp macro="" textlink="">
      <xdr:nvSpPr>
        <xdr:cNvPr id="10" name="Retângulo de cantos arredondados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1CD4F40-013F-4BA1-AD68-406C99D443E4}"/>
            </a:ext>
          </a:extLst>
        </xdr:cNvPr>
        <xdr:cNvSpPr/>
      </xdr:nvSpPr>
      <xdr:spPr>
        <a:xfrm>
          <a:off x="7078182" y="4924597"/>
          <a:ext cx="4752673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Endividamento</a:t>
          </a:r>
        </a:p>
      </xdr:txBody>
    </xdr:sp>
    <xdr:clientData/>
  </xdr:twoCellAnchor>
  <xdr:twoCellAnchor>
    <xdr:from>
      <xdr:col>1</xdr:col>
      <xdr:colOff>2</xdr:colOff>
      <xdr:row>1</xdr:row>
      <xdr:rowOff>122466</xdr:rowOff>
    </xdr:from>
    <xdr:to>
      <xdr:col>2</xdr:col>
      <xdr:colOff>381001</xdr:colOff>
      <xdr:row>6</xdr:row>
      <xdr:rowOff>57379</xdr:rowOff>
    </xdr:to>
    <xdr:sp macro="" textlink="">
      <xdr:nvSpPr>
        <xdr:cNvPr id="14" name="Freeform 5">
          <a:extLst>
            <a:ext uri="{FF2B5EF4-FFF2-40B4-BE49-F238E27FC236}">
              <a16:creationId xmlns:a16="http://schemas.microsoft.com/office/drawing/2014/main" id="{6B4F53E4-F927-40B9-A7FA-6BDBC6CD3223}"/>
            </a:ext>
          </a:extLst>
        </xdr:cNvPr>
        <xdr:cNvSpPr>
          <a:spLocks noEditPoints="1"/>
        </xdr:cNvSpPr>
      </xdr:nvSpPr>
      <xdr:spPr bwMode="auto">
        <a:xfrm>
          <a:off x="612323" y="312966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8</xdr:row>
      <xdr:rowOff>149680</xdr:rowOff>
    </xdr:from>
    <xdr:to>
      <xdr:col>1</xdr:col>
      <xdr:colOff>381000</xdr:colOff>
      <xdr:row>13</xdr:row>
      <xdr:rowOff>84593</xdr:rowOff>
    </xdr:to>
    <xdr:sp macro="" textlink="">
      <xdr:nvSpPr>
        <xdr:cNvPr id="15" name="Freeform 5">
          <a:extLst>
            <a:ext uri="{FF2B5EF4-FFF2-40B4-BE49-F238E27FC236}">
              <a16:creationId xmlns:a16="http://schemas.microsoft.com/office/drawing/2014/main" id="{1EF9A2B4-4833-4A7E-BF0B-69411BD9B90C}"/>
            </a:ext>
          </a:extLst>
        </xdr:cNvPr>
        <xdr:cNvSpPr>
          <a:spLocks noEditPoints="1"/>
        </xdr:cNvSpPr>
      </xdr:nvSpPr>
      <xdr:spPr bwMode="auto">
        <a:xfrm>
          <a:off x="0" y="1673680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19</xdr:row>
      <xdr:rowOff>27214</xdr:rowOff>
    </xdr:from>
    <xdr:to>
      <xdr:col>0</xdr:col>
      <xdr:colOff>585107</xdr:colOff>
      <xdr:row>21</xdr:row>
      <xdr:rowOff>166236</xdr:rowOff>
    </xdr:to>
    <xdr:sp macro="" textlink="">
      <xdr:nvSpPr>
        <xdr:cNvPr id="16" name="Freeform 5">
          <a:extLst>
            <a:ext uri="{FF2B5EF4-FFF2-40B4-BE49-F238E27FC236}">
              <a16:creationId xmlns:a16="http://schemas.microsoft.com/office/drawing/2014/main" id="{C1316C36-A608-4A59-9404-CDD09FD1E8EB}"/>
            </a:ext>
          </a:extLst>
        </xdr:cNvPr>
        <xdr:cNvSpPr>
          <a:spLocks noEditPoints="1"/>
        </xdr:cNvSpPr>
      </xdr:nvSpPr>
      <xdr:spPr bwMode="auto">
        <a:xfrm>
          <a:off x="0" y="3646714"/>
          <a:ext cx="585107" cy="520022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272143</xdr:colOff>
      <xdr:row>14</xdr:row>
      <xdr:rowOff>81643</xdr:rowOff>
    </xdr:from>
    <xdr:to>
      <xdr:col>2</xdr:col>
      <xdr:colOff>244928</xdr:colOff>
      <xdr:row>17</xdr:row>
      <xdr:rowOff>30165</xdr:rowOff>
    </xdr:to>
    <xdr:sp macro="" textlink="">
      <xdr:nvSpPr>
        <xdr:cNvPr id="17" name="Freeform 5">
          <a:extLst>
            <a:ext uri="{FF2B5EF4-FFF2-40B4-BE49-F238E27FC236}">
              <a16:creationId xmlns:a16="http://schemas.microsoft.com/office/drawing/2014/main" id="{8BB23F22-8350-4307-AEF9-AE9EF6CC14AF}"/>
            </a:ext>
          </a:extLst>
        </xdr:cNvPr>
        <xdr:cNvSpPr>
          <a:spLocks noEditPoints="1"/>
        </xdr:cNvSpPr>
      </xdr:nvSpPr>
      <xdr:spPr bwMode="auto">
        <a:xfrm>
          <a:off x="884464" y="2748643"/>
          <a:ext cx="585107" cy="520022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557892</xdr:colOff>
      <xdr:row>22</xdr:row>
      <xdr:rowOff>95252</xdr:rowOff>
    </xdr:from>
    <xdr:to>
      <xdr:col>2</xdr:col>
      <xdr:colOff>326570</xdr:colOff>
      <xdr:row>27</xdr:row>
      <xdr:rowOff>30165</xdr:rowOff>
    </xdr:to>
    <xdr:sp macro="" textlink="">
      <xdr:nvSpPr>
        <xdr:cNvPr id="18" name="Freeform 5">
          <a:extLst>
            <a:ext uri="{FF2B5EF4-FFF2-40B4-BE49-F238E27FC236}">
              <a16:creationId xmlns:a16="http://schemas.microsoft.com/office/drawing/2014/main" id="{4C743EC8-08CD-480B-A7C4-147D3DD9E8B4}"/>
            </a:ext>
          </a:extLst>
        </xdr:cNvPr>
        <xdr:cNvSpPr>
          <a:spLocks noEditPoints="1"/>
        </xdr:cNvSpPr>
      </xdr:nvSpPr>
      <xdr:spPr bwMode="auto">
        <a:xfrm>
          <a:off x="557892" y="4286252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29</xdr:row>
      <xdr:rowOff>2</xdr:rowOff>
    </xdr:from>
    <xdr:to>
      <xdr:col>1</xdr:col>
      <xdr:colOff>381000</xdr:colOff>
      <xdr:row>33</xdr:row>
      <xdr:rowOff>125415</xdr:rowOff>
    </xdr:to>
    <xdr:sp macro="" textlink="">
      <xdr:nvSpPr>
        <xdr:cNvPr id="19" name="Freeform 5">
          <a:extLst>
            <a:ext uri="{FF2B5EF4-FFF2-40B4-BE49-F238E27FC236}">
              <a16:creationId xmlns:a16="http://schemas.microsoft.com/office/drawing/2014/main" id="{A9B01C2E-9087-46FA-A492-E2300F3DEDF8}"/>
            </a:ext>
          </a:extLst>
        </xdr:cNvPr>
        <xdr:cNvSpPr>
          <a:spLocks noEditPoints="1"/>
        </xdr:cNvSpPr>
      </xdr:nvSpPr>
      <xdr:spPr bwMode="auto">
        <a:xfrm>
          <a:off x="0" y="5524502"/>
          <a:ext cx="993321" cy="887413"/>
        </a:xfrm>
        <a:custGeom>
          <a:avLst/>
          <a:gdLst>
            <a:gd name="T0" fmla="*/ 328 w 2438"/>
            <a:gd name="T1" fmla="*/ 490 h 2119"/>
            <a:gd name="T2" fmla="*/ 610 w 2438"/>
            <a:gd name="T3" fmla="*/ 0 h 2119"/>
            <a:gd name="T4" fmla="*/ 1830 w 2438"/>
            <a:gd name="T5" fmla="*/ 0 h 2119"/>
            <a:gd name="T6" fmla="*/ 2438 w 2438"/>
            <a:gd name="T7" fmla="*/ 1059 h 2119"/>
            <a:gd name="T8" fmla="*/ 2124 w 2438"/>
            <a:gd name="T9" fmla="*/ 1605 h 2119"/>
            <a:gd name="T10" fmla="*/ 237 w 2438"/>
            <a:gd name="T11" fmla="*/ 647 h 2119"/>
            <a:gd name="T12" fmla="*/ 0 w 2438"/>
            <a:gd name="T13" fmla="*/ 1059 h 2119"/>
            <a:gd name="T14" fmla="*/ 610 w 2438"/>
            <a:gd name="T15" fmla="*/ 2119 h 2119"/>
            <a:gd name="T16" fmla="*/ 1830 w 2438"/>
            <a:gd name="T17" fmla="*/ 2119 h 2119"/>
            <a:gd name="T18" fmla="*/ 2037 w 2438"/>
            <a:gd name="T19" fmla="*/ 1760 h 211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</a:cxnLst>
          <a:rect l="0" t="0" r="r" b="b"/>
          <a:pathLst>
            <a:path w="2438" h="2119">
              <a:moveTo>
                <a:pt x="328" y="490"/>
              </a:moveTo>
              <a:lnTo>
                <a:pt x="610" y="0"/>
              </a:lnTo>
              <a:lnTo>
                <a:pt x="1830" y="0"/>
              </a:lnTo>
              <a:lnTo>
                <a:pt x="2438" y="1059"/>
              </a:lnTo>
              <a:lnTo>
                <a:pt x="2124" y="1605"/>
              </a:lnTo>
              <a:moveTo>
                <a:pt x="237" y="647"/>
              </a:moveTo>
              <a:lnTo>
                <a:pt x="0" y="1059"/>
              </a:lnTo>
              <a:lnTo>
                <a:pt x="610" y="2119"/>
              </a:lnTo>
              <a:lnTo>
                <a:pt x="1830" y="2119"/>
              </a:lnTo>
              <a:lnTo>
                <a:pt x="2037" y="1760"/>
              </a:lnTo>
            </a:path>
          </a:pathLst>
        </a:custGeom>
        <a:noFill/>
        <a:ln w="30163" cap="rnd">
          <a:solidFill>
            <a:schemeClr val="bg1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pt-BR"/>
          </a:defPPr>
          <a:lvl1pPr marL="0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684071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36814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2052216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736287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3420358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4104429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4788503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5472574" algn="l" defTabSz="1368143" rtl="0" eaLnBrk="1" latinLnBrk="0" hangingPunct="1">
            <a:defRPr sz="2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>
            <a:latin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557893</xdr:colOff>
      <xdr:row>5</xdr:row>
      <xdr:rowOff>54429</xdr:rowOff>
    </xdr:from>
    <xdr:to>
      <xdr:col>1</xdr:col>
      <xdr:colOff>557893</xdr:colOff>
      <xdr:row>15</xdr:row>
      <xdr:rowOff>54429</xdr:rowOff>
    </xdr:to>
    <xdr:cxnSp macro="">
      <xdr:nvCxnSpPr>
        <xdr:cNvPr id="21" name="Conector reto 20">
          <a:extLst>
            <a:ext uri="{FF2B5EF4-FFF2-40B4-BE49-F238E27FC236}">
              <a16:creationId xmlns:a16="http://schemas.microsoft.com/office/drawing/2014/main" id="{21D52F3E-FF51-4C7A-A2BF-0EA04F1E86D0}"/>
            </a:ext>
          </a:extLst>
        </xdr:cNvPr>
        <xdr:cNvCxnSpPr/>
      </xdr:nvCxnSpPr>
      <xdr:spPr>
        <a:xfrm flipH="1">
          <a:off x="1170214" y="1006929"/>
          <a:ext cx="0" cy="1905000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13</xdr:row>
      <xdr:rowOff>40821</xdr:rowOff>
    </xdr:from>
    <xdr:to>
      <xdr:col>0</xdr:col>
      <xdr:colOff>381000</xdr:colOff>
      <xdr:row>19</xdr:row>
      <xdr:rowOff>27214</xdr:rowOff>
    </xdr:to>
    <xdr:cxnSp macro="">
      <xdr:nvCxnSpPr>
        <xdr:cNvPr id="22" name="Conector reto 21">
          <a:extLst>
            <a:ext uri="{FF2B5EF4-FFF2-40B4-BE49-F238E27FC236}">
              <a16:creationId xmlns:a16="http://schemas.microsoft.com/office/drawing/2014/main" id="{9AB935EC-E400-43DB-A7B8-C94245A547C9}"/>
            </a:ext>
          </a:extLst>
        </xdr:cNvPr>
        <xdr:cNvCxnSpPr>
          <a:endCxn id="16" idx="2"/>
        </xdr:cNvCxnSpPr>
      </xdr:nvCxnSpPr>
      <xdr:spPr>
        <a:xfrm>
          <a:off x="381000" y="2517321"/>
          <a:ext cx="0" cy="1129393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217714</xdr:colOff>
      <xdr:row>19</xdr:row>
      <xdr:rowOff>122464</xdr:rowOff>
    </xdr:from>
    <xdr:to>
      <xdr:col>0</xdr:col>
      <xdr:colOff>217714</xdr:colOff>
      <xdr:row>32</xdr:row>
      <xdr:rowOff>0</xdr:rowOff>
    </xdr:to>
    <xdr:cxnSp macro="">
      <xdr:nvCxnSpPr>
        <xdr:cNvPr id="26" name="Conector reto 25">
          <a:extLst>
            <a:ext uri="{FF2B5EF4-FFF2-40B4-BE49-F238E27FC236}">
              <a16:creationId xmlns:a16="http://schemas.microsoft.com/office/drawing/2014/main" id="{F552D6E2-715C-4FBC-9280-13A77C36F1B3}"/>
            </a:ext>
          </a:extLst>
        </xdr:cNvPr>
        <xdr:cNvCxnSpPr/>
      </xdr:nvCxnSpPr>
      <xdr:spPr>
        <a:xfrm>
          <a:off x="217714" y="3741964"/>
          <a:ext cx="0" cy="2354036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24</xdr:row>
      <xdr:rowOff>40822</xdr:rowOff>
    </xdr:from>
    <xdr:to>
      <xdr:col>1</xdr:col>
      <xdr:colOff>381000</xdr:colOff>
      <xdr:row>31</xdr:row>
      <xdr:rowOff>68036</xdr:rowOff>
    </xdr:to>
    <xdr:cxnSp macro="">
      <xdr:nvCxnSpPr>
        <xdr:cNvPr id="28" name="Conector reto 27">
          <a:extLst>
            <a:ext uri="{FF2B5EF4-FFF2-40B4-BE49-F238E27FC236}">
              <a16:creationId xmlns:a16="http://schemas.microsoft.com/office/drawing/2014/main" id="{D3879E46-3383-4989-A777-47FE61AEE0D5}"/>
            </a:ext>
          </a:extLst>
        </xdr:cNvPr>
        <xdr:cNvCxnSpPr/>
      </xdr:nvCxnSpPr>
      <xdr:spPr>
        <a:xfrm>
          <a:off x="993321" y="4612822"/>
          <a:ext cx="0" cy="1360714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108857</xdr:colOff>
      <xdr:row>17</xdr:row>
      <xdr:rowOff>27214</xdr:rowOff>
    </xdr:from>
    <xdr:to>
      <xdr:col>2</xdr:col>
      <xdr:colOff>108857</xdr:colOff>
      <xdr:row>24</xdr:row>
      <xdr:rowOff>54428</xdr:rowOff>
    </xdr:to>
    <xdr:cxnSp macro="">
      <xdr:nvCxnSpPr>
        <xdr:cNvPr id="30" name="Conector reto 29">
          <a:extLst>
            <a:ext uri="{FF2B5EF4-FFF2-40B4-BE49-F238E27FC236}">
              <a16:creationId xmlns:a16="http://schemas.microsoft.com/office/drawing/2014/main" id="{BAFDB713-F2B3-456F-B6B9-E52D47227C35}"/>
            </a:ext>
          </a:extLst>
        </xdr:cNvPr>
        <xdr:cNvCxnSpPr/>
      </xdr:nvCxnSpPr>
      <xdr:spPr>
        <a:xfrm>
          <a:off x="1333500" y="3265714"/>
          <a:ext cx="0" cy="1360714"/>
        </a:xfrm>
        <a:prstGeom prst="line">
          <a:avLst/>
        </a:prstGeom>
        <a:ln w="28575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168729</xdr:colOff>
      <xdr:row>9</xdr:row>
      <xdr:rowOff>21528</xdr:rowOff>
    </xdr:from>
    <xdr:ext cx="4675413" cy="45397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id="{E13A4B2D-948D-499B-BCAD-C7AA57B1E598}"/>
            </a:ext>
          </a:extLst>
        </xdr:cNvPr>
        <xdr:cNvSpPr txBox="1"/>
      </xdr:nvSpPr>
      <xdr:spPr>
        <a:xfrm>
          <a:off x="2005693" y="1736028"/>
          <a:ext cx="4675413" cy="45397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2000" b="0">
              <a:ln>
                <a:noFill/>
              </a:ln>
              <a:solidFill>
                <a:schemeClr val="bg1"/>
              </a:solidFill>
              <a:effectLst/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Planilha Interativa 3T21</a:t>
          </a:r>
          <a:endParaRPr lang="pt-BR" sz="2000" b="0" baseline="0">
            <a:ln>
              <a:noFill/>
            </a:ln>
            <a:solidFill>
              <a:schemeClr val="bg1"/>
            </a:solidFill>
            <a:effectLst/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3</xdr:col>
      <xdr:colOff>194130</xdr:colOff>
      <xdr:row>28</xdr:row>
      <xdr:rowOff>189365</xdr:rowOff>
    </xdr:from>
    <xdr:ext cx="4675413" cy="35779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id="{7D87C19E-F43E-4B2E-BC63-9C1B41DE490F}"/>
            </a:ext>
          </a:extLst>
        </xdr:cNvPr>
        <xdr:cNvSpPr txBox="1"/>
      </xdr:nvSpPr>
      <xdr:spPr>
        <a:xfrm>
          <a:off x="2022930" y="5523365"/>
          <a:ext cx="4675413" cy="35779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pt-BR" sz="1800" b="0">
              <a:ln>
                <a:noFill/>
              </a:ln>
              <a:solidFill>
                <a:schemeClr val="bg1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Atualização em: 28/10/2021</a:t>
          </a:r>
          <a:endParaRPr lang="pt-BR" sz="1800" b="0" baseline="0">
            <a:ln>
              <a:noFill/>
            </a:ln>
            <a:solidFill>
              <a:schemeClr val="bg1"/>
            </a:solidFill>
            <a:effectLst/>
            <a:latin typeface="Arial" panose="020B06040202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19</xdr:col>
      <xdr:colOff>600383</xdr:colOff>
      <xdr:row>1</xdr:row>
      <xdr:rowOff>80418</xdr:rowOff>
    </xdr:from>
    <xdr:to>
      <xdr:col>27</xdr:col>
      <xdr:colOff>476255</xdr:colOff>
      <xdr:row>5</xdr:row>
      <xdr:rowOff>182418</xdr:rowOff>
    </xdr:to>
    <xdr:sp macro="" textlink="">
      <xdr:nvSpPr>
        <xdr:cNvPr id="25" name="Retângulo de cantos arredondados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D1306C9-CC81-48EA-A30A-545915E9A867}"/>
            </a:ext>
          </a:extLst>
        </xdr:cNvPr>
        <xdr:cNvSpPr/>
      </xdr:nvSpPr>
      <xdr:spPr>
        <a:xfrm>
          <a:off x="12182783" y="270918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9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Dados Operacionais</a:t>
          </a:r>
        </a:p>
      </xdr:txBody>
    </xdr:sp>
    <xdr:clientData/>
  </xdr:twoCellAnchor>
  <xdr:twoCellAnchor>
    <xdr:from>
      <xdr:col>19</xdr:col>
      <xdr:colOff>600383</xdr:colOff>
      <xdr:row>7</xdr:row>
      <xdr:rowOff>105224</xdr:rowOff>
    </xdr:from>
    <xdr:to>
      <xdr:col>27</xdr:col>
      <xdr:colOff>476255</xdr:colOff>
      <xdr:row>12</xdr:row>
      <xdr:rowOff>16724</xdr:rowOff>
    </xdr:to>
    <xdr:sp macro="" textlink="">
      <xdr:nvSpPr>
        <xdr:cNvPr id="27" name="Retângulo de cantos arredondados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458166D-B830-4C47-B4BA-4CCFE8E82FA0}"/>
            </a:ext>
          </a:extLst>
        </xdr:cNvPr>
        <xdr:cNvSpPr/>
      </xdr:nvSpPr>
      <xdr:spPr>
        <a:xfrm>
          <a:off x="12182783" y="1438724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Balanço Energético</a:t>
          </a:r>
        </a:p>
      </xdr:txBody>
    </xdr:sp>
    <xdr:clientData/>
  </xdr:twoCellAnchor>
  <xdr:twoCellAnchor>
    <xdr:from>
      <xdr:col>19</xdr:col>
      <xdr:colOff>590297</xdr:colOff>
      <xdr:row>19</xdr:row>
      <xdr:rowOff>142137</xdr:rowOff>
    </xdr:from>
    <xdr:to>
      <xdr:col>27</xdr:col>
      <xdr:colOff>466169</xdr:colOff>
      <xdr:row>24</xdr:row>
      <xdr:rowOff>53637</xdr:rowOff>
    </xdr:to>
    <xdr:sp macro="" textlink="">
      <xdr:nvSpPr>
        <xdr:cNvPr id="29" name="Retângulo de cantos arredondados 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3CAA571-02F3-44F3-9852-2056B8A2CC0D}"/>
            </a:ext>
          </a:extLst>
        </xdr:cNvPr>
        <xdr:cNvSpPr/>
      </xdr:nvSpPr>
      <xdr:spPr>
        <a:xfrm>
          <a:off x="12172697" y="3761637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Contencioso Passivo</a:t>
          </a:r>
        </a:p>
      </xdr:txBody>
    </xdr:sp>
    <xdr:clientData/>
  </xdr:twoCellAnchor>
  <xdr:twoCellAnchor>
    <xdr:from>
      <xdr:col>20</xdr:col>
      <xdr:colOff>308</xdr:colOff>
      <xdr:row>13</xdr:row>
      <xdr:rowOff>117331</xdr:rowOff>
    </xdr:from>
    <xdr:to>
      <xdr:col>27</xdr:col>
      <xdr:colOff>485780</xdr:colOff>
      <xdr:row>18</xdr:row>
      <xdr:rowOff>28831</xdr:rowOff>
    </xdr:to>
    <xdr:sp macro="" textlink="">
      <xdr:nvSpPr>
        <xdr:cNvPr id="33" name="Retângulo de cantos arredondados 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82769F6-C440-4D17-B8FA-E5B0DC462818}"/>
            </a:ext>
          </a:extLst>
        </xdr:cNvPr>
        <xdr:cNvSpPr/>
      </xdr:nvSpPr>
      <xdr:spPr>
        <a:xfrm>
          <a:off x="12192308" y="2593831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 i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Portfólio</a:t>
          </a:r>
          <a:r>
            <a:rPr lang="pt-BR" sz="1800" b="1" i="0" baseline="0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 de Energia</a:t>
          </a:r>
          <a:endParaRPr lang="pt-BR" sz="1800" b="1" i="0">
            <a:solidFill>
              <a:schemeClr val="tx1">
                <a:lumMod val="75000"/>
                <a:lumOff val="25000"/>
              </a:schemeClr>
            </a:solidFill>
            <a:latin typeface="Arial Black" panose="020B0A04020102020204" pitchFamily="34" charset="0"/>
            <a:ea typeface="Verdana" panose="020B060403050404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590297</xdr:colOff>
      <xdr:row>25</xdr:row>
      <xdr:rowOff>162095</xdr:rowOff>
    </xdr:from>
    <xdr:to>
      <xdr:col>27</xdr:col>
      <xdr:colOff>466169</xdr:colOff>
      <xdr:row>30</xdr:row>
      <xdr:rowOff>73595</xdr:rowOff>
    </xdr:to>
    <xdr:sp macro="" textlink="">
      <xdr:nvSpPr>
        <xdr:cNvPr id="34" name="Retângulo de cantos arredondados 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C4D64B8-3E40-4D81-AE2E-830282F76DDE}"/>
            </a:ext>
          </a:extLst>
        </xdr:cNvPr>
        <xdr:cNvSpPr/>
      </xdr:nvSpPr>
      <xdr:spPr>
        <a:xfrm>
          <a:off x="12172697" y="4924595"/>
          <a:ext cx="4752672" cy="86400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2700"/>
            </a:lnSpc>
          </a:pPr>
          <a:r>
            <a:rPr lang="pt-BR" sz="1800" b="1">
              <a:solidFill>
                <a:schemeClr val="tx1">
                  <a:lumMod val="75000"/>
                  <a:lumOff val="25000"/>
                </a:schemeClr>
              </a:solidFill>
              <a:latin typeface="Arial Black" panose="020B0A04020102020204" pitchFamily="34" charset="0"/>
              <a:ea typeface="Verdana" panose="020B0604030504040204" pitchFamily="34" charset="0"/>
              <a:cs typeface="Arial" panose="020B0604020202020204" pitchFamily="34" charset="0"/>
            </a:rPr>
            <a:t>Dividendos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5A55FFE-28D4-444C-9A37-4A3FA0A88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9</xdr:col>
      <xdr:colOff>67235</xdr:colOff>
      <xdr:row>0</xdr:row>
      <xdr:rowOff>89647</xdr:rowOff>
    </xdr:from>
    <xdr:to>
      <xdr:col>9</xdr:col>
      <xdr:colOff>640282</xdr:colOff>
      <xdr:row>0</xdr:row>
      <xdr:rowOff>640261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C016E6-00C4-4184-B3D0-4C9142BBA74E}"/>
            </a:ext>
          </a:extLst>
        </xdr:cNvPr>
        <xdr:cNvGrpSpPr>
          <a:grpSpLocks/>
        </xdr:cNvGrpSpPr>
      </xdr:nvGrpSpPr>
      <xdr:grpSpPr bwMode="auto">
        <a:xfrm>
          <a:off x="10141323" y="89647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7CB27373-1879-4A41-BE19-3A5B33DC59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4353917A-6FB6-4922-95D2-FAE9D7187FA9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915AA31-A274-4C7C-AC26-1ACBB8668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14</xdr:col>
      <xdr:colOff>67235</xdr:colOff>
      <xdr:row>0</xdr:row>
      <xdr:rowOff>123264</xdr:rowOff>
    </xdr:from>
    <xdr:to>
      <xdr:col>14</xdr:col>
      <xdr:colOff>640282</xdr:colOff>
      <xdr:row>0</xdr:row>
      <xdr:rowOff>673878</xdr:rowOff>
    </xdr:to>
    <xdr:grpSp>
      <xdr:nvGrpSpPr>
        <xdr:cNvPr id="9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BEB16F-8D13-4859-B2C6-BA178B488AFD}"/>
            </a:ext>
          </a:extLst>
        </xdr:cNvPr>
        <xdr:cNvGrpSpPr>
          <a:grpSpLocks/>
        </xdr:cNvGrpSpPr>
      </xdr:nvGrpSpPr>
      <xdr:grpSpPr bwMode="auto">
        <a:xfrm>
          <a:off x="14399559" y="123264"/>
          <a:ext cx="573047" cy="550614"/>
          <a:chOff x="11605781" y="215217"/>
          <a:chExt cx="467591" cy="461058"/>
        </a:xfrm>
      </xdr:grpSpPr>
      <xdr:pic>
        <xdr:nvPicPr>
          <xdr:cNvPr id="10" name="Imagem 2">
            <a:extLst>
              <a:ext uri="{FF2B5EF4-FFF2-40B4-BE49-F238E27FC236}">
                <a16:creationId xmlns:a16="http://schemas.microsoft.com/office/drawing/2014/main" id="{13054EF3-944A-45C8-8593-9385B95D2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CaixaDeTexto 10">
            <a:extLst>
              <a:ext uri="{FF2B5EF4-FFF2-40B4-BE49-F238E27FC236}">
                <a16:creationId xmlns:a16="http://schemas.microsoft.com/office/drawing/2014/main" id="{A196FB85-4208-4A16-AF1B-E5DD9C7AF7D0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18052</xdr:colOff>
      <xdr:row>0</xdr:row>
      <xdr:rowOff>115651</xdr:rowOff>
    </xdr:from>
    <xdr:to>
      <xdr:col>14</xdr:col>
      <xdr:colOff>591099</xdr:colOff>
      <xdr:row>0</xdr:row>
      <xdr:rowOff>666265</xdr:rowOff>
    </xdr:to>
    <xdr:grpSp>
      <xdr:nvGrpSpPr>
        <xdr:cNvPr id="4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276B3-46E7-4CA1-9F5F-C9B4A4FE0D5E}"/>
            </a:ext>
          </a:extLst>
        </xdr:cNvPr>
        <xdr:cNvGrpSpPr>
          <a:grpSpLocks/>
        </xdr:cNvGrpSpPr>
      </xdr:nvGrpSpPr>
      <xdr:grpSpPr bwMode="auto">
        <a:xfrm>
          <a:off x="12837581" y="115651"/>
          <a:ext cx="573047" cy="550614"/>
          <a:chOff x="11605781" y="215217"/>
          <a:chExt cx="467591" cy="461058"/>
        </a:xfrm>
      </xdr:grpSpPr>
      <xdr:pic>
        <xdr:nvPicPr>
          <xdr:cNvPr id="5" name="Imagem 2">
            <a:extLst>
              <a:ext uri="{FF2B5EF4-FFF2-40B4-BE49-F238E27FC236}">
                <a16:creationId xmlns:a16="http://schemas.microsoft.com/office/drawing/2014/main" id="{E6AB1A13-8F08-484E-A827-6377A3BC7F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A4A8A45F-3301-4D80-B8E2-6BA7564808F7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0</xdr:col>
      <xdr:colOff>209550</xdr:colOff>
      <xdr:row>0</xdr:row>
      <xdr:rowOff>219075</xdr:rowOff>
    </xdr:from>
    <xdr:to>
      <xdr:col>0</xdr:col>
      <xdr:colOff>983583</xdr:colOff>
      <xdr:row>0</xdr:row>
      <xdr:rowOff>445390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FEC9233-6D14-48D0-87BE-8C77CAA5B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19075"/>
          <a:ext cx="774033" cy="226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2AD82C7-B4CB-4BAE-BA10-A7C30C28B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14</xdr:col>
      <xdr:colOff>78442</xdr:colOff>
      <xdr:row>0</xdr:row>
      <xdr:rowOff>100853</xdr:rowOff>
    </xdr:from>
    <xdr:to>
      <xdr:col>14</xdr:col>
      <xdr:colOff>651489</xdr:colOff>
      <xdr:row>0</xdr:row>
      <xdr:rowOff>651467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2BED3F-88C4-4685-890F-BD815C239474}"/>
            </a:ext>
          </a:extLst>
        </xdr:cNvPr>
        <xdr:cNvGrpSpPr>
          <a:grpSpLocks/>
        </xdr:cNvGrpSpPr>
      </xdr:nvGrpSpPr>
      <xdr:grpSpPr bwMode="auto">
        <a:xfrm>
          <a:off x="13503089" y="100853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E9545F4F-ABB7-49F0-AEF7-AA0CA3C886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aixaDeTexto 8">
            <a:extLst>
              <a:ext uri="{FF2B5EF4-FFF2-40B4-BE49-F238E27FC236}">
                <a16:creationId xmlns:a16="http://schemas.microsoft.com/office/drawing/2014/main" id="{F02522B2-22EB-4007-90C4-55DB3C9F6E4F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D5773B5-3E28-4C0A-83E1-EF4F9CC90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12</xdr:col>
      <xdr:colOff>1121</xdr:colOff>
      <xdr:row>0</xdr:row>
      <xdr:rowOff>67236</xdr:rowOff>
    </xdr:from>
    <xdr:to>
      <xdr:col>12</xdr:col>
      <xdr:colOff>572487</xdr:colOff>
      <xdr:row>0</xdr:row>
      <xdr:rowOff>617850</xdr:rowOff>
    </xdr:to>
    <xdr:grpSp>
      <xdr:nvGrpSpPr>
        <xdr:cNvPr id="10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D19F354-2F19-4806-A99A-E2FCCE1866A9}"/>
            </a:ext>
          </a:extLst>
        </xdr:cNvPr>
        <xdr:cNvGrpSpPr>
          <a:grpSpLocks/>
        </xdr:cNvGrpSpPr>
      </xdr:nvGrpSpPr>
      <xdr:grpSpPr bwMode="auto">
        <a:xfrm>
          <a:off x="10893239" y="67236"/>
          <a:ext cx="571366" cy="550614"/>
          <a:chOff x="11605781" y="215217"/>
          <a:chExt cx="467591" cy="461058"/>
        </a:xfrm>
      </xdr:grpSpPr>
      <xdr:pic>
        <xdr:nvPicPr>
          <xdr:cNvPr id="11" name="Imagem 2">
            <a:extLst>
              <a:ext uri="{FF2B5EF4-FFF2-40B4-BE49-F238E27FC236}">
                <a16:creationId xmlns:a16="http://schemas.microsoft.com/office/drawing/2014/main" id="{B0B80108-9B51-4196-9115-4A21B129BD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CaixaDeTexto 11">
            <a:extLst>
              <a:ext uri="{FF2B5EF4-FFF2-40B4-BE49-F238E27FC236}">
                <a16:creationId xmlns:a16="http://schemas.microsoft.com/office/drawing/2014/main" id="{A727719F-CE86-4735-8931-780129E34375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DD1C9F1-C422-4629-B91F-839E32AF5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14</xdr:col>
      <xdr:colOff>78442</xdr:colOff>
      <xdr:row>0</xdr:row>
      <xdr:rowOff>78442</xdr:rowOff>
    </xdr:from>
    <xdr:to>
      <xdr:col>14</xdr:col>
      <xdr:colOff>651489</xdr:colOff>
      <xdr:row>0</xdr:row>
      <xdr:rowOff>629056</xdr:rowOff>
    </xdr:to>
    <xdr:grpSp>
      <xdr:nvGrpSpPr>
        <xdr:cNvPr id="7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FB3CA0-BD7C-48AD-9892-DC3B0D0CA395}"/>
            </a:ext>
          </a:extLst>
        </xdr:cNvPr>
        <xdr:cNvGrpSpPr>
          <a:grpSpLocks/>
        </xdr:cNvGrpSpPr>
      </xdr:nvGrpSpPr>
      <xdr:grpSpPr bwMode="auto">
        <a:xfrm>
          <a:off x="14354736" y="78442"/>
          <a:ext cx="573047" cy="550614"/>
          <a:chOff x="11605781" y="215217"/>
          <a:chExt cx="467591" cy="461058"/>
        </a:xfrm>
      </xdr:grpSpPr>
      <xdr:pic>
        <xdr:nvPicPr>
          <xdr:cNvPr id="9" name="Imagem 2">
            <a:extLst>
              <a:ext uri="{FF2B5EF4-FFF2-40B4-BE49-F238E27FC236}">
                <a16:creationId xmlns:a16="http://schemas.microsoft.com/office/drawing/2014/main" id="{225E24E4-4EE2-4927-9B20-E30223CEBA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D815E975-A9C2-4592-9EA9-C14BA1D14D36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F778140-BF55-409A-A19F-28312613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8</xdr:col>
      <xdr:colOff>190499</xdr:colOff>
      <xdr:row>0</xdr:row>
      <xdr:rowOff>123265</xdr:rowOff>
    </xdr:from>
    <xdr:to>
      <xdr:col>8</xdr:col>
      <xdr:colOff>763546</xdr:colOff>
      <xdr:row>0</xdr:row>
      <xdr:rowOff>673879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C5BC39-6614-4297-B8BF-2CE08B15F665}"/>
            </a:ext>
          </a:extLst>
        </xdr:cNvPr>
        <xdr:cNvGrpSpPr>
          <a:grpSpLocks/>
        </xdr:cNvGrpSpPr>
      </xdr:nvGrpSpPr>
      <xdr:grpSpPr bwMode="auto">
        <a:xfrm>
          <a:off x="10264587" y="123265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45E048D6-3DF9-4D47-A14D-ADD7AB7001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5E10335B-F3BC-420B-B09F-A7CF5406F16B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DB8DE6D-C186-4A69-84EB-49924207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15</xdr:col>
      <xdr:colOff>44823</xdr:colOff>
      <xdr:row>0</xdr:row>
      <xdr:rowOff>89647</xdr:rowOff>
    </xdr:from>
    <xdr:to>
      <xdr:col>15</xdr:col>
      <xdr:colOff>617870</xdr:colOff>
      <xdr:row>0</xdr:row>
      <xdr:rowOff>640261</xdr:rowOff>
    </xdr:to>
    <xdr:grpSp>
      <xdr:nvGrpSpPr>
        <xdr:cNvPr id="7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19F572-EB32-4117-AAB4-945D0DA6EAEE}"/>
            </a:ext>
          </a:extLst>
        </xdr:cNvPr>
        <xdr:cNvGrpSpPr>
          <a:grpSpLocks/>
        </xdr:cNvGrpSpPr>
      </xdr:nvGrpSpPr>
      <xdr:grpSpPr bwMode="auto">
        <a:xfrm>
          <a:off x="15968382" y="89647"/>
          <a:ext cx="573047" cy="550614"/>
          <a:chOff x="11605781" y="215217"/>
          <a:chExt cx="467591" cy="461058"/>
        </a:xfrm>
      </xdr:grpSpPr>
      <xdr:pic>
        <xdr:nvPicPr>
          <xdr:cNvPr id="9" name="Imagem 2">
            <a:extLst>
              <a:ext uri="{FF2B5EF4-FFF2-40B4-BE49-F238E27FC236}">
                <a16:creationId xmlns:a16="http://schemas.microsoft.com/office/drawing/2014/main" id="{1284CCEA-49DC-44E9-9112-49EADFAB27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C30A07DC-1B62-4026-9AF2-BC868CF5AACC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358081</xdr:colOff>
      <xdr:row>0</xdr:row>
      <xdr:rowOff>85344</xdr:rowOff>
    </xdr:from>
    <xdr:to>
      <xdr:col>29</xdr:col>
      <xdr:colOff>321569</xdr:colOff>
      <xdr:row>0</xdr:row>
      <xdr:rowOff>638556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AEDD89-BD00-47AC-A8BF-9000339EDA34}"/>
            </a:ext>
          </a:extLst>
        </xdr:cNvPr>
        <xdr:cNvGrpSpPr>
          <a:grpSpLocks/>
        </xdr:cNvGrpSpPr>
      </xdr:nvGrpSpPr>
      <xdr:grpSpPr bwMode="auto">
        <a:xfrm>
          <a:off x="21940610" y="85344"/>
          <a:ext cx="568606" cy="553212"/>
          <a:chOff x="11605780" y="215217"/>
          <a:chExt cx="467591" cy="46105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512AF82E-DF4E-4BA8-92B2-2A42A94655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63F85185-AD4B-4349-988E-328E8272D27D}"/>
              </a:ext>
            </a:extLst>
          </xdr:cNvPr>
          <xdr:cNvSpPr txBox="1"/>
        </xdr:nvSpPr>
        <xdr:spPr>
          <a:xfrm>
            <a:off x="11605780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F81F153-BE56-4D8A-9770-217C6BB5C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25</xdr:col>
      <xdr:colOff>224118</xdr:colOff>
      <xdr:row>0</xdr:row>
      <xdr:rowOff>67236</xdr:rowOff>
    </xdr:from>
    <xdr:to>
      <xdr:col>26</xdr:col>
      <xdr:colOff>147224</xdr:colOff>
      <xdr:row>0</xdr:row>
      <xdr:rowOff>617850</xdr:rowOff>
    </xdr:to>
    <xdr:grpSp>
      <xdr:nvGrpSpPr>
        <xdr:cNvPr id="13" name="Grup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0EBD4AD-97D2-476D-B30E-1C2C56AFB119}"/>
            </a:ext>
          </a:extLst>
        </xdr:cNvPr>
        <xdr:cNvGrpSpPr>
          <a:grpSpLocks/>
        </xdr:cNvGrpSpPr>
      </xdr:nvGrpSpPr>
      <xdr:grpSpPr bwMode="auto">
        <a:xfrm>
          <a:off x="19946471" y="67236"/>
          <a:ext cx="573047" cy="550614"/>
          <a:chOff x="11605781" y="215217"/>
          <a:chExt cx="467591" cy="461058"/>
        </a:xfrm>
      </xdr:grpSpPr>
      <xdr:pic>
        <xdr:nvPicPr>
          <xdr:cNvPr id="14" name="Imagem 2">
            <a:extLst>
              <a:ext uri="{FF2B5EF4-FFF2-40B4-BE49-F238E27FC236}">
                <a16:creationId xmlns:a16="http://schemas.microsoft.com/office/drawing/2014/main" id="{66FD0EB5-149A-4F26-ACAE-8A13E68193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" name="CaixaDeTexto 14">
            <a:extLst>
              <a:ext uri="{FF2B5EF4-FFF2-40B4-BE49-F238E27FC236}">
                <a16:creationId xmlns:a16="http://schemas.microsoft.com/office/drawing/2014/main" id="{A5CD8B2C-437E-4519-AB8C-8C32EA0ADEC1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128823</xdr:colOff>
      <xdr:row>0</xdr:row>
      <xdr:rowOff>268292</xdr:rowOff>
    </xdr:from>
    <xdr:to>
      <xdr:col>0</xdr:col>
      <xdr:colOff>902856</xdr:colOff>
      <xdr:row>0</xdr:row>
      <xdr:rowOff>494607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3ED980-1171-4572-B74B-C41A1E791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Photocopy/>
                  </a14:imgEffect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73" y="268292"/>
          <a:ext cx="774033" cy="226315"/>
        </a:xfrm>
        <a:prstGeom prst="rect">
          <a:avLst/>
        </a:prstGeom>
      </xdr:spPr>
    </xdr:pic>
    <xdr:clientData/>
  </xdr:twoCellAnchor>
  <xdr:twoCellAnchor editAs="absolute">
    <xdr:from>
      <xdr:col>5</xdr:col>
      <xdr:colOff>56030</xdr:colOff>
      <xdr:row>0</xdr:row>
      <xdr:rowOff>78441</xdr:rowOff>
    </xdr:from>
    <xdr:to>
      <xdr:col>5</xdr:col>
      <xdr:colOff>629077</xdr:colOff>
      <xdr:row>0</xdr:row>
      <xdr:rowOff>629055</xdr:rowOff>
    </xdr:to>
    <xdr:grpSp>
      <xdr:nvGrpSpPr>
        <xdr:cNvPr id="6" name="Grup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3DA88D5-CF44-47EA-ACB5-14C7A6540E92}"/>
            </a:ext>
          </a:extLst>
        </xdr:cNvPr>
        <xdr:cNvGrpSpPr>
          <a:grpSpLocks/>
        </xdr:cNvGrpSpPr>
      </xdr:nvGrpSpPr>
      <xdr:grpSpPr bwMode="auto">
        <a:xfrm>
          <a:off x="7732059" y="78441"/>
          <a:ext cx="573047" cy="550614"/>
          <a:chOff x="11605781" y="215217"/>
          <a:chExt cx="467591" cy="461058"/>
        </a:xfrm>
      </xdr:grpSpPr>
      <xdr:pic>
        <xdr:nvPicPr>
          <xdr:cNvPr id="7" name="Imagem 2">
            <a:extLst>
              <a:ext uri="{FF2B5EF4-FFF2-40B4-BE49-F238E27FC236}">
                <a16:creationId xmlns:a16="http://schemas.microsoft.com/office/drawing/2014/main" id="{CC742320-16C0-4584-8629-1F79492847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aixaDeTexto 7">
            <a:extLst>
              <a:ext uri="{FF2B5EF4-FFF2-40B4-BE49-F238E27FC236}">
                <a16:creationId xmlns:a16="http://schemas.microsoft.com/office/drawing/2014/main" id="{60929D24-51AF-48B5-AEAB-BE56D251B4F9}"/>
              </a:ext>
            </a:extLst>
          </xdr:cNvPr>
          <xdr:cNvSpPr txBox="1"/>
        </xdr:nvSpPr>
        <xdr:spPr>
          <a:xfrm>
            <a:off x="11605781" y="445746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72E07-CEE2-4DDC-9D2E-801F406B4C02}">
  <sheetPr codeName="Planilha1"/>
  <dimension ref="A1:S38"/>
  <sheetViews>
    <sheetView showGridLines="0" showRowColHeaders="0" tabSelected="1" zoomScale="75" zoomScaleNormal="75" workbookViewId="0">
      <selection activeCell="P38" sqref="P38"/>
    </sheetView>
  </sheetViews>
  <sheetFormatPr defaultRowHeight="15" x14ac:dyDescent="0.25"/>
  <sheetData>
    <row r="1" spans="1:19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S11" s="1" t="s">
        <v>0</v>
      </c>
    </row>
    <row r="12" spans="1:1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</row>
    <row r="33" spans="1:12" x14ac:dyDescent="0.25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3"/>
    </row>
    <row r="34" spans="1:12" x14ac:dyDescent="0.25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082C-6F06-4DD1-98FE-874EB91AEE90}">
  <sheetPr codeName="Planilha9"/>
  <dimension ref="A1:W33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K38" sqref="K38"/>
    </sheetView>
  </sheetViews>
  <sheetFormatPr defaultColWidth="9.140625" defaultRowHeight="12" x14ac:dyDescent="0.2"/>
  <cols>
    <col min="1" max="1" width="59.7109375" style="59" bestFit="1" customWidth="1"/>
    <col min="2" max="10" width="11.42578125" style="59" customWidth="1"/>
    <col min="11" max="16384" width="9.140625" style="59"/>
  </cols>
  <sheetData>
    <row r="1" spans="1:23" s="9" customFormat="1" ht="54.75" customHeight="1" x14ac:dyDescent="0.2">
      <c r="A1" s="8"/>
      <c r="B1" s="278" t="s">
        <v>262</v>
      </c>
      <c r="C1" s="278"/>
      <c r="D1" s="278"/>
      <c r="E1" s="278"/>
      <c r="F1" s="278"/>
      <c r="G1" s="278"/>
      <c r="H1" s="278"/>
      <c r="I1" s="278"/>
      <c r="J1" s="278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61"/>
    </row>
    <row r="2" spans="1:23" ht="8.25" customHeight="1" x14ac:dyDescent="0.2"/>
    <row r="3" spans="1:23" s="110" customFormat="1" ht="12.75" thickBot="1" x14ac:dyDescent="0.3">
      <c r="A3" s="111" t="s">
        <v>274</v>
      </c>
      <c r="B3" s="122" t="s">
        <v>6</v>
      </c>
      <c r="C3" s="122" t="s">
        <v>7</v>
      </c>
      <c r="D3" s="122" t="s">
        <v>8</v>
      </c>
      <c r="E3" s="122" t="s">
        <v>9</v>
      </c>
      <c r="F3" s="122">
        <v>2020</v>
      </c>
      <c r="G3" s="122" t="s">
        <v>133</v>
      </c>
      <c r="H3" s="122" t="s">
        <v>151</v>
      </c>
      <c r="I3" s="122" t="s">
        <v>152</v>
      </c>
      <c r="J3" s="122" t="s">
        <v>324</v>
      </c>
    </row>
    <row r="4" spans="1:23" x14ac:dyDescent="0.2">
      <c r="A4" s="114" t="s">
        <v>263</v>
      </c>
      <c r="B4" s="121">
        <v>1889.6590364475326</v>
      </c>
      <c r="C4" s="121">
        <v>1782.8426927437858</v>
      </c>
      <c r="D4" s="121">
        <v>1859.082967396648</v>
      </c>
      <c r="E4" s="121">
        <v>1748.25689602693</v>
      </c>
      <c r="F4" s="121">
        <f>E4</f>
        <v>1748.25689602693</v>
      </c>
      <c r="G4" s="121">
        <v>1606.0274273733303</v>
      </c>
      <c r="H4" s="127">
        <v>1643.7298850511306</v>
      </c>
      <c r="I4" s="127">
        <v>1324.8408358329548</v>
      </c>
      <c r="J4" s="121">
        <f>I4</f>
        <v>1324.8408358329548</v>
      </c>
    </row>
    <row r="5" spans="1:23" x14ac:dyDescent="0.2">
      <c r="A5" s="115" t="s">
        <v>264</v>
      </c>
      <c r="B5" s="120">
        <v>2533.8609059458586</v>
      </c>
      <c r="C5" s="120">
        <v>2630.2501973364601</v>
      </c>
      <c r="D5" s="120">
        <v>2625.7691508623902</v>
      </c>
      <c r="E5" s="120">
        <v>2913.2340499868128</v>
      </c>
      <c r="F5" s="120">
        <f>E5</f>
        <v>2913.2340499868128</v>
      </c>
      <c r="G5" s="120">
        <v>2946.1620046791008</v>
      </c>
      <c r="H5" s="128">
        <v>2880.0766426999994</v>
      </c>
      <c r="I5" s="128">
        <v>2373.302672610002</v>
      </c>
      <c r="J5" s="120">
        <f t="shared" ref="J5:J7" si="0">I5</f>
        <v>2373.302672610002</v>
      </c>
    </row>
    <row r="6" spans="1:23" ht="12.75" thickBot="1" x14ac:dyDescent="0.25">
      <c r="A6" s="117" t="s">
        <v>265</v>
      </c>
      <c r="B6" s="121">
        <v>7284.2664046956497</v>
      </c>
      <c r="C6" s="121">
        <v>6537.2477759142957</v>
      </c>
      <c r="D6" s="121">
        <v>6841.362757061288</v>
      </c>
      <c r="E6" s="121">
        <v>5549.2599078904941</v>
      </c>
      <c r="F6" s="121">
        <f>E6</f>
        <v>5549.2599078904941</v>
      </c>
      <c r="G6" s="121">
        <v>5814.4992004769965</v>
      </c>
      <c r="H6" s="127">
        <v>6048.232524160002</v>
      </c>
      <c r="I6" s="127">
        <v>5596.2558309500009</v>
      </c>
      <c r="J6" s="121">
        <f t="shared" si="0"/>
        <v>5596.2558309500009</v>
      </c>
    </row>
    <row r="7" spans="1:23" ht="12.75" thickBot="1" x14ac:dyDescent="0.25">
      <c r="A7" s="116" t="s">
        <v>106</v>
      </c>
      <c r="B7" s="118">
        <f>SUM(B4:B6)</f>
        <v>11707.786347089041</v>
      </c>
      <c r="C7" s="118">
        <f t="shared" ref="C7:H7" si="1">SUM(C4:C6)</f>
        <v>10950.340665994543</v>
      </c>
      <c r="D7" s="118">
        <f t="shared" si="1"/>
        <v>11326.214875320326</v>
      </c>
      <c r="E7" s="118">
        <f t="shared" si="1"/>
        <v>10210.750853904236</v>
      </c>
      <c r="F7" s="118">
        <f>E7</f>
        <v>10210.750853904236</v>
      </c>
      <c r="G7" s="118">
        <f t="shared" si="1"/>
        <v>10366.688632529429</v>
      </c>
      <c r="H7" s="129">
        <f t="shared" si="1"/>
        <v>10572.039051911132</v>
      </c>
      <c r="I7" s="129">
        <f t="shared" ref="I7" si="2">SUM(I4:I6)</f>
        <v>9294.3993393929577</v>
      </c>
      <c r="J7" s="118">
        <f t="shared" si="0"/>
        <v>9294.3993393929577</v>
      </c>
    </row>
    <row r="8" spans="1:23" x14ac:dyDescent="0.2">
      <c r="A8" s="117" t="s">
        <v>321</v>
      </c>
      <c r="B8" s="121">
        <f>'Balanço Patrimonial'!G48/1000</f>
        <v>1889.6590000000001</v>
      </c>
      <c r="C8" s="121">
        <f>'Balanço Patrimonial'!H48/1000</f>
        <v>1782.8430000000001</v>
      </c>
      <c r="D8" s="121">
        <f>'Balanço Patrimonial'!I48/1000</f>
        <v>1859.0830000000001</v>
      </c>
      <c r="E8" s="121">
        <f>'Balanço Patrimonial'!J48/1000</f>
        <v>1748.2570000000001</v>
      </c>
      <c r="F8" s="121">
        <f>E8</f>
        <v>1748.2570000000001</v>
      </c>
      <c r="G8" s="121">
        <f>'Balanço Patrimonial'!K48/1000</f>
        <v>1606.027</v>
      </c>
      <c r="H8" s="121">
        <f>'Balanço Patrimonial'!L48/1000</f>
        <v>1643.73</v>
      </c>
      <c r="I8" s="121">
        <v>1324.8409999999999</v>
      </c>
      <c r="J8" s="121">
        <f>I8</f>
        <v>1324.8409999999999</v>
      </c>
    </row>
    <row r="9" spans="1:23" x14ac:dyDescent="0.2">
      <c r="A9" s="131"/>
      <c r="B9" s="245"/>
      <c r="C9" s="245"/>
      <c r="D9" s="245"/>
      <c r="E9" s="245"/>
      <c r="F9" s="245"/>
      <c r="G9" s="245"/>
      <c r="H9" s="245"/>
      <c r="I9" s="245"/>
      <c r="J9" s="245"/>
    </row>
    <row r="10" spans="1:23" ht="12.75" thickBot="1" x14ac:dyDescent="0.25">
      <c r="A10" s="111" t="s">
        <v>276</v>
      </c>
      <c r="B10" s="122" t="s">
        <v>6</v>
      </c>
      <c r="C10" s="122" t="s">
        <v>7</v>
      </c>
      <c r="D10" s="122" t="s">
        <v>8</v>
      </c>
      <c r="E10" s="122" t="s">
        <v>9</v>
      </c>
      <c r="F10" s="122">
        <v>2020</v>
      </c>
      <c r="G10" s="122" t="s">
        <v>133</v>
      </c>
      <c r="H10" s="122" t="s">
        <v>151</v>
      </c>
      <c r="I10" s="122" t="str">
        <f>I3</f>
        <v>3T21</v>
      </c>
      <c r="J10" s="122" t="str">
        <f>J3</f>
        <v>9M21</v>
      </c>
    </row>
    <row r="11" spans="1:23" x14ac:dyDescent="0.2">
      <c r="A11" s="114" t="s">
        <v>278</v>
      </c>
      <c r="B11" s="132">
        <v>-154.68384947242117</v>
      </c>
      <c r="C11" s="132">
        <v>-1006.3714756891518</v>
      </c>
      <c r="D11" s="132">
        <v>-122.66485304618034</v>
      </c>
      <c r="E11" s="132">
        <v>-1598.3450235904445</v>
      </c>
      <c r="F11" s="132">
        <f>SUM(B11:E11)</f>
        <v>-2882.0652017981974</v>
      </c>
      <c r="G11" s="132">
        <v>-254.65363239071465</v>
      </c>
      <c r="H11" s="132">
        <v>-246.2136997193</v>
      </c>
      <c r="I11" s="132">
        <v>-1497.7380199187201</v>
      </c>
      <c r="J11" s="132">
        <f>SUM(G11:I11)</f>
        <v>-1998.6053520287346</v>
      </c>
    </row>
    <row r="12" spans="1:23" ht="12.75" thickBot="1" x14ac:dyDescent="0.25">
      <c r="A12" s="115" t="s">
        <v>277</v>
      </c>
      <c r="B12" s="133">
        <v>457.27701607470323</v>
      </c>
      <c r="C12" s="133">
        <v>248.92579460315056</v>
      </c>
      <c r="D12" s="133">
        <v>498.53906236648851</v>
      </c>
      <c r="E12" s="133">
        <v>482.88100217566529</v>
      </c>
      <c r="F12" s="133">
        <f>SUM(B12:E12)</f>
        <v>1687.6228752200077</v>
      </c>
      <c r="G12" s="133">
        <v>410.59141101589938</v>
      </c>
      <c r="H12" s="133">
        <v>451.5641191009999</v>
      </c>
      <c r="I12" s="133">
        <v>220.09830740167106</v>
      </c>
      <c r="J12" s="133">
        <f>SUM(G12:I12)</f>
        <v>1082.2538375185704</v>
      </c>
    </row>
    <row r="13" spans="1:23" ht="12.75" thickBot="1" x14ac:dyDescent="0.25">
      <c r="A13" s="116" t="s">
        <v>106</v>
      </c>
      <c r="B13" s="118">
        <f>SUM(B11:B12)</f>
        <v>302.59316660228205</v>
      </c>
      <c r="C13" s="118">
        <f t="shared" ref="C13:H13" si="3">SUM(C11:C12)</f>
        <v>-757.44568108600129</v>
      </c>
      <c r="D13" s="118">
        <f t="shared" si="3"/>
        <v>375.87420932030818</v>
      </c>
      <c r="E13" s="118">
        <f t="shared" si="3"/>
        <v>-1115.4640214147792</v>
      </c>
      <c r="F13" s="118">
        <f t="shared" si="3"/>
        <v>-1194.4423265781897</v>
      </c>
      <c r="G13" s="118">
        <f t="shared" si="3"/>
        <v>155.93777862518473</v>
      </c>
      <c r="H13" s="118">
        <f t="shared" si="3"/>
        <v>205.35041938169991</v>
      </c>
      <c r="I13" s="118">
        <f t="shared" ref="I13" si="4">SUM(I11:I12)</f>
        <v>-1277.639712517049</v>
      </c>
      <c r="J13" s="118">
        <f>SUM(G13:I13)</f>
        <v>-916.35151451016441</v>
      </c>
    </row>
    <row r="14" spans="1:23" x14ac:dyDescent="0.2">
      <c r="H14" s="130"/>
      <c r="I14" s="130"/>
    </row>
    <row r="15" spans="1:23" ht="12.75" thickBot="1" x14ac:dyDescent="0.25">
      <c r="A15" s="111" t="s">
        <v>273</v>
      </c>
      <c r="B15" s="122" t="s">
        <v>6</v>
      </c>
      <c r="C15" s="122" t="s">
        <v>7</v>
      </c>
      <c r="D15" s="122" t="s">
        <v>8</v>
      </c>
      <c r="E15" s="122" t="s">
        <v>9</v>
      </c>
      <c r="F15" s="122">
        <v>2020</v>
      </c>
      <c r="G15" s="122" t="s">
        <v>133</v>
      </c>
      <c r="H15" s="122" t="s">
        <v>151</v>
      </c>
      <c r="I15" s="122" t="str">
        <f>I10</f>
        <v>3T21</v>
      </c>
      <c r="J15" s="122" t="str">
        <f>J10</f>
        <v>9M21</v>
      </c>
    </row>
    <row r="16" spans="1:23" x14ac:dyDescent="0.2">
      <c r="A16" s="114" t="s">
        <v>267</v>
      </c>
      <c r="B16" s="121">
        <v>1937.4369556841521</v>
      </c>
      <c r="C16" s="121">
        <v>1782.7110878336371</v>
      </c>
      <c r="D16" s="121">
        <v>1937.1931574944524</v>
      </c>
      <c r="E16" s="121">
        <v>1810.9238457009983</v>
      </c>
      <c r="F16" s="121">
        <f>E16</f>
        <v>1810.9238457009983</v>
      </c>
      <c r="G16" s="121">
        <v>2122.4461770905173</v>
      </c>
      <c r="H16" s="127">
        <v>2196.1702013911276</v>
      </c>
      <c r="I16" s="127">
        <v>1810.4513759529566</v>
      </c>
      <c r="J16" s="121">
        <f>I16</f>
        <v>1810.4513759529566</v>
      </c>
    </row>
    <row r="17" spans="1:10" x14ac:dyDescent="0.2">
      <c r="A17" s="115" t="s">
        <v>268</v>
      </c>
      <c r="B17" s="120">
        <v>3864.4909915734829</v>
      </c>
      <c r="C17" s="120">
        <v>2886.5188010601946</v>
      </c>
      <c r="D17" s="120">
        <v>3089.8338955423669</v>
      </c>
      <c r="E17" s="120">
        <v>3283.9906510783217</v>
      </c>
      <c r="F17" s="120">
        <f t="shared" ref="F17:F22" si="5">E17</f>
        <v>3283.9906510783217</v>
      </c>
      <c r="G17" s="120">
        <v>2875.0495624795008</v>
      </c>
      <c r="H17" s="128">
        <v>3036.3707920900001</v>
      </c>
      <c r="I17" s="128">
        <v>3113.75709594</v>
      </c>
      <c r="J17" s="120">
        <f t="shared" ref="J17:J22" si="6">I17</f>
        <v>3113.75709594</v>
      </c>
    </row>
    <row r="18" spans="1:10" x14ac:dyDescent="0.2">
      <c r="A18" s="117" t="s">
        <v>269</v>
      </c>
      <c r="B18" s="121">
        <v>4299.9318642799908</v>
      </c>
      <c r="C18" s="121">
        <v>4575.7965920632332</v>
      </c>
      <c r="D18" s="121">
        <v>4773.1060933908211</v>
      </c>
      <c r="E18" s="121">
        <v>3400.2319671480554</v>
      </c>
      <c r="F18" s="121">
        <f t="shared" si="5"/>
        <v>3400.2319671480554</v>
      </c>
      <c r="G18" s="121">
        <v>3545.1262193879002</v>
      </c>
      <c r="H18" s="127">
        <v>3678.8557342899999</v>
      </c>
      <c r="I18" s="127">
        <v>2590.0870550600002</v>
      </c>
      <c r="J18" s="121">
        <f t="shared" si="6"/>
        <v>2590.0870550600002</v>
      </c>
    </row>
    <row r="19" spans="1:10" x14ac:dyDescent="0.2">
      <c r="A19" s="115" t="s">
        <v>266</v>
      </c>
      <c r="B19" s="120">
        <v>813.73814045221934</v>
      </c>
      <c r="C19" s="120">
        <v>827.79696351157361</v>
      </c>
      <c r="D19" s="120">
        <v>736.42448205308608</v>
      </c>
      <c r="E19" s="120">
        <v>939.49899485787068</v>
      </c>
      <c r="F19" s="120">
        <f t="shared" si="5"/>
        <v>939.49899485787068</v>
      </c>
      <c r="G19" s="120">
        <v>1052.5157397089999</v>
      </c>
      <c r="H19" s="128">
        <v>941.49726344999988</v>
      </c>
      <c r="I19" s="128">
        <v>1002.8652549000002</v>
      </c>
      <c r="J19" s="120">
        <f t="shared" si="6"/>
        <v>1002.8652549000002</v>
      </c>
    </row>
    <row r="20" spans="1:10" x14ac:dyDescent="0.2">
      <c r="A20" s="117" t="s">
        <v>271</v>
      </c>
      <c r="B20" s="121">
        <v>339.13170208299971</v>
      </c>
      <c r="C20" s="121">
        <v>280.85579098310006</v>
      </c>
      <c r="D20" s="121">
        <v>182.36869510359989</v>
      </c>
      <c r="E20" s="121">
        <v>171.80228962899992</v>
      </c>
      <c r="F20" s="121">
        <f t="shared" si="5"/>
        <v>171.80228962899992</v>
      </c>
      <c r="G20" s="121">
        <v>191.64785209249999</v>
      </c>
      <c r="H20" s="127">
        <v>181.91304397999994</v>
      </c>
      <c r="I20" s="127">
        <v>170.37092940999997</v>
      </c>
      <c r="J20" s="121">
        <f t="shared" si="6"/>
        <v>170.37092940999997</v>
      </c>
    </row>
    <row r="21" spans="1:10" ht="12.75" thickBot="1" x14ac:dyDescent="0.25">
      <c r="A21" s="115" t="s">
        <v>272</v>
      </c>
      <c r="B21" s="120">
        <v>453.0566930161998</v>
      </c>
      <c r="C21" s="120">
        <v>596.66143054279974</v>
      </c>
      <c r="D21" s="120">
        <v>607.28855173599982</v>
      </c>
      <c r="E21" s="120">
        <v>604.30310549000001</v>
      </c>
      <c r="F21" s="120">
        <f t="shared" si="5"/>
        <v>604.30310549000001</v>
      </c>
      <c r="G21" s="120">
        <v>579.90308177000009</v>
      </c>
      <c r="H21" s="128">
        <v>537.23201670999981</v>
      </c>
      <c r="I21" s="128">
        <v>606.86762813000018</v>
      </c>
      <c r="J21" s="120">
        <f t="shared" si="6"/>
        <v>606.86762813000018</v>
      </c>
    </row>
    <row r="22" spans="1:10" ht="12.75" thickBot="1" x14ac:dyDescent="0.25">
      <c r="A22" s="116" t="s">
        <v>106</v>
      </c>
      <c r="B22" s="118">
        <f>SUM(B16:B21)</f>
        <v>11707.786347089046</v>
      </c>
      <c r="C22" s="118">
        <f t="shared" ref="C22:H22" si="7">SUM(C16:C21)</f>
        <v>10950.340665994538</v>
      </c>
      <c r="D22" s="118">
        <f t="shared" si="7"/>
        <v>11326.214875320326</v>
      </c>
      <c r="E22" s="118">
        <f t="shared" si="7"/>
        <v>10210.750853904248</v>
      </c>
      <c r="F22" s="118">
        <f t="shared" si="5"/>
        <v>10210.750853904248</v>
      </c>
      <c r="G22" s="118">
        <f t="shared" si="7"/>
        <v>10366.68863252942</v>
      </c>
      <c r="H22" s="129">
        <f t="shared" si="7"/>
        <v>10572.039051911126</v>
      </c>
      <c r="I22" s="129">
        <f t="shared" ref="I22" si="8">SUM(I16:I21)</f>
        <v>9294.3993393929577</v>
      </c>
      <c r="J22" s="118">
        <f t="shared" si="6"/>
        <v>9294.3993393929577</v>
      </c>
    </row>
    <row r="24" spans="1:10" ht="12.75" thickBot="1" x14ac:dyDescent="0.25">
      <c r="A24" s="111" t="s">
        <v>270</v>
      </c>
      <c r="B24" s="122" t="s">
        <v>6</v>
      </c>
      <c r="C24" s="122" t="s">
        <v>7</v>
      </c>
      <c r="D24" s="122" t="s">
        <v>8</v>
      </c>
      <c r="E24" s="122" t="s">
        <v>9</v>
      </c>
      <c r="F24" s="122">
        <v>2020</v>
      </c>
      <c r="G24" s="122" t="s">
        <v>133</v>
      </c>
      <c r="H24" s="122" t="s">
        <v>151</v>
      </c>
      <c r="I24" s="122" t="str">
        <f>I15</f>
        <v>3T21</v>
      </c>
      <c r="J24" s="122" t="str">
        <f>J15</f>
        <v>9M21</v>
      </c>
    </row>
    <row r="25" spans="1:10" x14ac:dyDescent="0.2">
      <c r="A25" s="114" t="s">
        <v>267</v>
      </c>
      <c r="B25" s="123">
        <f t="shared" ref="B25:B30" si="9">B16/$B$22</f>
        <v>0.16548277345066728</v>
      </c>
      <c r="C25" s="123">
        <f>C16/$C$22</f>
        <v>0.16279960068911031</v>
      </c>
      <c r="D25" s="123">
        <f>D16/$D$22</f>
        <v>0.17103623574329063</v>
      </c>
      <c r="E25" s="123">
        <f>E16/$E$22</f>
        <v>0.17735462079251124</v>
      </c>
      <c r="F25" s="123">
        <f>F16/$F$22</f>
        <v>0.17735462079251124</v>
      </c>
      <c r="G25" s="123">
        <f>G16/$G$22</f>
        <v>0.20473713953658615</v>
      </c>
      <c r="H25" s="123">
        <f>H16/$H$22</f>
        <v>0.20773383361595907</v>
      </c>
      <c r="I25" s="123">
        <f>I16/$H$22</f>
        <v>0.17124902462649133</v>
      </c>
      <c r="J25" s="123">
        <f>J16/$J$22</f>
        <v>0.19478949739975365</v>
      </c>
    </row>
    <row r="26" spans="1:10" x14ac:dyDescent="0.2">
      <c r="A26" s="115" t="s">
        <v>268</v>
      </c>
      <c r="B26" s="124">
        <f t="shared" si="9"/>
        <v>0.330078708050077</v>
      </c>
      <c r="C26" s="124">
        <f t="shared" ref="C26:C30" si="10">C17/$C$22</f>
        <v>0.26360082202958879</v>
      </c>
      <c r="D26" s="124">
        <f t="shared" ref="D26:D30" si="11">D17/$D$22</f>
        <v>0.27280375037516502</v>
      </c>
      <c r="E26" s="124">
        <f t="shared" ref="E26:E30" si="12">E17/$E$22</f>
        <v>0.32162087764805602</v>
      </c>
      <c r="F26" s="124">
        <f t="shared" ref="F26:F31" si="13">F17/$F$22</f>
        <v>0.32162087764805602</v>
      </c>
      <c r="G26" s="124">
        <f t="shared" ref="G26:G30" si="14">G17/$G$22</f>
        <v>0.2773353830130425</v>
      </c>
      <c r="H26" s="124">
        <f t="shared" ref="H26:I30" si="15">H17/$H$22</f>
        <v>0.28720767840344952</v>
      </c>
      <c r="I26" s="124">
        <f t="shared" si="15"/>
        <v>0.29452758173241145</v>
      </c>
      <c r="J26" s="124">
        <f t="shared" ref="J26:J31" si="16">J17/$J$22</f>
        <v>0.33501434382561918</v>
      </c>
    </row>
    <row r="27" spans="1:10" x14ac:dyDescent="0.2">
      <c r="A27" s="117" t="s">
        <v>269</v>
      </c>
      <c r="B27" s="125">
        <f t="shared" si="9"/>
        <v>0.36727112511316884</v>
      </c>
      <c r="C27" s="125">
        <f t="shared" si="10"/>
        <v>0.41786796700060908</v>
      </c>
      <c r="D27" s="125">
        <f t="shared" si="11"/>
        <v>0.42142111428517542</v>
      </c>
      <c r="E27" s="125">
        <f t="shared" si="12"/>
        <v>0.33300508609001278</v>
      </c>
      <c r="F27" s="125">
        <f t="shared" si="13"/>
        <v>0.33300508609001278</v>
      </c>
      <c r="G27" s="125">
        <f t="shared" si="14"/>
        <v>0.34197286569056595</v>
      </c>
      <c r="H27" s="125">
        <f t="shared" si="15"/>
        <v>0.34797977156780996</v>
      </c>
      <c r="I27" s="125">
        <f t="shared" si="15"/>
        <v>0.244994086981904</v>
      </c>
      <c r="J27" s="125">
        <f t="shared" si="16"/>
        <v>0.27867180658811308</v>
      </c>
    </row>
    <row r="28" spans="1:10" x14ac:dyDescent="0.2">
      <c r="A28" s="115" t="s">
        <v>266</v>
      </c>
      <c r="B28" s="124">
        <f t="shared" si="9"/>
        <v>6.9504013511020576E-2</v>
      </c>
      <c r="C28" s="124">
        <f t="shared" si="10"/>
        <v>7.5595544354362873E-2</v>
      </c>
      <c r="D28" s="124">
        <f t="shared" si="11"/>
        <v>6.5019469448504411E-2</v>
      </c>
      <c r="E28" s="124">
        <f t="shared" si="12"/>
        <v>9.2010764761598099E-2</v>
      </c>
      <c r="F28" s="124">
        <f t="shared" si="13"/>
        <v>9.2010764761598099E-2</v>
      </c>
      <c r="G28" s="124">
        <f t="shared" si="14"/>
        <v>0.1015286343612494</v>
      </c>
      <c r="H28" s="124">
        <f t="shared" si="15"/>
        <v>8.9055409162511909E-2</v>
      </c>
      <c r="I28" s="124">
        <f t="shared" si="15"/>
        <v>9.4860154221499071E-2</v>
      </c>
      <c r="J28" s="124">
        <f t="shared" si="16"/>
        <v>0.10789995332452544</v>
      </c>
    </row>
    <row r="29" spans="1:10" x14ac:dyDescent="0.2">
      <c r="A29" s="117" t="s">
        <v>271</v>
      </c>
      <c r="B29" s="125">
        <f t="shared" si="9"/>
        <v>2.8966338471603504E-2</v>
      </c>
      <c r="C29" s="125">
        <f t="shared" si="10"/>
        <v>2.5648132743054896E-2</v>
      </c>
      <c r="D29" s="125">
        <f t="shared" si="11"/>
        <v>1.6101468770558017E-2</v>
      </c>
      <c r="E29" s="125">
        <f t="shared" si="12"/>
        <v>1.68256274281052E-2</v>
      </c>
      <c r="F29" s="125">
        <f t="shared" si="13"/>
        <v>1.68256274281052E-2</v>
      </c>
      <c r="G29" s="125">
        <f t="shared" si="14"/>
        <v>1.8486891898260752E-2</v>
      </c>
      <c r="H29" s="125">
        <f t="shared" si="15"/>
        <v>1.7206996974449804E-2</v>
      </c>
      <c r="I29" s="125">
        <f t="shared" si="15"/>
        <v>1.6115238372979877E-2</v>
      </c>
      <c r="J29" s="125">
        <f t="shared" si="16"/>
        <v>1.8330493794032243E-2</v>
      </c>
    </row>
    <row r="30" spans="1:10" ht="12.75" thickBot="1" x14ac:dyDescent="0.25">
      <c r="A30" s="115" t="s">
        <v>272</v>
      </c>
      <c r="B30" s="124">
        <f t="shared" si="9"/>
        <v>3.8697041403462674E-2</v>
      </c>
      <c r="C30" s="124">
        <f t="shared" si="10"/>
        <v>5.4487933183274113E-2</v>
      </c>
      <c r="D30" s="124">
        <f t="shared" si="11"/>
        <v>5.3617961377306525E-2</v>
      </c>
      <c r="E30" s="124">
        <f t="shared" si="12"/>
        <v>5.9183023279716473E-2</v>
      </c>
      <c r="F30" s="124">
        <f t="shared" si="13"/>
        <v>5.9183023279716473E-2</v>
      </c>
      <c r="G30" s="124">
        <f t="shared" si="14"/>
        <v>5.5939085500295062E-2</v>
      </c>
      <c r="H30" s="124">
        <f t="shared" si="15"/>
        <v>5.0816310275819822E-2</v>
      </c>
      <c r="I30" s="124">
        <f t="shared" si="15"/>
        <v>5.7403082333515938E-2</v>
      </c>
      <c r="J30" s="124">
        <f t="shared" si="16"/>
        <v>6.5293905067956376E-2</v>
      </c>
    </row>
    <row r="31" spans="1:10" ht="12.75" thickBot="1" x14ac:dyDescent="0.25">
      <c r="A31" s="116" t="s">
        <v>106</v>
      </c>
      <c r="B31" s="126">
        <f>SUM(B25:B30)</f>
        <v>0.99999999999999978</v>
      </c>
      <c r="C31" s="126">
        <f t="shared" ref="C31:H31" si="17">SUM(C25:C30)</f>
        <v>1</v>
      </c>
      <c r="D31" s="126">
        <f t="shared" si="17"/>
        <v>1</v>
      </c>
      <c r="E31" s="126">
        <f t="shared" si="17"/>
        <v>0.99999999999999989</v>
      </c>
      <c r="F31" s="126">
        <f t="shared" si="13"/>
        <v>1</v>
      </c>
      <c r="G31" s="126">
        <f t="shared" si="17"/>
        <v>0.99999999999999978</v>
      </c>
      <c r="H31" s="126">
        <f t="shared" si="17"/>
        <v>1.0000000000000002</v>
      </c>
      <c r="I31" s="126">
        <f t="shared" ref="I31" si="18">SUM(I25:I30)</f>
        <v>0.87914916826880174</v>
      </c>
      <c r="J31" s="126">
        <f t="shared" si="16"/>
        <v>1</v>
      </c>
    </row>
    <row r="33" spans="1:1" x14ac:dyDescent="0.2">
      <c r="A33" s="115" t="s">
        <v>275</v>
      </c>
    </row>
  </sheetData>
  <mergeCells count="1">
    <mergeCell ref="B1:J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7:F8 F31 F10:F22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46BD-4D3D-4945-8A5D-DC0A494090E9}">
  <sheetPr codeName="Planilha8"/>
  <dimension ref="A1:AE63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3" sqref="N13:N14"/>
    </sheetView>
  </sheetViews>
  <sheetFormatPr defaultColWidth="9.140625" defaultRowHeight="12.75" x14ac:dyDescent="0.2"/>
  <cols>
    <col min="1" max="1" width="37.7109375" style="9" customWidth="1"/>
    <col min="2" max="2" width="13.5703125" style="9" customWidth="1"/>
    <col min="3" max="4" width="11.28515625" style="9" customWidth="1"/>
    <col min="5" max="5" width="18" style="9" bestFit="1" customWidth="1"/>
    <col min="6" max="6" width="15.140625" style="9" bestFit="1" customWidth="1"/>
    <col min="7" max="7" width="20.42578125" style="9" customWidth="1"/>
    <col min="8" max="8" width="18.28515625" style="9" customWidth="1"/>
    <col min="9" max="9" width="11.5703125" style="9" bestFit="1" customWidth="1"/>
    <col min="10" max="10" width="10.5703125" style="9" customWidth="1"/>
    <col min="11" max="11" width="10.28515625" style="9" bestFit="1" customWidth="1"/>
    <col min="12" max="12" width="11.28515625" style="9" customWidth="1"/>
    <col min="13" max="13" width="7.42578125" style="9" bestFit="1" customWidth="1"/>
    <col min="14" max="14" width="18.140625" style="9" customWidth="1"/>
    <col min="15" max="21" width="11.28515625" style="9" customWidth="1"/>
    <col min="22" max="16384" width="9.140625" style="9"/>
  </cols>
  <sheetData>
    <row r="1" spans="1:31" ht="54.75" customHeight="1" x14ac:dyDescent="0.2">
      <c r="A1" s="8"/>
      <c r="B1" s="278" t="s">
        <v>175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</row>
    <row r="2" spans="1:31" s="10" customFormat="1" ht="10.5" customHeight="1" x14ac:dyDescent="0.2"/>
    <row r="3" spans="1:31" s="61" customFormat="1" ht="39" thickBot="1" x14ac:dyDescent="0.25">
      <c r="A3" s="62" t="s">
        <v>207</v>
      </c>
      <c r="B3" s="62" t="s">
        <v>176</v>
      </c>
      <c r="C3" s="62" t="s">
        <v>177</v>
      </c>
      <c r="D3" s="62" t="s">
        <v>211</v>
      </c>
      <c r="E3" s="62" t="s">
        <v>178</v>
      </c>
      <c r="F3" s="62" t="s">
        <v>217</v>
      </c>
      <c r="G3" s="62" t="s">
        <v>218</v>
      </c>
      <c r="H3" s="62" t="s">
        <v>219</v>
      </c>
      <c r="I3" s="62" t="s">
        <v>179</v>
      </c>
      <c r="J3" s="70" t="s">
        <v>210</v>
      </c>
      <c r="K3" s="62" t="s">
        <v>209</v>
      </c>
      <c r="L3" s="62" t="s">
        <v>180</v>
      </c>
      <c r="M3" s="62" t="s">
        <v>181</v>
      </c>
      <c r="N3" s="70" t="s">
        <v>216</v>
      </c>
      <c r="O3" s="62" t="s">
        <v>182</v>
      </c>
    </row>
    <row r="4" spans="1:31" s="10" customFormat="1" ht="41.25" customHeight="1" thickBot="1" x14ac:dyDescent="0.25">
      <c r="A4" s="311">
        <v>2020</v>
      </c>
      <c r="B4" s="74" t="s">
        <v>186</v>
      </c>
      <c r="C4" s="286" t="s">
        <v>208</v>
      </c>
      <c r="D4" s="69" t="s">
        <v>260</v>
      </c>
      <c r="E4" s="75">
        <v>150000563.58000001</v>
      </c>
      <c r="F4" s="76">
        <v>0.42648549000000002</v>
      </c>
      <c r="G4" s="76">
        <v>1.82454519</v>
      </c>
      <c r="H4" s="76">
        <v>0.42648549000000002</v>
      </c>
      <c r="I4" s="69">
        <v>44301</v>
      </c>
      <c r="J4" s="69">
        <v>44186</v>
      </c>
      <c r="K4" s="69">
        <v>44187</v>
      </c>
      <c r="L4" s="287">
        <f>Resultados!L30</f>
        <v>1728762</v>
      </c>
      <c r="M4" s="281">
        <f>E7/(L4*1000)</f>
        <v>0.49177693541389739</v>
      </c>
      <c r="N4" s="281" t="s">
        <v>261</v>
      </c>
      <c r="O4" s="69">
        <v>45397</v>
      </c>
    </row>
    <row r="5" spans="1:31" s="10" customFormat="1" ht="27.75" customHeight="1" thickBot="1" x14ac:dyDescent="0.25">
      <c r="A5" s="307"/>
      <c r="B5" s="314" t="s">
        <v>45</v>
      </c>
      <c r="C5" s="290"/>
      <c r="D5" s="284">
        <v>43880</v>
      </c>
      <c r="E5" s="75">
        <v>450000000</v>
      </c>
      <c r="F5" s="76">
        <v>1.39454934</v>
      </c>
      <c r="G5" s="76">
        <v>0.496008108</v>
      </c>
      <c r="H5" s="76">
        <v>1.39454934</v>
      </c>
      <c r="I5" s="67">
        <v>44301</v>
      </c>
      <c r="J5" s="284">
        <v>44287</v>
      </c>
      <c r="K5" s="284">
        <v>44291</v>
      </c>
      <c r="L5" s="288"/>
      <c r="M5" s="282"/>
      <c r="N5" s="282"/>
      <c r="O5" s="69">
        <v>45397</v>
      </c>
    </row>
    <row r="6" spans="1:31" s="10" customFormat="1" ht="27.75" customHeight="1" x14ac:dyDescent="0.2">
      <c r="A6" s="307"/>
      <c r="B6" s="315"/>
      <c r="C6" s="285"/>
      <c r="D6" s="285"/>
      <c r="E6" s="75">
        <v>250164714.84</v>
      </c>
      <c r="F6" s="76">
        <v>0.77526008413378378</v>
      </c>
      <c r="G6" s="76">
        <v>0.27574161544932529</v>
      </c>
      <c r="H6" s="76">
        <v>0.77526008413378289</v>
      </c>
      <c r="I6" s="67">
        <v>44454</v>
      </c>
      <c r="J6" s="285"/>
      <c r="K6" s="285"/>
      <c r="L6" s="288"/>
      <c r="M6" s="282"/>
      <c r="N6" s="282"/>
      <c r="O6" s="69">
        <v>45550</v>
      </c>
    </row>
    <row r="7" spans="1:31" s="10" customFormat="1" ht="27.75" customHeight="1" x14ac:dyDescent="0.2">
      <c r="A7" s="302"/>
      <c r="B7" s="312" t="s">
        <v>184</v>
      </c>
      <c r="C7" s="313"/>
      <c r="D7" s="77"/>
      <c r="E7" s="68">
        <f>SUM(E4:E6)</f>
        <v>850165278.42000008</v>
      </c>
      <c r="F7" s="78">
        <f t="shared" ref="F7:H7" si="0">SUM(F4:F6)</f>
        <v>2.5962949141337837</v>
      </c>
      <c r="G7" s="78">
        <f t="shared" si="0"/>
        <v>2.5962949134493254</v>
      </c>
      <c r="H7" s="78">
        <f t="shared" si="0"/>
        <v>2.5962949141337828</v>
      </c>
      <c r="I7" s="65"/>
      <c r="J7" s="66"/>
      <c r="K7" s="66"/>
      <c r="L7" s="289"/>
      <c r="M7" s="283"/>
      <c r="N7" s="283"/>
      <c r="O7" s="63"/>
    </row>
    <row r="8" spans="1:31" s="61" customFormat="1" ht="13.5" thickBot="1" x14ac:dyDescent="0.25">
      <c r="A8" s="64"/>
      <c r="B8" s="64"/>
      <c r="C8" s="64"/>
      <c r="D8" s="64"/>
      <c r="E8" s="64"/>
      <c r="F8" s="64"/>
      <c r="G8" s="64"/>
      <c r="H8" s="64"/>
      <c r="I8" s="64"/>
      <c r="J8" s="72"/>
      <c r="K8" s="72"/>
      <c r="L8" s="64"/>
      <c r="M8" s="64"/>
      <c r="N8" s="64"/>
      <c r="O8" s="60"/>
    </row>
    <row r="9" spans="1:31" s="10" customFormat="1" ht="27.75" customHeight="1" thickBot="1" x14ac:dyDescent="0.25">
      <c r="A9" s="301">
        <v>2019</v>
      </c>
      <c r="B9" s="284" t="s">
        <v>45</v>
      </c>
      <c r="C9" s="284" t="s">
        <v>258</v>
      </c>
      <c r="D9" s="284">
        <v>43878</v>
      </c>
      <c r="E9" s="75">
        <v>409375136.25</v>
      </c>
      <c r="F9" s="76">
        <v>1.25</v>
      </c>
      <c r="G9" s="79">
        <v>1.25</v>
      </c>
      <c r="H9" s="79">
        <v>1.25</v>
      </c>
      <c r="I9" s="71">
        <v>43943</v>
      </c>
      <c r="J9" s="286">
        <v>43923</v>
      </c>
      <c r="K9" s="286">
        <v>43924</v>
      </c>
      <c r="L9" s="287">
        <f>Resultados!G30</f>
        <v>1163014</v>
      </c>
      <c r="M9" s="281">
        <f>E11/(L9*1000)</f>
        <v>0.52095670821675399</v>
      </c>
      <c r="N9" s="284" t="s">
        <v>259</v>
      </c>
      <c r="O9" s="69">
        <v>45038</v>
      </c>
    </row>
    <row r="10" spans="1:31" s="10" customFormat="1" ht="27.75" customHeight="1" x14ac:dyDescent="0.2">
      <c r="A10" s="307"/>
      <c r="B10" s="285"/>
      <c r="C10" s="285"/>
      <c r="D10" s="285"/>
      <c r="E10" s="75">
        <v>196504808.80000001</v>
      </c>
      <c r="F10" s="76">
        <v>0.60001400000000005</v>
      </c>
      <c r="G10" s="79">
        <v>0.60001400000000005</v>
      </c>
      <c r="H10" s="79">
        <v>0.60001400000000005</v>
      </c>
      <c r="I10" s="71">
        <v>44126</v>
      </c>
      <c r="J10" s="285"/>
      <c r="K10" s="285"/>
      <c r="L10" s="288"/>
      <c r="M10" s="282"/>
      <c r="N10" s="290"/>
      <c r="O10" s="69">
        <v>45038</v>
      </c>
    </row>
    <row r="11" spans="1:31" s="10" customFormat="1" ht="27" customHeight="1" x14ac:dyDescent="0.2">
      <c r="A11" s="302"/>
      <c r="B11" s="299" t="s">
        <v>184</v>
      </c>
      <c r="C11" s="300"/>
      <c r="D11" s="77"/>
      <c r="E11" s="68">
        <f>SUM(E9:E10)</f>
        <v>605879945.04999995</v>
      </c>
      <c r="F11" s="73">
        <f t="shared" ref="F11:H11" si="1">SUM(F9:F10)</f>
        <v>1.850014</v>
      </c>
      <c r="G11" s="80">
        <f t="shared" si="1"/>
        <v>1.850014</v>
      </c>
      <c r="H11" s="80">
        <f t="shared" si="1"/>
        <v>1.850014</v>
      </c>
      <c r="I11" s="65"/>
      <c r="J11" s="65"/>
      <c r="K11" s="65"/>
      <c r="L11" s="288"/>
      <c r="M11" s="283"/>
      <c r="N11" s="285"/>
      <c r="O11" s="63"/>
    </row>
    <row r="12" spans="1:31" s="61" customFormat="1" ht="13.5" thickBo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0"/>
    </row>
    <row r="13" spans="1:31" s="10" customFormat="1" ht="27.95" customHeight="1" x14ac:dyDescent="0.2">
      <c r="A13" s="302">
        <v>2018</v>
      </c>
      <c r="B13" s="81" t="s">
        <v>45</v>
      </c>
      <c r="C13" s="81" t="s">
        <v>183</v>
      </c>
      <c r="D13" s="71">
        <v>43584</v>
      </c>
      <c r="E13" s="75">
        <v>297300487.19999999</v>
      </c>
      <c r="F13" s="79">
        <v>0.8866341297</v>
      </c>
      <c r="G13" s="79">
        <v>1.8245451887999999</v>
      </c>
      <c r="H13" s="79">
        <v>0.8866341297</v>
      </c>
      <c r="I13" s="82">
        <v>43600</v>
      </c>
      <c r="J13" s="83">
        <v>43584</v>
      </c>
      <c r="K13" s="83">
        <v>43585</v>
      </c>
      <c r="L13" s="287">
        <v>294433</v>
      </c>
      <c r="M13" s="281">
        <f>E14/(L13*1000)</f>
        <v>1.009739014308858</v>
      </c>
      <c r="N13" s="292" t="s">
        <v>257</v>
      </c>
      <c r="O13" s="84">
        <v>44696</v>
      </c>
    </row>
    <row r="14" spans="1:31" s="10" customFormat="1" ht="27.95" customHeight="1" x14ac:dyDescent="0.2">
      <c r="A14" s="298"/>
      <c r="B14" s="299" t="s">
        <v>184</v>
      </c>
      <c r="C14" s="300"/>
      <c r="D14" s="85"/>
      <c r="E14" s="86">
        <f>SUM(E13)</f>
        <v>297300487.19999999</v>
      </c>
      <c r="F14" s="87">
        <f>SUM(F13)</f>
        <v>0.8866341297</v>
      </c>
      <c r="G14" s="87">
        <f>SUM(G13)</f>
        <v>1.8245451887999999</v>
      </c>
      <c r="H14" s="87">
        <f>SUM(H13)</f>
        <v>0.8866341297</v>
      </c>
      <c r="I14" s="88"/>
      <c r="J14" s="89"/>
      <c r="K14" s="89"/>
      <c r="L14" s="289"/>
      <c r="M14" s="283"/>
      <c r="N14" s="293"/>
      <c r="O14" s="90"/>
    </row>
    <row r="15" spans="1:31" s="61" customForma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0"/>
    </row>
    <row r="16" spans="1:31" s="10" customFormat="1" ht="39.75" customHeight="1" x14ac:dyDescent="0.2">
      <c r="A16" s="298">
        <v>2017</v>
      </c>
      <c r="B16" s="74" t="s">
        <v>45</v>
      </c>
      <c r="C16" s="74" t="s">
        <v>185</v>
      </c>
      <c r="D16" s="67" t="s">
        <v>255</v>
      </c>
      <c r="E16" s="91">
        <v>25680351.43</v>
      </c>
      <c r="F16" s="92">
        <v>3.8051189300000003E-2</v>
      </c>
      <c r="G16" s="93">
        <v>1.8245449199999999</v>
      </c>
      <c r="H16" s="92">
        <v>3.8051189300000003E-2</v>
      </c>
      <c r="I16" s="83">
        <v>43279</v>
      </c>
      <c r="J16" s="83">
        <v>43220</v>
      </c>
      <c r="K16" s="83">
        <v>43222</v>
      </c>
      <c r="L16" s="297">
        <v>-168528</v>
      </c>
      <c r="M16" s="292" t="s">
        <v>137</v>
      </c>
      <c r="N16" s="292" t="s">
        <v>256</v>
      </c>
      <c r="O16" s="94" t="s">
        <v>189</v>
      </c>
    </row>
    <row r="17" spans="1:15" s="10" customFormat="1" ht="27.95" customHeight="1" x14ac:dyDescent="0.2">
      <c r="A17" s="298"/>
      <c r="B17" s="299" t="s">
        <v>184</v>
      </c>
      <c r="C17" s="300"/>
      <c r="D17" s="85"/>
      <c r="E17" s="86">
        <f>SUM(E16)</f>
        <v>25680351.43</v>
      </c>
      <c r="F17" s="87">
        <f>SUM(F16)</f>
        <v>3.8051189300000003E-2</v>
      </c>
      <c r="G17" s="87">
        <f>SUM(G16)</f>
        <v>1.8245449199999999</v>
      </c>
      <c r="H17" s="87">
        <f>SUM(H16)</f>
        <v>3.8051189300000003E-2</v>
      </c>
      <c r="I17" s="83"/>
      <c r="J17" s="82"/>
      <c r="K17" s="82"/>
      <c r="L17" s="289"/>
      <c r="M17" s="293"/>
      <c r="N17" s="293"/>
      <c r="O17" s="95"/>
    </row>
    <row r="18" spans="1:15" s="61" customForma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0"/>
    </row>
    <row r="19" spans="1:15" s="10" customFormat="1" ht="39.75" customHeight="1" x14ac:dyDescent="0.2">
      <c r="A19" s="298">
        <v>2016</v>
      </c>
      <c r="B19" s="74" t="s">
        <v>186</v>
      </c>
      <c r="C19" s="74" t="s">
        <v>187</v>
      </c>
      <c r="D19" s="67" t="s">
        <v>252</v>
      </c>
      <c r="E19" s="91">
        <v>140000000</v>
      </c>
      <c r="F19" s="92">
        <v>0.39518451999999998</v>
      </c>
      <c r="G19" s="92">
        <v>1.82454494</v>
      </c>
      <c r="H19" s="92">
        <v>0.39518451999999998</v>
      </c>
      <c r="I19" s="83">
        <v>42706</v>
      </c>
      <c r="J19" s="83">
        <v>42696</v>
      </c>
      <c r="K19" s="83">
        <v>42697</v>
      </c>
      <c r="L19" s="297">
        <v>350874</v>
      </c>
      <c r="M19" s="291">
        <f>E21/(L19*1000)</f>
        <v>0.84028550100605914</v>
      </c>
      <c r="N19" s="291" t="s">
        <v>254</v>
      </c>
      <c r="O19" s="94" t="s">
        <v>189</v>
      </c>
    </row>
    <row r="20" spans="1:15" s="10" customFormat="1" ht="37.5" customHeight="1" x14ac:dyDescent="0.2">
      <c r="A20" s="298"/>
      <c r="B20" s="74" t="s">
        <v>45</v>
      </c>
      <c r="C20" s="74" t="s">
        <v>188</v>
      </c>
      <c r="D20" s="67" t="s">
        <v>253</v>
      </c>
      <c r="E20" s="91">
        <v>154834334.88</v>
      </c>
      <c r="F20" s="96">
        <v>0.48370077243999998</v>
      </c>
      <c r="G20" s="92">
        <v>0</v>
      </c>
      <c r="H20" s="96">
        <v>0.48370077243999998</v>
      </c>
      <c r="I20" s="83">
        <v>42916</v>
      </c>
      <c r="J20" s="83">
        <v>42857</v>
      </c>
      <c r="K20" s="83">
        <v>42858</v>
      </c>
      <c r="L20" s="288"/>
      <c r="M20" s="282"/>
      <c r="N20" s="282"/>
      <c r="O20" s="94" t="s">
        <v>189</v>
      </c>
    </row>
    <row r="21" spans="1:15" s="98" customFormat="1" ht="27.95" customHeight="1" x14ac:dyDescent="0.2">
      <c r="A21" s="298"/>
      <c r="B21" s="299" t="s">
        <v>184</v>
      </c>
      <c r="C21" s="300"/>
      <c r="D21" s="85"/>
      <c r="E21" s="86">
        <f>SUM(E19:E20)</f>
        <v>294834334.88</v>
      </c>
      <c r="F21" s="97">
        <f>SUM(F19:F20)</f>
        <v>0.87888529243999991</v>
      </c>
      <c r="G21" s="87">
        <f>SUM(G19:G20)</f>
        <v>1.82454494</v>
      </c>
      <c r="H21" s="87">
        <f>SUM(H19:H20)</f>
        <v>0.87888529243999991</v>
      </c>
      <c r="I21" s="88"/>
      <c r="J21" s="89"/>
      <c r="K21" s="89"/>
      <c r="L21" s="289"/>
      <c r="M21" s="283"/>
      <c r="N21" s="283"/>
      <c r="O21" s="90"/>
    </row>
    <row r="22" spans="1:15" s="61" customFormat="1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0"/>
    </row>
    <row r="23" spans="1:15" s="10" customFormat="1" ht="38.25" customHeight="1" x14ac:dyDescent="0.2">
      <c r="A23" s="301">
        <v>2015</v>
      </c>
      <c r="B23" s="74" t="s">
        <v>45</v>
      </c>
      <c r="C23" s="74" t="s">
        <v>249</v>
      </c>
      <c r="D23" s="67" t="s">
        <v>250</v>
      </c>
      <c r="E23" s="91">
        <v>41325874.5</v>
      </c>
      <c r="F23" s="92">
        <v>8.6700233202000002E-2</v>
      </c>
      <c r="G23" s="99">
        <v>1.8245449419999999</v>
      </c>
      <c r="H23" s="92">
        <v>8.6700233202000002E-2</v>
      </c>
      <c r="I23" s="83">
        <v>42551</v>
      </c>
      <c r="J23" s="83">
        <v>42489</v>
      </c>
      <c r="K23" s="83">
        <v>42492</v>
      </c>
      <c r="L23" s="297">
        <v>-61357</v>
      </c>
      <c r="M23" s="292" t="s">
        <v>137</v>
      </c>
      <c r="N23" s="292" t="s">
        <v>251</v>
      </c>
      <c r="O23" s="94" t="s">
        <v>189</v>
      </c>
    </row>
    <row r="24" spans="1:15" s="10" customFormat="1" ht="27.95" customHeight="1" x14ac:dyDescent="0.2">
      <c r="A24" s="302"/>
      <c r="B24" s="299" t="s">
        <v>184</v>
      </c>
      <c r="C24" s="300"/>
      <c r="D24" s="85"/>
      <c r="E24" s="86">
        <f>E23</f>
        <v>41325874.5</v>
      </c>
      <c r="F24" s="87">
        <f>F23</f>
        <v>8.6700233202000002E-2</v>
      </c>
      <c r="G24" s="87">
        <f>G23</f>
        <v>1.8245449419999999</v>
      </c>
      <c r="H24" s="87">
        <f>H23</f>
        <v>8.6700233202000002E-2</v>
      </c>
      <c r="I24" s="88"/>
      <c r="J24" s="89"/>
      <c r="K24" s="89"/>
      <c r="L24" s="289"/>
      <c r="M24" s="293"/>
      <c r="N24" s="293"/>
      <c r="O24" s="90"/>
    </row>
    <row r="25" spans="1:15" s="61" customForma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0"/>
    </row>
    <row r="26" spans="1:15" s="10" customFormat="1" ht="39.75" customHeight="1" x14ac:dyDescent="0.2">
      <c r="A26" s="298">
        <v>2014</v>
      </c>
      <c r="B26" s="74" t="s">
        <v>186</v>
      </c>
      <c r="C26" s="74" t="s">
        <v>190</v>
      </c>
      <c r="D26" s="67" t="s">
        <v>242</v>
      </c>
      <c r="E26" s="91">
        <v>193000000</v>
      </c>
      <c r="F26" s="92">
        <v>0.55991906950000003</v>
      </c>
      <c r="G26" s="96">
        <v>1.8245449417999999</v>
      </c>
      <c r="H26" s="92">
        <v>0.55991906950000003</v>
      </c>
      <c r="I26" s="83">
        <v>41912</v>
      </c>
      <c r="J26" s="83">
        <v>41869</v>
      </c>
      <c r="K26" s="83">
        <v>41870</v>
      </c>
      <c r="L26" s="297">
        <v>560139</v>
      </c>
      <c r="M26" s="303">
        <f>E29/(L26*1000)</f>
        <v>3.1656353220539901</v>
      </c>
      <c r="N26" s="294" t="s">
        <v>248</v>
      </c>
      <c r="O26" s="94" t="s">
        <v>189</v>
      </c>
    </row>
    <row r="27" spans="1:15" s="10" customFormat="1" ht="37.5" customHeight="1" x14ac:dyDescent="0.2">
      <c r="A27" s="298"/>
      <c r="B27" s="306" t="s">
        <v>45</v>
      </c>
      <c r="C27" s="306" t="s">
        <v>245</v>
      </c>
      <c r="D27" s="67" t="s">
        <v>246</v>
      </c>
      <c r="E27" s="91">
        <v>790097901.83000004</v>
      </c>
      <c r="F27" s="92">
        <v>2.4418820800000001</v>
      </c>
      <c r="G27" s="96">
        <v>1.1772562099999999</v>
      </c>
      <c r="H27" s="92">
        <v>2.4418820800000001</v>
      </c>
      <c r="I27" s="83">
        <v>42143</v>
      </c>
      <c r="J27" s="292">
        <v>42123</v>
      </c>
      <c r="K27" s="292">
        <v>42124</v>
      </c>
      <c r="L27" s="288"/>
      <c r="M27" s="304"/>
      <c r="N27" s="295"/>
      <c r="O27" s="94" t="s">
        <v>189</v>
      </c>
    </row>
    <row r="28" spans="1:15" s="10" customFormat="1" ht="39.75" customHeight="1" x14ac:dyDescent="0.2">
      <c r="A28" s="298"/>
      <c r="B28" s="306"/>
      <c r="C28" s="306"/>
      <c r="D28" s="67" t="s">
        <v>247</v>
      </c>
      <c r="E28" s="91">
        <v>790097901.83000004</v>
      </c>
      <c r="F28" s="92">
        <v>2.4124929900000001</v>
      </c>
      <c r="G28" s="92">
        <v>2.4124929900000001</v>
      </c>
      <c r="H28" s="92">
        <v>2.4124929900000001</v>
      </c>
      <c r="I28" s="83">
        <v>42277</v>
      </c>
      <c r="J28" s="293"/>
      <c r="K28" s="293"/>
      <c r="L28" s="288"/>
      <c r="M28" s="304"/>
      <c r="N28" s="295"/>
      <c r="O28" s="94" t="s">
        <v>189</v>
      </c>
    </row>
    <row r="29" spans="1:15" s="10" customFormat="1" ht="27.95" customHeight="1" x14ac:dyDescent="0.2">
      <c r="A29" s="298"/>
      <c r="B29" s="299" t="s">
        <v>184</v>
      </c>
      <c r="C29" s="300"/>
      <c r="D29" s="85"/>
      <c r="E29" s="86">
        <f>SUM(E26:E28)</f>
        <v>1773195803.6600001</v>
      </c>
      <c r="F29" s="97">
        <f>SUM(F26:F28)</f>
        <v>5.4142941395000008</v>
      </c>
      <c r="G29" s="87">
        <f>SUM(G26:G28)</f>
        <v>5.4142941417999992</v>
      </c>
      <c r="H29" s="87">
        <f>SUM(H26:H28)</f>
        <v>5.4142941395000008</v>
      </c>
      <c r="I29" s="100"/>
      <c r="J29" s="101"/>
      <c r="K29" s="101"/>
      <c r="L29" s="289"/>
      <c r="M29" s="305"/>
      <c r="N29" s="296"/>
      <c r="O29" s="102"/>
    </row>
    <row r="30" spans="1:15" s="61" customForma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0"/>
    </row>
    <row r="31" spans="1:15" s="10" customFormat="1" ht="36.75" customHeight="1" x14ac:dyDescent="0.2">
      <c r="A31" s="298">
        <v>2013</v>
      </c>
      <c r="B31" s="306" t="s">
        <v>186</v>
      </c>
      <c r="C31" s="74" t="s">
        <v>191</v>
      </c>
      <c r="D31" s="67" t="s">
        <v>238</v>
      </c>
      <c r="E31" s="91">
        <v>111000000</v>
      </c>
      <c r="F31" s="92">
        <v>0.3031458608</v>
      </c>
      <c r="G31" s="92">
        <v>1.8245449416999999</v>
      </c>
      <c r="H31" s="92">
        <v>0.3031458608</v>
      </c>
      <c r="I31" s="83">
        <v>41481</v>
      </c>
      <c r="J31" s="83">
        <v>41404</v>
      </c>
      <c r="K31" s="83">
        <v>41407</v>
      </c>
      <c r="L31" s="297">
        <v>-195346</v>
      </c>
      <c r="M31" s="291" t="s">
        <v>137</v>
      </c>
      <c r="N31" s="291" t="s">
        <v>244</v>
      </c>
      <c r="O31" s="94" t="s">
        <v>189</v>
      </c>
    </row>
    <row r="32" spans="1:15" s="10" customFormat="1" ht="39.75" customHeight="1" x14ac:dyDescent="0.2">
      <c r="A32" s="298"/>
      <c r="B32" s="306"/>
      <c r="C32" s="74" t="s">
        <v>239</v>
      </c>
      <c r="D32" s="67" t="s">
        <v>240</v>
      </c>
      <c r="E32" s="91">
        <v>85000000</v>
      </c>
      <c r="F32" s="92">
        <v>0.26579116349999998</v>
      </c>
      <c r="G32" s="92">
        <v>0</v>
      </c>
      <c r="H32" s="92">
        <v>0.26579116349999998</v>
      </c>
      <c r="I32" s="83">
        <v>41578</v>
      </c>
      <c r="J32" s="83">
        <v>41502</v>
      </c>
      <c r="K32" s="83">
        <v>41505</v>
      </c>
      <c r="L32" s="288"/>
      <c r="M32" s="282"/>
      <c r="N32" s="282"/>
      <c r="O32" s="94" t="s">
        <v>189</v>
      </c>
    </row>
    <row r="33" spans="1:15" s="10" customFormat="1" ht="36.75" customHeight="1" x14ac:dyDescent="0.2">
      <c r="A33" s="298"/>
      <c r="B33" s="306" t="s">
        <v>45</v>
      </c>
      <c r="C33" s="306" t="s">
        <v>192</v>
      </c>
      <c r="D33" s="67" t="s">
        <v>241</v>
      </c>
      <c r="E33" s="91">
        <v>401543345.44</v>
      </c>
      <c r="F33" s="92">
        <v>1.2556079174000001</v>
      </c>
      <c r="G33" s="92">
        <v>0</v>
      </c>
      <c r="H33" s="92">
        <v>1.2556079174000001</v>
      </c>
      <c r="I33" s="83">
        <v>41820</v>
      </c>
      <c r="J33" s="292">
        <v>41758</v>
      </c>
      <c r="K33" s="292">
        <v>41759</v>
      </c>
      <c r="L33" s="288"/>
      <c r="M33" s="282"/>
      <c r="N33" s="282"/>
      <c r="O33" s="94" t="s">
        <v>189</v>
      </c>
    </row>
    <row r="34" spans="1:15" s="10" customFormat="1" ht="39" customHeight="1" x14ac:dyDescent="0.2">
      <c r="A34" s="298"/>
      <c r="B34" s="306"/>
      <c r="C34" s="306"/>
      <c r="D34" s="67" t="s">
        <v>243</v>
      </c>
      <c r="E34" s="91">
        <v>446533431.75</v>
      </c>
      <c r="F34" s="92">
        <v>1.3634497321000001</v>
      </c>
      <c r="G34" s="92">
        <v>1.3634497321000001</v>
      </c>
      <c r="H34" s="92">
        <v>1.3634497321000001</v>
      </c>
      <c r="I34" s="83">
        <v>41971</v>
      </c>
      <c r="J34" s="293"/>
      <c r="K34" s="293"/>
      <c r="L34" s="288"/>
      <c r="M34" s="282"/>
      <c r="N34" s="282"/>
      <c r="O34" s="94" t="s">
        <v>189</v>
      </c>
    </row>
    <row r="35" spans="1:15" s="10" customFormat="1" ht="27.95" customHeight="1" x14ac:dyDescent="0.2">
      <c r="A35" s="298"/>
      <c r="B35" s="299" t="s">
        <v>184</v>
      </c>
      <c r="C35" s="300"/>
      <c r="D35" s="85"/>
      <c r="E35" s="86">
        <f>SUM(E31:E34)</f>
        <v>1044076777.1900001</v>
      </c>
      <c r="F35" s="97">
        <f>SUM(F31:F34)</f>
        <v>3.1879946738000005</v>
      </c>
      <c r="G35" s="87">
        <f>SUM(G31:G34)</f>
        <v>3.1879946738</v>
      </c>
      <c r="H35" s="87">
        <f>SUM(H31:H34)</f>
        <v>3.1879946738000005</v>
      </c>
      <c r="I35" s="100"/>
      <c r="J35" s="101"/>
      <c r="K35" s="101"/>
      <c r="L35" s="289"/>
      <c r="M35" s="283"/>
      <c r="N35" s="283"/>
      <c r="O35" s="102"/>
    </row>
    <row r="36" spans="1:15" s="61" customFormat="1" x14ac:dyDescent="0.2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0"/>
    </row>
    <row r="37" spans="1:15" s="10" customFormat="1" ht="38.25" x14ac:dyDescent="0.2">
      <c r="A37" s="298">
        <v>2012</v>
      </c>
      <c r="B37" s="306" t="s">
        <v>186</v>
      </c>
      <c r="C37" s="67" t="s">
        <v>193</v>
      </c>
      <c r="D37" s="67" t="s">
        <v>232</v>
      </c>
      <c r="E37" s="91">
        <v>75000000</v>
      </c>
      <c r="F37" s="92">
        <v>0.18844301729999999</v>
      </c>
      <c r="G37" s="103">
        <v>1.8245449413999999</v>
      </c>
      <c r="H37" s="104">
        <v>0.18844301729999999</v>
      </c>
      <c r="I37" s="83">
        <v>41109</v>
      </c>
      <c r="J37" s="83">
        <v>41038</v>
      </c>
      <c r="K37" s="83">
        <v>41039</v>
      </c>
      <c r="L37" s="297">
        <v>504298</v>
      </c>
      <c r="M37" s="291">
        <f>E40/(L37*1000)</f>
        <v>0.76576049692840342</v>
      </c>
      <c r="N37" s="291" t="s">
        <v>237</v>
      </c>
      <c r="O37" s="94" t="s">
        <v>189</v>
      </c>
    </row>
    <row r="38" spans="1:15" s="10" customFormat="1" ht="38.25" x14ac:dyDescent="0.2">
      <c r="A38" s="298"/>
      <c r="B38" s="306"/>
      <c r="C38" s="74" t="s">
        <v>194</v>
      </c>
      <c r="D38" s="67" t="s">
        <v>235</v>
      </c>
      <c r="E38" s="91">
        <v>40000000</v>
      </c>
      <c r="F38" s="92">
        <v>0.1250781946</v>
      </c>
      <c r="G38" s="105">
        <v>0</v>
      </c>
      <c r="H38" s="104">
        <v>0.1250781946</v>
      </c>
      <c r="I38" s="83">
        <v>41208</v>
      </c>
      <c r="J38" s="83">
        <v>41129</v>
      </c>
      <c r="K38" s="83">
        <v>41130</v>
      </c>
      <c r="L38" s="288"/>
      <c r="M38" s="282"/>
      <c r="N38" s="282"/>
      <c r="O38" s="94" t="s">
        <v>189</v>
      </c>
    </row>
    <row r="39" spans="1:15" s="10" customFormat="1" ht="38.25" x14ac:dyDescent="0.2">
      <c r="A39" s="298"/>
      <c r="B39" s="74" t="s">
        <v>45</v>
      </c>
      <c r="C39" s="74" t="s">
        <v>195</v>
      </c>
      <c r="D39" s="67" t="s">
        <v>236</v>
      </c>
      <c r="E39" s="91">
        <v>271171487.07999998</v>
      </c>
      <c r="F39" s="96">
        <v>0.84794100100000003</v>
      </c>
      <c r="G39" s="92">
        <v>0</v>
      </c>
      <c r="H39" s="92">
        <v>0.84794100100000003</v>
      </c>
      <c r="I39" s="83">
        <v>41607</v>
      </c>
      <c r="J39" s="83">
        <v>41390</v>
      </c>
      <c r="K39" s="83">
        <v>41393</v>
      </c>
      <c r="L39" s="288"/>
      <c r="M39" s="282"/>
      <c r="N39" s="282"/>
      <c r="O39" s="94" t="s">
        <v>189</v>
      </c>
    </row>
    <row r="40" spans="1:15" s="10" customFormat="1" ht="27.95" customHeight="1" x14ac:dyDescent="0.2">
      <c r="A40" s="298"/>
      <c r="B40" s="299" t="s">
        <v>184</v>
      </c>
      <c r="C40" s="300"/>
      <c r="D40" s="85"/>
      <c r="E40" s="86">
        <f>SUM(E37:E39)</f>
        <v>386171487.07999998</v>
      </c>
      <c r="F40" s="87">
        <f>SUM(F37:F39)</f>
        <v>1.1614622129000001</v>
      </c>
      <c r="G40" s="106">
        <f>SUM(G37:G39)</f>
        <v>1.8245449413999999</v>
      </c>
      <c r="H40" s="87">
        <f>SUM(H37:H39)</f>
        <v>1.1614622129000001</v>
      </c>
      <c r="I40" s="100"/>
      <c r="J40" s="107"/>
      <c r="K40" s="107"/>
      <c r="L40" s="288"/>
      <c r="M40" s="282"/>
      <c r="N40" s="283"/>
      <c r="O40" s="102"/>
    </row>
    <row r="41" spans="1:15" s="61" customFormat="1" x14ac:dyDescent="0.2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0"/>
    </row>
    <row r="42" spans="1:15" s="10" customFormat="1" ht="39.75" customHeight="1" x14ac:dyDescent="0.2">
      <c r="A42" s="298">
        <v>2011</v>
      </c>
      <c r="B42" s="306" t="s">
        <v>186</v>
      </c>
      <c r="C42" s="67" t="s">
        <v>196</v>
      </c>
      <c r="D42" s="67" t="s">
        <v>228</v>
      </c>
      <c r="E42" s="91">
        <v>25000000</v>
      </c>
      <c r="F42" s="103">
        <v>3.1891227100000002E-2</v>
      </c>
      <c r="G42" s="103">
        <v>1.8245449413999999</v>
      </c>
      <c r="H42" s="108">
        <v>3.1891227100000002E-2</v>
      </c>
      <c r="I42" s="83">
        <v>40744</v>
      </c>
      <c r="J42" s="83">
        <v>40669</v>
      </c>
      <c r="K42" s="83">
        <v>40672</v>
      </c>
      <c r="L42" s="297">
        <v>108581</v>
      </c>
      <c r="M42" s="291">
        <f>E46/(L42*1000)</f>
        <v>4.2862453668689735</v>
      </c>
      <c r="N42" s="291" t="s">
        <v>234</v>
      </c>
      <c r="O42" s="94" t="s">
        <v>189</v>
      </c>
    </row>
    <row r="43" spans="1:15" s="10" customFormat="1" ht="39" customHeight="1" x14ac:dyDescent="0.2">
      <c r="A43" s="298"/>
      <c r="B43" s="306"/>
      <c r="C43" s="74" t="s">
        <v>229</v>
      </c>
      <c r="D43" s="74" t="s">
        <v>231</v>
      </c>
      <c r="E43" s="91">
        <v>50000000</v>
      </c>
      <c r="F43" s="103">
        <v>0.15655179020000001</v>
      </c>
      <c r="G43" s="105">
        <v>0</v>
      </c>
      <c r="H43" s="108">
        <v>0.15655179020000001</v>
      </c>
      <c r="I43" s="83">
        <v>40837</v>
      </c>
      <c r="J43" s="83">
        <v>40763</v>
      </c>
      <c r="K43" s="83">
        <v>40764</v>
      </c>
      <c r="L43" s="288"/>
      <c r="M43" s="282"/>
      <c r="N43" s="282"/>
      <c r="O43" s="94" t="s">
        <v>189</v>
      </c>
    </row>
    <row r="44" spans="1:15" s="10" customFormat="1" ht="34.5" customHeight="1" x14ac:dyDescent="0.2">
      <c r="A44" s="298"/>
      <c r="B44" s="306" t="s">
        <v>45</v>
      </c>
      <c r="C44" s="306" t="s">
        <v>197</v>
      </c>
      <c r="D44" s="284" t="s">
        <v>233</v>
      </c>
      <c r="E44" s="91">
        <v>160000000</v>
      </c>
      <c r="F44" s="103">
        <v>0.50096572890000002</v>
      </c>
      <c r="G44" s="105">
        <v>0</v>
      </c>
      <c r="H44" s="108">
        <v>0.50096572890000002</v>
      </c>
      <c r="I44" s="83">
        <v>41086</v>
      </c>
      <c r="J44" s="292">
        <v>41024</v>
      </c>
      <c r="K44" s="292">
        <v>41025</v>
      </c>
      <c r="L44" s="288"/>
      <c r="M44" s="282"/>
      <c r="N44" s="282"/>
      <c r="O44" s="94" t="s">
        <v>189</v>
      </c>
    </row>
    <row r="45" spans="1:15" s="10" customFormat="1" ht="36.75" customHeight="1" x14ac:dyDescent="0.2">
      <c r="A45" s="298"/>
      <c r="B45" s="306"/>
      <c r="C45" s="306"/>
      <c r="D45" s="285"/>
      <c r="E45" s="91">
        <v>230404808.18000001</v>
      </c>
      <c r="F45" s="103">
        <v>0.72140570400000004</v>
      </c>
      <c r="G45" s="105">
        <v>0</v>
      </c>
      <c r="H45" s="108">
        <v>0.72140570400000004</v>
      </c>
      <c r="I45" s="83">
        <v>41178</v>
      </c>
      <c r="J45" s="293"/>
      <c r="K45" s="293"/>
      <c r="L45" s="288"/>
      <c r="M45" s="282"/>
      <c r="N45" s="282"/>
      <c r="O45" s="94" t="s">
        <v>189</v>
      </c>
    </row>
    <row r="46" spans="1:15" s="10" customFormat="1" ht="27.95" customHeight="1" x14ac:dyDescent="0.2">
      <c r="A46" s="298"/>
      <c r="B46" s="299" t="s">
        <v>184</v>
      </c>
      <c r="C46" s="300"/>
      <c r="D46" s="85"/>
      <c r="E46" s="86">
        <f>SUM(E42:E45)</f>
        <v>465404808.18000001</v>
      </c>
      <c r="F46" s="109">
        <f>SUM(F42:F45)</f>
        <v>1.4108144502000002</v>
      </c>
      <c r="G46" s="109">
        <f>SUM(G42:G45)</f>
        <v>1.8245449413999999</v>
      </c>
      <c r="H46" s="109">
        <f>SUM(H42:H45)</f>
        <v>1.4108144502000002</v>
      </c>
      <c r="I46" s="100"/>
      <c r="J46" s="101"/>
      <c r="K46" s="101"/>
      <c r="L46" s="289"/>
      <c r="M46" s="283"/>
      <c r="N46" s="283"/>
      <c r="O46" s="102"/>
    </row>
    <row r="47" spans="1:15" s="61" customFormat="1" x14ac:dyDescent="0.2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0"/>
    </row>
    <row r="48" spans="1:15" s="10" customFormat="1" ht="40.5" customHeight="1" x14ac:dyDescent="0.2">
      <c r="A48" s="298">
        <v>2010</v>
      </c>
      <c r="B48" s="306" t="s">
        <v>186</v>
      </c>
      <c r="C48" s="67" t="s">
        <v>222</v>
      </c>
      <c r="D48" s="67" t="s">
        <v>224</v>
      </c>
      <c r="E48" s="91">
        <v>25000000</v>
      </c>
      <c r="F48" s="103">
        <v>3.1891227100000002E-2</v>
      </c>
      <c r="G48" s="103">
        <v>1.8245449413999999</v>
      </c>
      <c r="H48" s="108">
        <v>3.1891227100000002E-2</v>
      </c>
      <c r="I48" s="83">
        <v>40367</v>
      </c>
      <c r="J48" s="83">
        <v>40309</v>
      </c>
      <c r="K48" s="83">
        <v>40310</v>
      </c>
      <c r="L48" s="297">
        <v>93042</v>
      </c>
      <c r="M48" s="291">
        <f>E52/(L48*1000)</f>
        <v>2.5734618409965395</v>
      </c>
      <c r="N48" s="291" t="s">
        <v>227</v>
      </c>
      <c r="O48" s="94" t="s">
        <v>189</v>
      </c>
    </row>
    <row r="49" spans="1:15" s="10" customFormat="1" ht="42" customHeight="1" x14ac:dyDescent="0.2">
      <c r="A49" s="298"/>
      <c r="B49" s="306"/>
      <c r="C49" s="74" t="s">
        <v>198</v>
      </c>
      <c r="D49" s="67" t="s">
        <v>226</v>
      </c>
      <c r="E49" s="91">
        <v>25000000</v>
      </c>
      <c r="F49" s="103">
        <v>7.8275895100000006E-2</v>
      </c>
      <c r="G49" s="105">
        <v>0</v>
      </c>
      <c r="H49" s="108">
        <v>7.8275895100000006E-2</v>
      </c>
      <c r="I49" s="83">
        <v>40459</v>
      </c>
      <c r="J49" s="83">
        <v>40402</v>
      </c>
      <c r="K49" s="83">
        <v>40403</v>
      </c>
      <c r="L49" s="288"/>
      <c r="M49" s="282"/>
      <c r="N49" s="282"/>
      <c r="O49" s="94" t="s">
        <v>189</v>
      </c>
    </row>
    <row r="50" spans="1:15" s="10" customFormat="1" ht="41.25" customHeight="1" x14ac:dyDescent="0.2">
      <c r="A50" s="298"/>
      <c r="B50" s="306"/>
      <c r="C50" s="74" t="s">
        <v>199</v>
      </c>
      <c r="D50" s="67" t="s">
        <v>225</v>
      </c>
      <c r="E50" s="91">
        <v>25000000</v>
      </c>
      <c r="F50" s="103">
        <v>7.8275895100000006E-2</v>
      </c>
      <c r="G50" s="105">
        <v>0</v>
      </c>
      <c r="H50" s="108">
        <v>7.8275895100000006E-2</v>
      </c>
      <c r="I50" s="83">
        <v>40533</v>
      </c>
      <c r="J50" s="83">
        <v>40498</v>
      </c>
      <c r="K50" s="83">
        <v>40499</v>
      </c>
      <c r="L50" s="288"/>
      <c r="M50" s="282"/>
      <c r="N50" s="282"/>
      <c r="O50" s="94" t="s">
        <v>189</v>
      </c>
    </row>
    <row r="51" spans="1:15" s="10" customFormat="1" ht="40.5" customHeight="1" x14ac:dyDescent="0.2">
      <c r="A51" s="298"/>
      <c r="B51" s="74" t="s">
        <v>45</v>
      </c>
      <c r="C51" s="74" t="s">
        <v>200</v>
      </c>
      <c r="D51" s="67" t="s">
        <v>230</v>
      </c>
      <c r="E51" s="91">
        <v>164440036.61000001</v>
      </c>
      <c r="F51" s="103">
        <v>0.51486764249999994</v>
      </c>
      <c r="G51" s="105">
        <v>0</v>
      </c>
      <c r="H51" s="108">
        <v>0.51486764249999994</v>
      </c>
      <c r="I51" s="83">
        <v>40809</v>
      </c>
      <c r="J51" s="83">
        <v>40665</v>
      </c>
      <c r="K51" s="83">
        <v>40636</v>
      </c>
      <c r="L51" s="288"/>
      <c r="M51" s="282"/>
      <c r="N51" s="282"/>
      <c r="O51" s="94" t="s">
        <v>189</v>
      </c>
    </row>
    <row r="52" spans="1:15" s="10" customFormat="1" ht="27.95" customHeight="1" x14ac:dyDescent="0.2">
      <c r="A52" s="298"/>
      <c r="B52" s="299" t="s">
        <v>184</v>
      </c>
      <c r="C52" s="300"/>
      <c r="D52" s="85"/>
      <c r="E52" s="86">
        <f>SUM(E48:E51)</f>
        <v>239440036.61000001</v>
      </c>
      <c r="F52" s="109">
        <f>SUM(F48:F51)</f>
        <v>0.70331065979999996</v>
      </c>
      <c r="G52" s="109">
        <f>SUM(G48:G51)</f>
        <v>1.8245449413999999</v>
      </c>
      <c r="H52" s="109">
        <f>SUM(H48:H51)</f>
        <v>0.70331065979999996</v>
      </c>
      <c r="I52" s="100"/>
      <c r="J52" s="100"/>
      <c r="K52" s="100"/>
      <c r="L52" s="289"/>
      <c r="M52" s="283"/>
      <c r="N52" s="283"/>
      <c r="O52" s="102"/>
    </row>
    <row r="53" spans="1:15" s="61" customFormat="1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0"/>
    </row>
    <row r="54" spans="1:15" s="10" customFormat="1" ht="38.25" customHeight="1" x14ac:dyDescent="0.2">
      <c r="A54" s="298">
        <v>2009</v>
      </c>
      <c r="B54" s="306" t="s">
        <v>186</v>
      </c>
      <c r="C54" s="67" t="s">
        <v>201</v>
      </c>
      <c r="D54" s="67" t="s">
        <v>212</v>
      </c>
      <c r="E54" s="91">
        <v>30000000</v>
      </c>
      <c r="F54" s="103">
        <v>4.7546405999999999E-2</v>
      </c>
      <c r="G54" s="103">
        <v>1.8245449410000001</v>
      </c>
      <c r="H54" s="108">
        <v>4.7546405999999999E-2</v>
      </c>
      <c r="I54" s="83">
        <v>39980</v>
      </c>
      <c r="J54" s="83">
        <v>39947</v>
      </c>
      <c r="K54" s="83">
        <v>39948</v>
      </c>
      <c r="L54" s="297">
        <v>762713</v>
      </c>
      <c r="M54" s="291">
        <f>E58/(L54*1000)</f>
        <v>0.18961003234506293</v>
      </c>
      <c r="N54" s="291" t="s">
        <v>221</v>
      </c>
      <c r="O54" s="94" t="s">
        <v>189</v>
      </c>
    </row>
    <row r="55" spans="1:15" s="10" customFormat="1" ht="42.75" customHeight="1" x14ac:dyDescent="0.2">
      <c r="A55" s="298"/>
      <c r="B55" s="306"/>
      <c r="C55" s="74" t="s">
        <v>202</v>
      </c>
      <c r="D55" s="67" t="s">
        <v>214</v>
      </c>
      <c r="E55" s="91">
        <v>45000000</v>
      </c>
      <c r="F55" s="103">
        <v>0.140896611</v>
      </c>
      <c r="G55" s="103">
        <v>0</v>
      </c>
      <c r="H55" s="108">
        <v>0.140896611</v>
      </c>
      <c r="I55" s="83">
        <v>40095</v>
      </c>
      <c r="J55" s="83">
        <v>40038</v>
      </c>
      <c r="K55" s="83">
        <v>40039</v>
      </c>
      <c r="L55" s="288"/>
      <c r="M55" s="282"/>
      <c r="N55" s="282"/>
      <c r="O55" s="94" t="s">
        <v>189</v>
      </c>
    </row>
    <row r="56" spans="1:15" s="10" customFormat="1" ht="42.75" customHeight="1" x14ac:dyDescent="0.2">
      <c r="A56" s="298"/>
      <c r="B56" s="306"/>
      <c r="C56" s="74" t="s">
        <v>203</v>
      </c>
      <c r="D56" s="67" t="s">
        <v>215</v>
      </c>
      <c r="E56" s="91">
        <v>35000000</v>
      </c>
      <c r="F56" s="103">
        <v>0.1095862532</v>
      </c>
      <c r="G56" s="103">
        <v>0</v>
      </c>
      <c r="H56" s="108">
        <v>0.1095862532</v>
      </c>
      <c r="I56" s="83">
        <v>40186</v>
      </c>
      <c r="J56" s="83">
        <v>40128</v>
      </c>
      <c r="K56" s="83">
        <v>40129</v>
      </c>
      <c r="L56" s="288"/>
      <c r="M56" s="282"/>
      <c r="N56" s="282"/>
      <c r="O56" s="94" t="s">
        <v>189</v>
      </c>
    </row>
    <row r="57" spans="1:15" s="10" customFormat="1" ht="38.25" customHeight="1" x14ac:dyDescent="0.2">
      <c r="A57" s="298"/>
      <c r="B57" s="74" t="s">
        <v>45</v>
      </c>
      <c r="C57" s="74" t="s">
        <v>204</v>
      </c>
      <c r="D57" s="67" t="s">
        <v>223</v>
      </c>
      <c r="E57" s="91">
        <v>34618036.600000001</v>
      </c>
      <c r="F57" s="103">
        <v>0.1083903121</v>
      </c>
      <c r="G57" s="103">
        <v>0</v>
      </c>
      <c r="H57" s="108">
        <v>0.1083903121</v>
      </c>
      <c r="I57" s="83">
        <v>40359</v>
      </c>
      <c r="J57" s="83">
        <v>40298</v>
      </c>
      <c r="K57" s="83">
        <v>40301</v>
      </c>
      <c r="L57" s="288"/>
      <c r="M57" s="282"/>
      <c r="N57" s="282"/>
      <c r="O57" s="94" t="s">
        <v>189</v>
      </c>
    </row>
    <row r="58" spans="1:15" s="10" customFormat="1" ht="27.95" customHeight="1" x14ac:dyDescent="0.2">
      <c r="A58" s="298"/>
      <c r="B58" s="299" t="s">
        <v>184</v>
      </c>
      <c r="C58" s="300"/>
      <c r="D58" s="85"/>
      <c r="E58" s="86">
        <f>SUM(E54:E57)</f>
        <v>144618036.59999999</v>
      </c>
      <c r="F58" s="109">
        <f>SUM(F54:F57)</f>
        <v>0.40641958229999997</v>
      </c>
      <c r="G58" s="109">
        <f>SUM(G54:G57)</f>
        <v>1.8245449410000001</v>
      </c>
      <c r="H58" s="109">
        <f>SUM(H54:H57)</f>
        <v>0.40641958229999997</v>
      </c>
      <c r="I58" s="100"/>
      <c r="J58" s="100"/>
      <c r="K58" s="100"/>
      <c r="L58" s="289"/>
      <c r="M58" s="283"/>
      <c r="N58" s="283"/>
      <c r="O58" s="102"/>
    </row>
    <row r="59" spans="1:15" s="61" customFormat="1" x14ac:dyDescent="0.2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0"/>
    </row>
    <row r="60" spans="1:15" s="10" customFormat="1" ht="25.5" x14ac:dyDescent="0.2">
      <c r="A60" s="298">
        <v>2008</v>
      </c>
      <c r="B60" s="306" t="s">
        <v>186</v>
      </c>
      <c r="C60" s="74" t="s">
        <v>205</v>
      </c>
      <c r="D60" s="67">
        <v>39581</v>
      </c>
      <c r="E60" s="91">
        <v>20500000</v>
      </c>
      <c r="F60" s="92">
        <v>1.7801566000000001E-2</v>
      </c>
      <c r="G60" s="92">
        <v>1.8245449410000001</v>
      </c>
      <c r="H60" s="92">
        <v>1.7801566000000001E-2</v>
      </c>
      <c r="I60" s="83">
        <v>39637</v>
      </c>
      <c r="J60" s="83">
        <v>39581</v>
      </c>
      <c r="K60" s="83">
        <v>39582</v>
      </c>
      <c r="L60" s="297">
        <v>-2351639</v>
      </c>
      <c r="M60" s="291" t="s">
        <v>137</v>
      </c>
      <c r="N60" s="316" t="s">
        <v>220</v>
      </c>
      <c r="O60" s="94" t="s">
        <v>189</v>
      </c>
    </row>
    <row r="61" spans="1:15" s="10" customFormat="1" ht="38.25" x14ac:dyDescent="0.2">
      <c r="A61" s="298"/>
      <c r="B61" s="306"/>
      <c r="C61" s="74" t="s">
        <v>206</v>
      </c>
      <c r="D61" s="74" t="s">
        <v>213</v>
      </c>
      <c r="E61" s="91">
        <v>45000000</v>
      </c>
      <c r="F61" s="92">
        <v>0.13740345900000001</v>
      </c>
      <c r="G61" s="92">
        <v>0.13740345900000001</v>
      </c>
      <c r="H61" s="92">
        <v>0.13740345900000001</v>
      </c>
      <c r="I61" s="83">
        <v>39696</v>
      </c>
      <c r="J61" s="83">
        <v>39672</v>
      </c>
      <c r="K61" s="83">
        <v>39673</v>
      </c>
      <c r="L61" s="288"/>
      <c r="M61" s="282"/>
      <c r="N61" s="317"/>
      <c r="O61" s="94" t="s">
        <v>189</v>
      </c>
    </row>
    <row r="62" spans="1:15" s="10" customFormat="1" ht="27.95" customHeight="1" x14ac:dyDescent="0.2">
      <c r="A62" s="298"/>
      <c r="B62" s="299" t="s">
        <v>184</v>
      </c>
      <c r="C62" s="300"/>
      <c r="D62" s="85"/>
      <c r="E62" s="86">
        <f>SUM(E60:E61)</f>
        <v>65500000</v>
      </c>
      <c r="F62" s="87">
        <f t="shared" ref="F62:H62" si="2">SUM(F60:F61)</f>
        <v>0.155205025</v>
      </c>
      <c r="G62" s="87">
        <f t="shared" si="2"/>
        <v>1.9619484</v>
      </c>
      <c r="H62" s="87">
        <f t="shared" si="2"/>
        <v>0.155205025</v>
      </c>
      <c r="I62" s="100"/>
      <c r="J62" s="100"/>
      <c r="K62" s="100"/>
      <c r="L62" s="289"/>
      <c r="M62" s="283"/>
      <c r="N62" s="318"/>
      <c r="O62" s="102"/>
    </row>
    <row r="63" spans="1:15" s="61" customFormat="1" x14ac:dyDescent="0.2">
      <c r="A63" s="308"/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10"/>
    </row>
  </sheetData>
  <mergeCells count="96">
    <mergeCell ref="N60:N62"/>
    <mergeCell ref="N54:N58"/>
    <mergeCell ref="N48:N52"/>
    <mergeCell ref="D44:D45"/>
    <mergeCell ref="L48:L52"/>
    <mergeCell ref="M48:M52"/>
    <mergeCell ref="L42:L46"/>
    <mergeCell ref="M42:M46"/>
    <mergeCell ref="J44:J45"/>
    <mergeCell ref="L60:L62"/>
    <mergeCell ref="M60:M62"/>
    <mergeCell ref="K44:K45"/>
    <mergeCell ref="A31:A35"/>
    <mergeCell ref="B31:B32"/>
    <mergeCell ref="B33:B34"/>
    <mergeCell ref="C33:C34"/>
    <mergeCell ref="B1:O1"/>
    <mergeCell ref="L31:L35"/>
    <mergeCell ref="M31:M35"/>
    <mergeCell ref="B35:C35"/>
    <mergeCell ref="J33:J34"/>
    <mergeCell ref="K33:K34"/>
    <mergeCell ref="A4:A7"/>
    <mergeCell ref="B11:C11"/>
    <mergeCell ref="B7:C7"/>
    <mergeCell ref="B9:B10"/>
    <mergeCell ref="C9:C10"/>
    <mergeCell ref="B5:B6"/>
    <mergeCell ref="A37:A40"/>
    <mergeCell ref="B37:B38"/>
    <mergeCell ref="A42:A46"/>
    <mergeCell ref="B42:B43"/>
    <mergeCell ref="B44:B45"/>
    <mergeCell ref="B40:C40"/>
    <mergeCell ref="B62:C62"/>
    <mergeCell ref="C44:C45"/>
    <mergeCell ref="B46:C46"/>
    <mergeCell ref="A48:A52"/>
    <mergeCell ref="B48:B50"/>
    <mergeCell ref="B52:C52"/>
    <mergeCell ref="C4:C6"/>
    <mergeCell ref="A9:A11"/>
    <mergeCell ref="A63:O63"/>
    <mergeCell ref="A13:A14"/>
    <mergeCell ref="L13:L14"/>
    <mergeCell ref="M13:M14"/>
    <mergeCell ref="B14:C14"/>
    <mergeCell ref="N42:N46"/>
    <mergeCell ref="N37:N40"/>
    <mergeCell ref="A54:A58"/>
    <mergeCell ref="B54:B56"/>
    <mergeCell ref="L54:L58"/>
    <mergeCell ref="M54:M58"/>
    <mergeCell ref="B58:C58"/>
    <mergeCell ref="A60:A62"/>
    <mergeCell ref="B60:B61"/>
    <mergeCell ref="A26:A29"/>
    <mergeCell ref="L26:L29"/>
    <mergeCell ref="M26:M29"/>
    <mergeCell ref="B27:B28"/>
    <mergeCell ref="C27:C28"/>
    <mergeCell ref="B29:C29"/>
    <mergeCell ref="N23:N24"/>
    <mergeCell ref="N19:N21"/>
    <mergeCell ref="N16:N17"/>
    <mergeCell ref="N13:N14"/>
    <mergeCell ref="A16:A17"/>
    <mergeCell ref="L16:L17"/>
    <mergeCell ref="M16:M17"/>
    <mergeCell ref="B17:C17"/>
    <mergeCell ref="A19:A21"/>
    <mergeCell ref="L19:L21"/>
    <mergeCell ref="M19:M21"/>
    <mergeCell ref="B21:C21"/>
    <mergeCell ref="A23:A24"/>
    <mergeCell ref="L23:L24"/>
    <mergeCell ref="M23:M24"/>
    <mergeCell ref="B24:C24"/>
    <mergeCell ref="N31:N35"/>
    <mergeCell ref="J27:J28"/>
    <mergeCell ref="K27:K28"/>
    <mergeCell ref="N26:N29"/>
    <mergeCell ref="M37:M40"/>
    <mergeCell ref="L37:L40"/>
    <mergeCell ref="N4:N7"/>
    <mergeCell ref="D9:D10"/>
    <mergeCell ref="J9:J10"/>
    <mergeCell ref="K9:K10"/>
    <mergeCell ref="D5:D6"/>
    <mergeCell ref="J5:J6"/>
    <mergeCell ref="K5:K6"/>
    <mergeCell ref="M4:M7"/>
    <mergeCell ref="L4:L7"/>
    <mergeCell ref="L9:L11"/>
    <mergeCell ref="M9:M11"/>
    <mergeCell ref="N9:N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B0A5-6AD9-4185-91EC-983DF341B2E2}">
  <sheetPr codeName="Planilha2"/>
  <dimension ref="A1:O35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/>
    </sheetView>
  </sheetViews>
  <sheetFormatPr defaultColWidth="9.140625" defaultRowHeight="12.75" x14ac:dyDescent="0.2"/>
  <cols>
    <col min="1" max="1" width="49.7109375" style="9" customWidth="1"/>
    <col min="2" max="8" width="11.5703125" style="9" customWidth="1"/>
    <col min="9" max="9" width="10" style="9" customWidth="1"/>
    <col min="10" max="10" width="9.5703125" style="9" bestFit="1" customWidth="1"/>
    <col min="11" max="11" width="10.28515625" style="9" bestFit="1" customWidth="1"/>
    <col min="12" max="12" width="10.85546875" style="9" bestFit="1" customWidth="1"/>
    <col min="13" max="13" width="10.28515625" style="9" bestFit="1" customWidth="1"/>
    <col min="14" max="14" width="10.28515625" style="9" customWidth="1"/>
    <col min="15" max="15" width="9.5703125" style="9" bestFit="1" customWidth="1"/>
    <col min="16" max="16384" width="9.140625" style="9"/>
  </cols>
  <sheetData>
    <row r="1" spans="1:15" ht="54.75" customHeight="1" x14ac:dyDescent="0.2">
      <c r="A1" s="8"/>
      <c r="B1" s="275" t="s">
        <v>320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pans="1:15" ht="8.25" customHeight="1" x14ac:dyDescent="0.2"/>
    <row r="3" spans="1:15" s="11" customFormat="1" ht="13.5" thickBot="1" x14ac:dyDescent="0.3">
      <c r="A3" s="5" t="s">
        <v>1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133</v>
      </c>
      <c r="N3" s="7" t="s">
        <v>151</v>
      </c>
      <c r="O3" s="7" t="s">
        <v>152</v>
      </c>
    </row>
    <row r="4" spans="1:15" x14ac:dyDescent="0.2">
      <c r="A4" s="195" t="s">
        <v>10</v>
      </c>
      <c r="B4" s="189">
        <f>SUM(B5:B10)</f>
        <v>1927319</v>
      </c>
      <c r="C4" s="189">
        <f t="shared" ref="C4:O4" si="0">SUM(C5:C10)</f>
        <v>422161</v>
      </c>
      <c r="D4" s="189">
        <f t="shared" si="0"/>
        <v>435104</v>
      </c>
      <c r="E4" s="189">
        <f t="shared" si="0"/>
        <v>476148</v>
      </c>
      <c r="F4" s="189">
        <f t="shared" si="0"/>
        <v>497086</v>
      </c>
      <c r="G4" s="189">
        <f t="shared" si="0"/>
        <v>1830499</v>
      </c>
      <c r="H4" s="189">
        <f t="shared" si="0"/>
        <v>540862</v>
      </c>
      <c r="I4" s="189">
        <f t="shared" si="0"/>
        <v>544905</v>
      </c>
      <c r="J4" s="189">
        <f t="shared" si="0"/>
        <v>536256</v>
      </c>
      <c r="K4" s="189">
        <f t="shared" si="0"/>
        <v>581775</v>
      </c>
      <c r="L4" s="189">
        <f t="shared" si="0"/>
        <v>2203798</v>
      </c>
      <c r="M4" s="189">
        <f t="shared" si="0"/>
        <v>634200</v>
      </c>
      <c r="N4" s="189">
        <f t="shared" ref="N4" si="1">SUM(N5:N10)</f>
        <v>596414</v>
      </c>
      <c r="O4" s="189">
        <f t="shared" si="0"/>
        <v>649413</v>
      </c>
    </row>
    <row r="5" spans="1:15" x14ac:dyDescent="0.2">
      <c r="A5" s="196" t="s">
        <v>134</v>
      </c>
      <c r="B5" s="197">
        <v>1341014</v>
      </c>
      <c r="C5" s="197">
        <v>277098</v>
      </c>
      <c r="D5" s="197">
        <v>293520</v>
      </c>
      <c r="E5" s="197">
        <v>346009</v>
      </c>
      <c r="F5" s="197">
        <v>356779</v>
      </c>
      <c r="G5" s="197">
        <v>1273406</v>
      </c>
      <c r="H5" s="197">
        <v>394841</v>
      </c>
      <c r="I5" s="197">
        <v>418960</v>
      </c>
      <c r="J5" s="197">
        <v>407850</v>
      </c>
      <c r="K5" s="197">
        <v>423695</v>
      </c>
      <c r="L5" s="197">
        <v>1644257</v>
      </c>
      <c r="M5" s="197">
        <v>459377</v>
      </c>
      <c r="N5" s="197">
        <v>401419</v>
      </c>
      <c r="O5" s="197">
        <v>436524</v>
      </c>
    </row>
    <row r="6" spans="1:15" x14ac:dyDescent="0.2">
      <c r="A6" s="198" t="s">
        <v>131</v>
      </c>
      <c r="B6" s="243">
        <v>0</v>
      </c>
      <c r="C6" s="243">
        <v>0</v>
      </c>
      <c r="D6" s="243">
        <v>0</v>
      </c>
      <c r="E6" s="243">
        <v>0</v>
      </c>
      <c r="F6" s="243">
        <v>0</v>
      </c>
      <c r="G6" s="243">
        <v>0</v>
      </c>
      <c r="H6" s="199">
        <v>12252</v>
      </c>
      <c r="I6" s="199">
        <v>27269</v>
      </c>
      <c r="J6" s="199">
        <v>28191</v>
      </c>
      <c r="K6" s="199">
        <v>43351</v>
      </c>
      <c r="L6" s="199">
        <v>112152</v>
      </c>
      <c r="M6" s="199">
        <v>58304</v>
      </c>
      <c r="N6" s="199">
        <v>80300</v>
      </c>
      <c r="O6" s="199">
        <v>86486</v>
      </c>
    </row>
    <row r="7" spans="1:15" x14ac:dyDescent="0.2">
      <c r="A7" s="196" t="s">
        <v>135</v>
      </c>
      <c r="B7" s="197">
        <v>463076</v>
      </c>
      <c r="C7" s="197">
        <v>120885</v>
      </c>
      <c r="D7" s="197">
        <v>115453</v>
      </c>
      <c r="E7" s="197">
        <v>119047</v>
      </c>
      <c r="F7" s="197">
        <v>126203</v>
      </c>
      <c r="G7" s="197">
        <v>481588</v>
      </c>
      <c r="H7" s="197">
        <v>126777</v>
      </c>
      <c r="I7" s="197">
        <v>120562</v>
      </c>
      <c r="J7" s="197">
        <v>121596</v>
      </c>
      <c r="K7" s="197">
        <v>129510</v>
      </c>
      <c r="L7" s="197">
        <v>498445</v>
      </c>
      <c r="M7" s="197">
        <v>130377</v>
      </c>
      <c r="N7" s="197">
        <v>124448</v>
      </c>
      <c r="O7" s="197">
        <v>127471</v>
      </c>
    </row>
    <row r="8" spans="1:15" x14ac:dyDescent="0.2">
      <c r="A8" s="198" t="s">
        <v>136</v>
      </c>
      <c r="B8" s="199">
        <v>120648</v>
      </c>
      <c r="C8" s="199">
        <v>23547</v>
      </c>
      <c r="D8" s="199">
        <v>25483</v>
      </c>
      <c r="E8" s="199">
        <v>10438</v>
      </c>
      <c r="F8" s="199">
        <v>12767</v>
      </c>
      <c r="G8" s="199">
        <v>72235</v>
      </c>
      <c r="H8" s="199">
        <v>15882</v>
      </c>
      <c r="I8" s="199">
        <v>6129</v>
      </c>
      <c r="J8" s="199">
        <v>16134</v>
      </c>
      <c r="K8" s="199">
        <v>17151</v>
      </c>
      <c r="L8" s="199">
        <v>55296</v>
      </c>
      <c r="M8" s="199">
        <v>11828</v>
      </c>
      <c r="N8" s="199">
        <v>9372</v>
      </c>
      <c r="O8" s="199">
        <v>28172</v>
      </c>
    </row>
    <row r="9" spans="1:15" x14ac:dyDescent="0.2">
      <c r="A9" s="196" t="s">
        <v>11</v>
      </c>
      <c r="B9" s="244">
        <v>0</v>
      </c>
      <c r="C9" s="244">
        <v>0</v>
      </c>
      <c r="D9" s="244">
        <v>0</v>
      </c>
      <c r="E9" s="244">
        <v>0</v>
      </c>
      <c r="F9" s="244">
        <v>0</v>
      </c>
      <c r="G9" s="244">
        <v>0</v>
      </c>
      <c r="H9" s="184">
        <v>-9637</v>
      </c>
      <c r="I9" s="184">
        <v>-28611</v>
      </c>
      <c r="J9" s="184">
        <v>-41310</v>
      </c>
      <c r="K9" s="184">
        <v>-36737</v>
      </c>
      <c r="L9" s="184">
        <v>-116295</v>
      </c>
      <c r="M9" s="184">
        <v>-26391</v>
      </c>
      <c r="N9" s="184">
        <v>-19830</v>
      </c>
      <c r="O9" s="184">
        <v>-30206</v>
      </c>
    </row>
    <row r="10" spans="1:15" x14ac:dyDescent="0.2">
      <c r="A10" s="198" t="s">
        <v>12</v>
      </c>
      <c r="B10" s="199">
        <v>2581</v>
      </c>
      <c r="C10" s="199">
        <v>631</v>
      </c>
      <c r="D10" s="199">
        <v>648</v>
      </c>
      <c r="E10" s="199">
        <v>654</v>
      </c>
      <c r="F10" s="199">
        <v>1337</v>
      </c>
      <c r="G10" s="199">
        <v>3270</v>
      </c>
      <c r="H10" s="199">
        <v>747</v>
      </c>
      <c r="I10" s="199">
        <v>596</v>
      </c>
      <c r="J10" s="199">
        <v>3795</v>
      </c>
      <c r="K10" s="199">
        <v>4805</v>
      </c>
      <c r="L10" s="199">
        <f>7190+2753</f>
        <v>9943</v>
      </c>
      <c r="M10" s="199">
        <v>705</v>
      </c>
      <c r="N10" s="199">
        <v>705</v>
      </c>
      <c r="O10" s="199">
        <v>966</v>
      </c>
    </row>
    <row r="11" spans="1:15" s="11" customFormat="1" x14ac:dyDescent="0.25">
      <c r="A11" s="200" t="s">
        <v>13</v>
      </c>
      <c r="B11" s="201">
        <f>SUM(B12:B18)</f>
        <v>-293209</v>
      </c>
      <c r="C11" s="201">
        <f t="shared" ref="C11:O11" si="2">SUM(C12:C18)</f>
        <v>-66543</v>
      </c>
      <c r="D11" s="201">
        <f t="shared" si="2"/>
        <v>-66727</v>
      </c>
      <c r="E11" s="201">
        <f t="shared" si="2"/>
        <v>-61682</v>
      </c>
      <c r="F11" s="201">
        <f t="shared" si="2"/>
        <v>-64251</v>
      </c>
      <c r="G11" s="201">
        <f t="shared" si="2"/>
        <v>-259203</v>
      </c>
      <c r="H11" s="201">
        <f t="shared" si="2"/>
        <v>-80322</v>
      </c>
      <c r="I11" s="201">
        <f t="shared" si="2"/>
        <v>-59373</v>
      </c>
      <c r="J11" s="201">
        <f t="shared" si="2"/>
        <v>-65729</v>
      </c>
      <c r="K11" s="201">
        <f t="shared" si="2"/>
        <v>-81126</v>
      </c>
      <c r="L11" s="201">
        <f t="shared" si="2"/>
        <v>-286550</v>
      </c>
      <c r="M11" s="201">
        <f t="shared" si="2"/>
        <v>-77315</v>
      </c>
      <c r="N11" s="201">
        <f t="shared" ref="N11" si="3">SUM(N12:N18)</f>
        <v>-71251</v>
      </c>
      <c r="O11" s="201">
        <f t="shared" si="2"/>
        <v>-77350</v>
      </c>
    </row>
    <row r="12" spans="1:15" s="11" customFormat="1" x14ac:dyDescent="0.25">
      <c r="A12" s="202" t="s">
        <v>14</v>
      </c>
      <c r="B12" s="182">
        <v>-54714</v>
      </c>
      <c r="C12" s="182">
        <v>-12308</v>
      </c>
      <c r="D12" s="182">
        <v>-12309</v>
      </c>
      <c r="E12" s="182">
        <v>-843</v>
      </c>
      <c r="F12" s="182">
        <v>-844</v>
      </c>
      <c r="G12" s="182">
        <v>-26304</v>
      </c>
      <c r="H12" s="182">
        <v>-843</v>
      </c>
      <c r="I12" s="182">
        <v>-844</v>
      </c>
      <c r="J12" s="182">
        <v>-223</v>
      </c>
      <c r="K12" s="182">
        <v>-669</v>
      </c>
      <c r="L12" s="182">
        <v>-2579</v>
      </c>
      <c r="M12" s="182">
        <v>-446</v>
      </c>
      <c r="N12" s="182">
        <v>-446</v>
      </c>
      <c r="O12" s="182">
        <v>-441</v>
      </c>
    </row>
    <row r="13" spans="1:15" s="11" customFormat="1" x14ac:dyDescent="0.25">
      <c r="A13" s="196" t="s">
        <v>15</v>
      </c>
      <c r="B13" s="184">
        <v>-16319</v>
      </c>
      <c r="C13" s="184">
        <v>-3551</v>
      </c>
      <c r="D13" s="184">
        <v>-3678</v>
      </c>
      <c r="E13" s="184">
        <v>-4164</v>
      </c>
      <c r="F13" s="184">
        <v>-4238</v>
      </c>
      <c r="G13" s="184">
        <v>-15631</v>
      </c>
      <c r="H13" s="184">
        <v>-3933</v>
      </c>
      <c r="I13" s="184">
        <v>-4011</v>
      </c>
      <c r="J13" s="184">
        <v>-2349</v>
      </c>
      <c r="K13" s="184">
        <v>-4805</v>
      </c>
      <c r="L13" s="184">
        <v>-15098</v>
      </c>
      <c r="M13" s="184">
        <v>-4184</v>
      </c>
      <c r="N13" s="184">
        <v>-3522</v>
      </c>
      <c r="O13" s="184">
        <v>-3857</v>
      </c>
    </row>
    <row r="14" spans="1:15" s="11" customFormat="1" x14ac:dyDescent="0.25">
      <c r="A14" s="202" t="s">
        <v>16</v>
      </c>
      <c r="B14" s="182">
        <v>-132</v>
      </c>
      <c r="C14" s="182">
        <v>-34</v>
      </c>
      <c r="D14" s="182">
        <v>-35</v>
      </c>
      <c r="E14" s="182">
        <v>-32</v>
      </c>
      <c r="F14" s="182">
        <v>-19</v>
      </c>
      <c r="G14" s="182">
        <v>-120</v>
      </c>
      <c r="H14" s="182">
        <v>-23</v>
      </c>
      <c r="I14" s="182">
        <v>-21</v>
      </c>
      <c r="J14" s="182">
        <v>-21</v>
      </c>
      <c r="K14" s="182">
        <v>-19</v>
      </c>
      <c r="L14" s="182">
        <v>-84</v>
      </c>
      <c r="M14" s="182">
        <v>-21</v>
      </c>
      <c r="N14" s="182">
        <v>-35</v>
      </c>
      <c r="O14" s="182">
        <v>-49</v>
      </c>
    </row>
    <row r="15" spans="1:15" s="11" customFormat="1" x14ac:dyDescent="0.25">
      <c r="A15" s="196" t="s">
        <v>17</v>
      </c>
      <c r="B15" s="184">
        <v>-140460</v>
      </c>
      <c r="C15" s="184">
        <v>-30612</v>
      </c>
      <c r="D15" s="184">
        <v>-31791</v>
      </c>
      <c r="E15" s="184">
        <v>-35583</v>
      </c>
      <c r="F15" s="184">
        <v>-37046</v>
      </c>
      <c r="G15" s="184">
        <v>-135032</v>
      </c>
      <c r="H15" s="184">
        <v>-49986</v>
      </c>
      <c r="I15" s="184">
        <v>-34115</v>
      </c>
      <c r="J15" s="184">
        <v>-43495</v>
      </c>
      <c r="K15" s="184">
        <v>-46974</v>
      </c>
      <c r="L15" s="184">
        <v>-174570</v>
      </c>
      <c r="M15" s="184">
        <v>-50206</v>
      </c>
      <c r="N15" s="184">
        <v>-46834</v>
      </c>
      <c r="O15" s="184">
        <v>-51651</v>
      </c>
    </row>
    <row r="16" spans="1:15" s="11" customFormat="1" x14ac:dyDescent="0.25">
      <c r="A16" s="202" t="s">
        <v>18</v>
      </c>
      <c r="B16" s="182">
        <v>-30493</v>
      </c>
      <c r="C16" s="182">
        <v>-6646</v>
      </c>
      <c r="D16" s="182">
        <v>-6901</v>
      </c>
      <c r="E16" s="182">
        <v>-7726</v>
      </c>
      <c r="F16" s="182">
        <v>-8043</v>
      </c>
      <c r="G16" s="182">
        <v>-29316</v>
      </c>
      <c r="H16" s="182">
        <v>-10852</v>
      </c>
      <c r="I16" s="182">
        <v>-7407</v>
      </c>
      <c r="J16" s="182">
        <v>-9443</v>
      </c>
      <c r="K16" s="182">
        <v>-10198</v>
      </c>
      <c r="L16" s="182">
        <v>-37900</v>
      </c>
      <c r="M16" s="182">
        <v>-10900</v>
      </c>
      <c r="N16" s="182">
        <v>-10168</v>
      </c>
      <c r="O16" s="182">
        <v>-11214</v>
      </c>
    </row>
    <row r="17" spans="1:15" s="11" customFormat="1" x14ac:dyDescent="0.25">
      <c r="A17" s="196" t="s">
        <v>19</v>
      </c>
      <c r="B17" s="184">
        <v>-48063</v>
      </c>
      <c r="C17" s="184">
        <v>-12608</v>
      </c>
      <c r="D17" s="184">
        <v>-11229</v>
      </c>
      <c r="E17" s="184">
        <v>-12119</v>
      </c>
      <c r="F17" s="184">
        <v>-12845</v>
      </c>
      <c r="G17" s="184">
        <v>-48801</v>
      </c>
      <c r="H17" s="184">
        <v>-13456</v>
      </c>
      <c r="I17" s="184">
        <v>-11765</v>
      </c>
      <c r="J17" s="184">
        <v>-9294</v>
      </c>
      <c r="K17" s="184">
        <v>-16874</v>
      </c>
      <c r="L17" s="184">
        <v>-51389</v>
      </c>
      <c r="M17" s="184">
        <v>-10228</v>
      </c>
      <c r="N17" s="184">
        <v>-8916</v>
      </c>
      <c r="O17" s="184">
        <v>-8805</v>
      </c>
    </row>
    <row r="18" spans="1:15" s="31" customFormat="1" x14ac:dyDescent="0.25">
      <c r="A18" s="202" t="s">
        <v>20</v>
      </c>
      <c r="B18" s="182">
        <v>-3028</v>
      </c>
      <c r="C18" s="182">
        <v>-784</v>
      </c>
      <c r="D18" s="182">
        <v>-784</v>
      </c>
      <c r="E18" s="182">
        <v>-1215</v>
      </c>
      <c r="F18" s="182">
        <v>-1216</v>
      </c>
      <c r="G18" s="182">
        <v>-3999</v>
      </c>
      <c r="H18" s="182">
        <v>-1229</v>
      </c>
      <c r="I18" s="182">
        <v>-1210</v>
      </c>
      <c r="J18" s="182">
        <v>-904</v>
      </c>
      <c r="K18" s="182">
        <v>-1587</v>
      </c>
      <c r="L18" s="182">
        <v>-4930</v>
      </c>
      <c r="M18" s="182">
        <v>-1330</v>
      </c>
      <c r="N18" s="182">
        <v>-1330</v>
      </c>
      <c r="O18" s="182">
        <v>-1333</v>
      </c>
    </row>
    <row r="19" spans="1:15" s="11" customFormat="1" x14ac:dyDescent="0.25">
      <c r="A19" s="200" t="s">
        <v>21</v>
      </c>
      <c r="B19" s="201">
        <f>B4+B11</f>
        <v>1634110</v>
      </c>
      <c r="C19" s="201">
        <f t="shared" ref="C19:O19" si="4">C4+C11</f>
        <v>355618</v>
      </c>
      <c r="D19" s="201">
        <f t="shared" si="4"/>
        <v>368377</v>
      </c>
      <c r="E19" s="201">
        <f t="shared" si="4"/>
        <v>414466</v>
      </c>
      <c r="F19" s="201">
        <f t="shared" si="4"/>
        <v>432835</v>
      </c>
      <c r="G19" s="201">
        <f t="shared" si="4"/>
        <v>1571296</v>
      </c>
      <c r="H19" s="201">
        <f t="shared" si="4"/>
        <v>460540</v>
      </c>
      <c r="I19" s="201">
        <f t="shared" si="4"/>
        <v>485532</v>
      </c>
      <c r="J19" s="201">
        <f t="shared" si="4"/>
        <v>470527</v>
      </c>
      <c r="K19" s="201">
        <f t="shared" si="4"/>
        <v>500649</v>
      </c>
      <c r="L19" s="201">
        <f t="shared" si="4"/>
        <v>1917248</v>
      </c>
      <c r="M19" s="201">
        <f t="shared" si="4"/>
        <v>556885</v>
      </c>
      <c r="N19" s="201">
        <f t="shared" ref="N19" si="5">N4+N11</f>
        <v>525163</v>
      </c>
      <c r="O19" s="201">
        <f t="shared" si="4"/>
        <v>572063</v>
      </c>
    </row>
    <row r="20" spans="1:15" s="31" customFormat="1" x14ac:dyDescent="0.25">
      <c r="A20" s="181" t="s">
        <v>22</v>
      </c>
      <c r="B20" s="182">
        <v>-1232279</v>
      </c>
      <c r="C20" s="182">
        <v>-349882</v>
      </c>
      <c r="D20" s="182">
        <v>-211747</v>
      </c>
      <c r="E20" s="182">
        <v>-258322</v>
      </c>
      <c r="F20" s="182">
        <v>-272064</v>
      </c>
      <c r="G20" s="182">
        <v>-1092015</v>
      </c>
      <c r="H20" s="182">
        <v>-226335</v>
      </c>
      <c r="I20" s="182">
        <v>-281056</v>
      </c>
      <c r="J20" s="182">
        <v>-312967</v>
      </c>
      <c r="K20" s="182">
        <v>-369284</v>
      </c>
      <c r="L20" s="182">
        <v>-1189642</v>
      </c>
      <c r="M20" s="182">
        <v>-365112</v>
      </c>
      <c r="N20" s="182">
        <v>-343278</v>
      </c>
      <c r="O20" s="182">
        <v>250031</v>
      </c>
    </row>
    <row r="21" spans="1:15" s="11" customFormat="1" x14ac:dyDescent="0.25">
      <c r="A21" s="200" t="s">
        <v>23</v>
      </c>
      <c r="B21" s="201">
        <f>B19+B20</f>
        <v>401831</v>
      </c>
      <c r="C21" s="201">
        <f t="shared" ref="C21:O21" si="6">C19+C20</f>
        <v>5736</v>
      </c>
      <c r="D21" s="201">
        <f t="shared" si="6"/>
        <v>156630</v>
      </c>
      <c r="E21" s="201">
        <f t="shared" si="6"/>
        <v>156144</v>
      </c>
      <c r="F21" s="201">
        <f t="shared" si="6"/>
        <v>160771</v>
      </c>
      <c r="G21" s="201">
        <f t="shared" si="6"/>
        <v>479281</v>
      </c>
      <c r="H21" s="201">
        <f t="shared" si="6"/>
        <v>234205</v>
      </c>
      <c r="I21" s="201">
        <f t="shared" si="6"/>
        <v>204476</v>
      </c>
      <c r="J21" s="201">
        <f t="shared" si="6"/>
        <v>157560</v>
      </c>
      <c r="K21" s="201">
        <f t="shared" si="6"/>
        <v>131365</v>
      </c>
      <c r="L21" s="201">
        <f t="shared" si="6"/>
        <v>727606</v>
      </c>
      <c r="M21" s="201">
        <f t="shared" si="6"/>
        <v>191773</v>
      </c>
      <c r="N21" s="201">
        <f t="shared" ref="N21" si="7">N19+N20</f>
        <v>181885</v>
      </c>
      <c r="O21" s="201">
        <f t="shared" si="6"/>
        <v>822094</v>
      </c>
    </row>
    <row r="22" spans="1:15" s="31" customFormat="1" x14ac:dyDescent="0.25">
      <c r="A22" s="181" t="s">
        <v>24</v>
      </c>
      <c r="B22" s="182">
        <v>257322</v>
      </c>
      <c r="C22" s="182">
        <v>-108846</v>
      </c>
      <c r="D22" s="182">
        <v>-56506</v>
      </c>
      <c r="E22" s="182">
        <v>-29028</v>
      </c>
      <c r="F22" s="182">
        <v>198461</v>
      </c>
      <c r="G22" s="182">
        <v>4081</v>
      </c>
      <c r="H22" s="182">
        <v>-25408</v>
      </c>
      <c r="I22" s="182">
        <v>93448</v>
      </c>
      <c r="J22" s="182">
        <v>-24056</v>
      </c>
      <c r="K22" s="182">
        <v>41136</v>
      </c>
      <c r="L22" s="182">
        <v>85120</v>
      </c>
      <c r="M22" s="182">
        <v>155855</v>
      </c>
      <c r="N22" s="182">
        <v>-49602</v>
      </c>
      <c r="O22" s="182">
        <v>-71700</v>
      </c>
    </row>
    <row r="23" spans="1:15" s="11" customFormat="1" x14ac:dyDescent="0.25">
      <c r="A23" s="200" t="s">
        <v>25</v>
      </c>
      <c r="B23" s="201">
        <f>B22+B21</f>
        <v>659153</v>
      </c>
      <c r="C23" s="201">
        <f t="shared" ref="C23:O23" si="8">C22+C21</f>
        <v>-103110</v>
      </c>
      <c r="D23" s="201">
        <f t="shared" si="8"/>
        <v>100124</v>
      </c>
      <c r="E23" s="201">
        <f t="shared" si="8"/>
        <v>127116</v>
      </c>
      <c r="F23" s="201">
        <f t="shared" si="8"/>
        <v>359232</v>
      </c>
      <c r="G23" s="201">
        <f t="shared" si="8"/>
        <v>483362</v>
      </c>
      <c r="H23" s="201">
        <f t="shared" si="8"/>
        <v>208797</v>
      </c>
      <c r="I23" s="201">
        <f t="shared" si="8"/>
        <v>297924</v>
      </c>
      <c r="J23" s="201">
        <f t="shared" si="8"/>
        <v>133504</v>
      </c>
      <c r="K23" s="201">
        <f t="shared" si="8"/>
        <v>172501</v>
      </c>
      <c r="L23" s="201">
        <f t="shared" si="8"/>
        <v>812726</v>
      </c>
      <c r="M23" s="201">
        <f t="shared" si="8"/>
        <v>347628</v>
      </c>
      <c r="N23" s="201">
        <f t="shared" ref="N23" si="9">N22+N21</f>
        <v>132283</v>
      </c>
      <c r="O23" s="201">
        <f t="shared" si="8"/>
        <v>750394</v>
      </c>
    </row>
    <row r="24" spans="1:15" s="11" customFormat="1" x14ac:dyDescent="0.25">
      <c r="A24" s="181" t="s">
        <v>26</v>
      </c>
      <c r="B24" s="182">
        <v>75704</v>
      </c>
      <c r="C24" s="182">
        <v>33102</v>
      </c>
      <c r="D24" s="182">
        <v>20986</v>
      </c>
      <c r="E24" s="182">
        <v>9085</v>
      </c>
      <c r="F24" s="182">
        <v>11265</v>
      </c>
      <c r="G24" s="182">
        <v>74438</v>
      </c>
      <c r="H24" s="182">
        <v>10513</v>
      </c>
      <c r="I24" s="182">
        <v>7941</v>
      </c>
      <c r="J24" s="182">
        <v>6550</v>
      </c>
      <c r="K24" s="182">
        <v>4738</v>
      </c>
      <c r="L24" s="182">
        <v>29742</v>
      </c>
      <c r="M24" s="182">
        <v>5725</v>
      </c>
      <c r="N24" s="182">
        <v>5971</v>
      </c>
      <c r="O24" s="182">
        <v>10348</v>
      </c>
    </row>
    <row r="25" spans="1:15" s="11" customFormat="1" x14ac:dyDescent="0.25">
      <c r="A25" s="183" t="s">
        <v>27</v>
      </c>
      <c r="B25" s="184">
        <v>-450571</v>
      </c>
      <c r="C25" s="184">
        <v>-85444</v>
      </c>
      <c r="D25" s="184">
        <v>-123220</v>
      </c>
      <c r="E25" s="184">
        <v>-138940</v>
      </c>
      <c r="F25" s="184">
        <v>-70901</v>
      </c>
      <c r="G25" s="184">
        <v>-418505</v>
      </c>
      <c r="H25" s="184">
        <v>-119723</v>
      </c>
      <c r="I25" s="184">
        <v>-102267</v>
      </c>
      <c r="J25" s="184">
        <v>-188223</v>
      </c>
      <c r="K25" s="184">
        <v>-175457</v>
      </c>
      <c r="L25" s="184">
        <v>-585670</v>
      </c>
      <c r="M25" s="184">
        <v>-173588</v>
      </c>
      <c r="N25" s="184">
        <v>-163547</v>
      </c>
      <c r="O25" s="184">
        <v>-132782</v>
      </c>
    </row>
    <row r="26" spans="1:15" s="11" customFormat="1" x14ac:dyDescent="0.25">
      <c r="A26" s="181" t="s">
        <v>28</v>
      </c>
      <c r="B26" s="182"/>
      <c r="C26" s="182">
        <v>680</v>
      </c>
      <c r="D26" s="182">
        <v>2260</v>
      </c>
      <c r="E26" s="182">
        <v>-6068</v>
      </c>
      <c r="F26" s="182">
        <v>319</v>
      </c>
      <c r="G26" s="182">
        <f>SUM(C26:F26)</f>
        <v>-2809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 t="s">
        <v>137</v>
      </c>
      <c r="N26" s="182">
        <v>0</v>
      </c>
      <c r="O26" s="182">
        <v>0</v>
      </c>
    </row>
    <row r="27" spans="1:15" s="31" customFormat="1" x14ac:dyDescent="0.25">
      <c r="A27" s="200" t="s">
        <v>29</v>
      </c>
      <c r="B27" s="201">
        <f>SUM(B24:B26)</f>
        <v>-374867</v>
      </c>
      <c r="C27" s="201">
        <f t="shared" ref="C27:O27" si="10">SUM(C24:C26)</f>
        <v>-51662</v>
      </c>
      <c r="D27" s="201">
        <f t="shared" si="10"/>
        <v>-99974</v>
      </c>
      <c r="E27" s="201">
        <f t="shared" si="10"/>
        <v>-135923</v>
      </c>
      <c r="F27" s="201">
        <f t="shared" si="10"/>
        <v>-59317</v>
      </c>
      <c r="G27" s="201">
        <f t="shared" si="10"/>
        <v>-346876</v>
      </c>
      <c r="H27" s="201">
        <f t="shared" si="10"/>
        <v>-109210</v>
      </c>
      <c r="I27" s="201">
        <f t="shared" si="10"/>
        <v>-94326</v>
      </c>
      <c r="J27" s="201">
        <f t="shared" si="10"/>
        <v>-181673</v>
      </c>
      <c r="K27" s="201">
        <f t="shared" si="10"/>
        <v>-170719</v>
      </c>
      <c r="L27" s="201">
        <f t="shared" si="10"/>
        <v>-555928</v>
      </c>
      <c r="M27" s="201">
        <f t="shared" si="10"/>
        <v>-167863</v>
      </c>
      <c r="N27" s="201">
        <f t="shared" ref="N27" si="11">SUM(N24:N26)</f>
        <v>-157576</v>
      </c>
      <c r="O27" s="201">
        <f t="shared" si="10"/>
        <v>-122434</v>
      </c>
    </row>
    <row r="28" spans="1:15" s="11" customFormat="1" x14ac:dyDescent="0.25">
      <c r="A28" s="195" t="s">
        <v>30</v>
      </c>
      <c r="B28" s="191">
        <f>B27+B23</f>
        <v>284286</v>
      </c>
      <c r="C28" s="191">
        <f t="shared" ref="C28:O28" si="12">C27+C23</f>
        <v>-154772</v>
      </c>
      <c r="D28" s="191">
        <f t="shared" si="12"/>
        <v>150</v>
      </c>
      <c r="E28" s="191">
        <f t="shared" si="12"/>
        <v>-8807</v>
      </c>
      <c r="F28" s="191">
        <f t="shared" si="12"/>
        <v>299915</v>
      </c>
      <c r="G28" s="191">
        <f t="shared" si="12"/>
        <v>136486</v>
      </c>
      <c r="H28" s="191">
        <f t="shared" si="12"/>
        <v>99587</v>
      </c>
      <c r="I28" s="191">
        <f t="shared" si="12"/>
        <v>203598</v>
      </c>
      <c r="J28" s="191">
        <f t="shared" si="12"/>
        <v>-48169</v>
      </c>
      <c r="K28" s="191">
        <f t="shared" si="12"/>
        <v>1782</v>
      </c>
      <c r="L28" s="191">
        <f t="shared" si="12"/>
        <v>256798</v>
      </c>
      <c r="M28" s="191">
        <f t="shared" si="12"/>
        <v>179765</v>
      </c>
      <c r="N28" s="191">
        <f t="shared" ref="N28" si="13">N27+N23</f>
        <v>-25293</v>
      </c>
      <c r="O28" s="191">
        <f t="shared" si="12"/>
        <v>627960</v>
      </c>
    </row>
    <row r="29" spans="1:15" s="11" customFormat="1" x14ac:dyDescent="0.25">
      <c r="A29" s="183" t="s">
        <v>31</v>
      </c>
      <c r="B29" s="184">
        <v>10147</v>
      </c>
      <c r="C29" s="184">
        <v>-3471</v>
      </c>
      <c r="D29" s="184">
        <v>-4152</v>
      </c>
      <c r="E29" s="184">
        <v>951</v>
      </c>
      <c r="F29" s="184">
        <v>1033200</v>
      </c>
      <c r="G29" s="184">
        <f>1026560-32</f>
        <v>1026528</v>
      </c>
      <c r="H29" s="184">
        <v>-45774</v>
      </c>
      <c r="I29" s="184">
        <v>-65800</v>
      </c>
      <c r="J29" s="184">
        <v>-10356</v>
      </c>
      <c r="K29" s="184">
        <v>1593894</v>
      </c>
      <c r="L29" s="184">
        <v>1471964</v>
      </c>
      <c r="M29" s="184">
        <v>-63967</v>
      </c>
      <c r="N29" s="184">
        <v>7164</v>
      </c>
      <c r="O29" s="184">
        <v>-232637</v>
      </c>
    </row>
    <row r="30" spans="1:15" s="11" customFormat="1" x14ac:dyDescent="0.25">
      <c r="A30" s="195" t="s">
        <v>32</v>
      </c>
      <c r="B30" s="191">
        <f>B28+B29</f>
        <v>294433</v>
      </c>
      <c r="C30" s="191">
        <f t="shared" ref="C30:O30" si="14">C28+C29</f>
        <v>-158243</v>
      </c>
      <c r="D30" s="191">
        <f t="shared" si="14"/>
        <v>-4002</v>
      </c>
      <c r="E30" s="191">
        <f t="shared" si="14"/>
        <v>-7856</v>
      </c>
      <c r="F30" s="191">
        <f t="shared" si="14"/>
        <v>1333115</v>
      </c>
      <c r="G30" s="191">
        <f t="shared" si="14"/>
        <v>1163014</v>
      </c>
      <c r="H30" s="191">
        <f t="shared" si="14"/>
        <v>53813</v>
      </c>
      <c r="I30" s="191">
        <f t="shared" si="14"/>
        <v>137798</v>
      </c>
      <c r="J30" s="191">
        <f t="shared" si="14"/>
        <v>-58525</v>
      </c>
      <c r="K30" s="191">
        <f t="shared" si="14"/>
        <v>1595676</v>
      </c>
      <c r="L30" s="191">
        <f t="shared" si="14"/>
        <v>1728762</v>
      </c>
      <c r="M30" s="191">
        <f t="shared" si="14"/>
        <v>115798</v>
      </c>
      <c r="N30" s="191">
        <f t="shared" ref="N30" si="15">N28+N29</f>
        <v>-18129</v>
      </c>
      <c r="O30" s="191">
        <f t="shared" si="14"/>
        <v>395323</v>
      </c>
    </row>
    <row r="31" spans="1:15" s="31" customFormat="1" x14ac:dyDescent="0.25">
      <c r="A31" s="200"/>
      <c r="B31" s="201"/>
      <c r="C31" s="201"/>
      <c r="D31" s="201"/>
      <c r="E31" s="201"/>
      <c r="F31" s="201"/>
      <c r="G31" s="201"/>
      <c r="H31" s="201"/>
      <c r="I31" s="203"/>
      <c r="J31" s="201"/>
      <c r="K31" s="201"/>
      <c r="L31" s="201"/>
      <c r="M31" s="201"/>
      <c r="N31" s="201"/>
      <c r="O31" s="203"/>
    </row>
    <row r="32" spans="1:15" x14ac:dyDescent="0.2">
      <c r="A32" s="18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2.75" customHeight="1" x14ac:dyDescent="0.2">
      <c r="A33" s="277" t="s">
        <v>147</v>
      </c>
      <c r="B33" s="277"/>
      <c r="C33" s="277"/>
      <c r="D33" s="277"/>
      <c r="E33" s="277"/>
      <c r="F33" s="205"/>
      <c r="G33" s="205"/>
      <c r="H33" s="205"/>
      <c r="I33" s="205"/>
      <c r="J33" s="205"/>
      <c r="K33" s="205"/>
      <c r="L33" s="205"/>
      <c r="M33" s="205"/>
      <c r="N33" s="205"/>
      <c r="O33" s="205"/>
    </row>
    <row r="34" spans="1:15" x14ac:dyDescent="0.2">
      <c r="A34" s="277"/>
      <c r="B34" s="277"/>
      <c r="C34" s="277"/>
      <c r="D34" s="277"/>
      <c r="E34" s="277"/>
      <c r="F34" s="205"/>
      <c r="G34" s="205"/>
      <c r="H34" s="205"/>
      <c r="I34" s="205"/>
      <c r="J34" s="205"/>
      <c r="K34" s="205"/>
      <c r="L34" s="205"/>
      <c r="M34" s="205"/>
      <c r="N34" s="205"/>
      <c r="O34" s="205"/>
    </row>
    <row r="35" spans="1:15" x14ac:dyDescent="0.2">
      <c r="A35" s="277"/>
      <c r="B35" s="277"/>
      <c r="C35" s="277"/>
      <c r="D35" s="277"/>
      <c r="E35" s="277"/>
      <c r="F35" s="205"/>
      <c r="G35" s="205"/>
      <c r="H35" s="205"/>
      <c r="I35" s="205"/>
      <c r="J35" s="205"/>
      <c r="K35" s="205"/>
      <c r="L35" s="205"/>
      <c r="M35" s="205"/>
      <c r="N35" s="205"/>
      <c r="O35" s="205"/>
    </row>
  </sheetData>
  <mergeCells count="2">
    <mergeCell ref="B1:O1"/>
    <mergeCell ref="A33:E3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D94DF-77BB-4F57-888E-39B1F55FE4BB}">
  <sheetPr codeName="Planilha3"/>
  <dimension ref="A1:AA34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Q5" sqref="Q5"/>
    </sheetView>
  </sheetViews>
  <sheetFormatPr defaultColWidth="9.140625" defaultRowHeight="12.75" x14ac:dyDescent="0.2"/>
  <cols>
    <col min="1" max="1" width="56.42578125" style="9" bestFit="1" customWidth="1"/>
    <col min="2" max="3" width="10.140625" style="9" customWidth="1"/>
    <col min="4" max="4" width="11" style="9" bestFit="1" customWidth="1"/>
    <col min="5" max="5" width="10.140625" style="9" customWidth="1"/>
    <col min="6" max="6" width="11.5703125" style="9" customWidth="1"/>
    <col min="7" max="7" width="11" style="9" bestFit="1" customWidth="1"/>
    <col min="8" max="14" width="11.5703125" style="9" customWidth="1"/>
    <col min="15" max="15" width="11.140625" style="9" customWidth="1"/>
    <col min="16" max="16384" width="9.140625" style="9"/>
  </cols>
  <sheetData>
    <row r="1" spans="1:27" ht="54.75" customHeight="1" x14ac:dyDescent="0.2">
      <c r="A1" s="8"/>
      <c r="B1" s="278" t="s">
        <v>174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ht="8.25" customHeight="1" x14ac:dyDescent="0.2"/>
    <row r="3" spans="1:27" s="34" customFormat="1" ht="13.5" thickBot="1" x14ac:dyDescent="0.3">
      <c r="A3" s="57" t="s">
        <v>33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133</v>
      </c>
      <c r="N3" s="7" t="s">
        <v>151</v>
      </c>
      <c r="O3" s="7" t="s">
        <v>152</v>
      </c>
    </row>
    <row r="4" spans="1:27" s="38" customFormat="1" x14ac:dyDescent="0.2">
      <c r="A4" s="181" t="s">
        <v>34</v>
      </c>
      <c r="B4" s="182">
        <v>502660</v>
      </c>
      <c r="C4" s="182">
        <v>41597</v>
      </c>
      <c r="D4" s="182">
        <v>218592</v>
      </c>
      <c r="E4" s="182">
        <v>234618</v>
      </c>
      <c r="F4" s="182">
        <v>257032.48237000033</v>
      </c>
      <c r="G4" s="182">
        <f>SUM(C4:F4)</f>
        <v>751839.48237000033</v>
      </c>
      <c r="H4" s="182">
        <v>336171</v>
      </c>
      <c r="I4" s="182">
        <v>287276</v>
      </c>
      <c r="J4" s="182">
        <v>235952.12237000006</v>
      </c>
      <c r="K4" s="182">
        <v>154705.0139299999</v>
      </c>
      <c r="L4" s="182">
        <f>SUM(H4:K4)</f>
        <v>1014104.1362999999</v>
      </c>
      <c r="M4" s="182">
        <v>282392.36990999995</v>
      </c>
      <c r="N4" s="182">
        <v>221717</v>
      </c>
      <c r="O4" s="182">
        <v>143481.04625999994</v>
      </c>
    </row>
    <row r="5" spans="1:27" s="11" customFormat="1" x14ac:dyDescent="0.25">
      <c r="A5" s="183" t="s">
        <v>35</v>
      </c>
      <c r="B5" s="184">
        <v>0</v>
      </c>
      <c r="C5" s="184">
        <v>0</v>
      </c>
      <c r="D5" s="184">
        <v>0</v>
      </c>
      <c r="E5" s="184">
        <v>0</v>
      </c>
      <c r="F5" s="184">
        <v>0</v>
      </c>
      <c r="G5" s="184">
        <v>0</v>
      </c>
      <c r="H5" s="184">
        <v>-10662</v>
      </c>
      <c r="I5" s="184">
        <v>-21246</v>
      </c>
      <c r="J5" s="184">
        <v>-23603</v>
      </c>
      <c r="K5" s="184">
        <v>-17035</v>
      </c>
      <c r="L5" s="184">
        <f>SUM(H5:K5)</f>
        <v>-72546</v>
      </c>
      <c r="M5" s="184">
        <v>-26718.294932999794</v>
      </c>
      <c r="N5" s="184">
        <v>-9438.0000000000036</v>
      </c>
      <c r="O5" s="184">
        <v>-6877</v>
      </c>
    </row>
    <row r="6" spans="1:27" s="11" customFormat="1" x14ac:dyDescent="0.25">
      <c r="A6" s="185" t="s">
        <v>36</v>
      </c>
      <c r="B6" s="182">
        <v>-10547</v>
      </c>
      <c r="C6" s="182">
        <v>-3888</v>
      </c>
      <c r="D6" s="182">
        <v>-27553</v>
      </c>
      <c r="E6" s="182">
        <v>8042</v>
      </c>
      <c r="F6" s="182">
        <v>116013</v>
      </c>
      <c r="G6" s="182">
        <f>SUM(C6:F6)</f>
        <v>92614</v>
      </c>
      <c r="H6" s="182">
        <v>-93547</v>
      </c>
      <c r="I6" s="182">
        <v>50440</v>
      </c>
      <c r="J6" s="182">
        <v>-49938.986070000101</v>
      </c>
      <c r="K6" s="182">
        <v>-26654.013929999899</v>
      </c>
      <c r="L6" s="182">
        <f>SUM(H6:K6)</f>
        <v>-119700</v>
      </c>
      <c r="M6" s="182">
        <v>-50720.227737000154</v>
      </c>
      <c r="N6" s="182">
        <v>69818</v>
      </c>
      <c r="O6" s="182">
        <v>50269.953740000026</v>
      </c>
    </row>
    <row r="7" spans="1:27" s="11" customFormat="1" x14ac:dyDescent="0.25">
      <c r="A7" s="186" t="s">
        <v>37</v>
      </c>
      <c r="B7" s="184">
        <v>-16089</v>
      </c>
      <c r="C7" s="187">
        <v>-583</v>
      </c>
      <c r="D7" s="187">
        <v>-3046</v>
      </c>
      <c r="E7" s="187">
        <v>-915</v>
      </c>
      <c r="F7" s="187">
        <v>-4544</v>
      </c>
      <c r="G7" s="184">
        <f>SUM(C7:F7)</f>
        <v>-9088</v>
      </c>
      <c r="H7" s="184">
        <v>-2344</v>
      </c>
      <c r="I7" s="184">
        <v>-5809</v>
      </c>
      <c r="J7" s="184">
        <v>-1940</v>
      </c>
      <c r="K7" s="184">
        <v>-5535</v>
      </c>
      <c r="L7" s="184">
        <f>SUM(H7:K7)</f>
        <v>-15628</v>
      </c>
      <c r="M7" s="184">
        <v>-1012</v>
      </c>
      <c r="N7" s="184">
        <v>-2419</v>
      </c>
      <c r="O7" s="184">
        <v>-934</v>
      </c>
    </row>
    <row r="8" spans="1:27" s="31" customFormat="1" x14ac:dyDescent="0.25">
      <c r="A8" s="188" t="s">
        <v>38</v>
      </c>
      <c r="B8" s="189">
        <v>476024</v>
      </c>
      <c r="C8" s="189">
        <f t="shared" ref="C8:L8" si="0">SUM(C4:C7)</f>
        <v>37126</v>
      </c>
      <c r="D8" s="189">
        <f t="shared" si="0"/>
        <v>187993</v>
      </c>
      <c r="E8" s="189">
        <f t="shared" si="0"/>
        <v>241745</v>
      </c>
      <c r="F8" s="189">
        <f t="shared" si="0"/>
        <v>368501.48237000033</v>
      </c>
      <c r="G8" s="189">
        <f t="shared" si="0"/>
        <v>835365.48237000033</v>
      </c>
      <c r="H8" s="189">
        <f t="shared" si="0"/>
        <v>229618</v>
      </c>
      <c r="I8" s="189">
        <f t="shared" si="0"/>
        <v>310661</v>
      </c>
      <c r="J8" s="189">
        <f t="shared" si="0"/>
        <v>160470.13629999995</v>
      </c>
      <c r="K8" s="189">
        <f t="shared" si="0"/>
        <v>105481</v>
      </c>
      <c r="L8" s="189">
        <f t="shared" si="0"/>
        <v>806230.1362999999</v>
      </c>
      <c r="M8" s="189">
        <f>SUM(M4:M7)</f>
        <v>203941.84724</v>
      </c>
      <c r="N8" s="189">
        <f>SUM(N4:N7)</f>
        <v>279678</v>
      </c>
      <c r="O8" s="189">
        <f>SUM(O4:O7)</f>
        <v>185939.99999999997</v>
      </c>
    </row>
    <row r="9" spans="1:27" s="11" customFormat="1" x14ac:dyDescent="0.25">
      <c r="A9" s="186" t="s">
        <v>146</v>
      </c>
      <c r="B9" s="184">
        <v>1675</v>
      </c>
      <c r="C9" s="187">
        <v>-2588</v>
      </c>
      <c r="D9" s="187">
        <v>-44870</v>
      </c>
      <c r="E9" s="187">
        <v>-23412</v>
      </c>
      <c r="F9" s="187">
        <v>-69085.011019999976</v>
      </c>
      <c r="G9" s="184">
        <f>SUM(C9:F9)</f>
        <v>-139955.01101999998</v>
      </c>
      <c r="H9" s="184">
        <v>-3</v>
      </c>
      <c r="I9" s="184">
        <v>-47455</v>
      </c>
      <c r="J9" s="184">
        <v>-10137</v>
      </c>
      <c r="K9" s="184">
        <v>-5497</v>
      </c>
      <c r="L9" s="184">
        <f>SUM(H9:K9)</f>
        <v>-63092</v>
      </c>
      <c r="M9" s="184">
        <v>-31934</v>
      </c>
      <c r="N9" s="184">
        <v>-6042</v>
      </c>
      <c r="O9" s="184">
        <v>-34485</v>
      </c>
    </row>
    <row r="10" spans="1:27" s="31" customFormat="1" x14ac:dyDescent="0.25">
      <c r="A10" s="188" t="s">
        <v>39</v>
      </c>
      <c r="B10" s="189">
        <v>477699</v>
      </c>
      <c r="C10" s="189">
        <f t="shared" ref="C10:L10" si="1">C8+C9</f>
        <v>34538</v>
      </c>
      <c r="D10" s="189">
        <f t="shared" si="1"/>
        <v>143123</v>
      </c>
      <c r="E10" s="189">
        <f t="shared" si="1"/>
        <v>218333</v>
      </c>
      <c r="F10" s="189">
        <f t="shared" si="1"/>
        <v>299416.47135000036</v>
      </c>
      <c r="G10" s="189">
        <f t="shared" si="1"/>
        <v>695410.47135000036</v>
      </c>
      <c r="H10" s="189">
        <f t="shared" si="1"/>
        <v>229615</v>
      </c>
      <c r="I10" s="189">
        <f t="shared" si="1"/>
        <v>263206</v>
      </c>
      <c r="J10" s="189">
        <f t="shared" si="1"/>
        <v>150333.13629999995</v>
      </c>
      <c r="K10" s="189">
        <f t="shared" si="1"/>
        <v>99984</v>
      </c>
      <c r="L10" s="189">
        <f t="shared" si="1"/>
        <v>743138.1362999999</v>
      </c>
      <c r="M10" s="189">
        <f>M8+M9</f>
        <v>172007.84724</v>
      </c>
      <c r="N10" s="189">
        <f>N8+N9</f>
        <v>273636</v>
      </c>
      <c r="O10" s="189">
        <f>O8+O9</f>
        <v>151454.99999999997</v>
      </c>
    </row>
    <row r="11" spans="1:27" s="11" customFormat="1" x14ac:dyDescent="0.25">
      <c r="A11" s="186" t="s">
        <v>40</v>
      </c>
      <c r="B11" s="184">
        <v>-144826</v>
      </c>
      <c r="C11" s="187">
        <v>-22819</v>
      </c>
      <c r="D11" s="187">
        <v>-57561</v>
      </c>
      <c r="E11" s="187">
        <v>-96746</v>
      </c>
      <c r="F11" s="187">
        <v>-52105</v>
      </c>
      <c r="G11" s="187">
        <f t="shared" ref="G11:G17" si="2">SUM(C11:F11)</f>
        <v>-229231</v>
      </c>
      <c r="H11" s="187">
        <v>-20780</v>
      </c>
      <c r="I11" s="187">
        <v>-19356</v>
      </c>
      <c r="J11" s="187">
        <v>-12359</v>
      </c>
      <c r="K11" s="187">
        <v>-62736</v>
      </c>
      <c r="L11" s="187">
        <f t="shared" ref="L11:L17" si="3">SUM(H11:K11)</f>
        <v>-115231</v>
      </c>
      <c r="M11" s="184">
        <v>-11933.847240000003</v>
      </c>
      <c r="N11" s="184">
        <v>-16895</v>
      </c>
      <c r="O11" s="184">
        <v>-46713</v>
      </c>
    </row>
    <row r="12" spans="1:27" s="11" customFormat="1" x14ac:dyDescent="0.25">
      <c r="A12" s="185" t="s">
        <v>41</v>
      </c>
      <c r="B12" s="182">
        <v>18644</v>
      </c>
      <c r="C12" s="182"/>
      <c r="D12" s="182">
        <v>0</v>
      </c>
      <c r="E12" s="182">
        <v>0</v>
      </c>
      <c r="F12" s="182"/>
      <c r="G12" s="182">
        <f t="shared" si="2"/>
        <v>0</v>
      </c>
      <c r="H12" s="182">
        <v>0</v>
      </c>
      <c r="I12" s="182">
        <v>0</v>
      </c>
      <c r="J12" s="182">
        <v>0</v>
      </c>
      <c r="K12" s="182">
        <v>0</v>
      </c>
      <c r="L12" s="182">
        <f t="shared" si="3"/>
        <v>0</v>
      </c>
      <c r="M12" s="182">
        <v>0</v>
      </c>
      <c r="N12" s="182">
        <v>0</v>
      </c>
      <c r="O12" s="182">
        <v>0</v>
      </c>
    </row>
    <row r="13" spans="1:27" s="11" customFormat="1" x14ac:dyDescent="0.25">
      <c r="A13" s="186" t="s">
        <v>42</v>
      </c>
      <c r="B13" s="184">
        <v>0</v>
      </c>
      <c r="C13" s="184">
        <v>1777982</v>
      </c>
      <c r="D13" s="187">
        <v>0</v>
      </c>
      <c r="E13" s="187">
        <v>0</v>
      </c>
      <c r="F13" s="187">
        <v>0</v>
      </c>
      <c r="G13" s="187">
        <f t="shared" si="2"/>
        <v>1777982</v>
      </c>
      <c r="H13" s="187">
        <v>0</v>
      </c>
      <c r="I13" s="187">
        <v>0</v>
      </c>
      <c r="J13" s="187">
        <v>1450167</v>
      </c>
      <c r="K13" s="187">
        <v>0</v>
      </c>
      <c r="L13" s="187">
        <f t="shared" si="3"/>
        <v>1450167</v>
      </c>
      <c r="M13" s="184">
        <v>0</v>
      </c>
      <c r="N13" s="184">
        <v>0</v>
      </c>
      <c r="O13" s="184">
        <v>0</v>
      </c>
    </row>
    <row r="14" spans="1:27" s="11" customFormat="1" x14ac:dyDescent="0.25">
      <c r="A14" s="185" t="s">
        <v>43</v>
      </c>
      <c r="B14" s="182">
        <v>-225594</v>
      </c>
      <c r="C14" s="182">
        <v>-40163</v>
      </c>
      <c r="D14" s="182">
        <v>-84413.4</v>
      </c>
      <c r="E14" s="182">
        <v>-46428</v>
      </c>
      <c r="F14" s="182">
        <v>-46732</v>
      </c>
      <c r="G14" s="182">
        <f t="shared" si="2"/>
        <v>-217736.4</v>
      </c>
      <c r="H14" s="182">
        <v>-11</v>
      </c>
      <c r="I14" s="182">
        <v>-11</v>
      </c>
      <c r="J14" s="182">
        <v>-1500011</v>
      </c>
      <c r="K14" s="182">
        <v>0</v>
      </c>
      <c r="L14" s="182">
        <f t="shared" si="3"/>
        <v>-1500033</v>
      </c>
      <c r="M14" s="182">
        <v>0</v>
      </c>
      <c r="N14" s="182">
        <v>0</v>
      </c>
      <c r="O14" s="182">
        <v>0</v>
      </c>
    </row>
    <row r="15" spans="1:27" s="11" customFormat="1" x14ac:dyDescent="0.25">
      <c r="A15" s="186" t="s">
        <v>44</v>
      </c>
      <c r="B15" s="184">
        <v>0</v>
      </c>
      <c r="C15" s="187">
        <v>0</v>
      </c>
      <c r="D15" s="187">
        <v>-1398703</v>
      </c>
      <c r="E15" s="187">
        <v>0</v>
      </c>
      <c r="F15" s="187">
        <v>0</v>
      </c>
      <c r="G15" s="184">
        <f t="shared" si="2"/>
        <v>-1398703</v>
      </c>
      <c r="H15" s="184">
        <v>0</v>
      </c>
      <c r="I15" s="187">
        <v>0</v>
      </c>
      <c r="J15" s="187">
        <v>0</v>
      </c>
      <c r="K15" s="184">
        <v>0</v>
      </c>
      <c r="L15" s="184">
        <f t="shared" si="3"/>
        <v>0</v>
      </c>
      <c r="M15" s="184">
        <v>0</v>
      </c>
      <c r="N15" s="184">
        <v>0</v>
      </c>
      <c r="O15" s="184">
        <v>0</v>
      </c>
    </row>
    <row r="16" spans="1:27" s="11" customFormat="1" x14ac:dyDescent="0.25">
      <c r="A16" s="185" t="s">
        <v>45</v>
      </c>
      <c r="B16" s="182">
        <v>-25573</v>
      </c>
      <c r="C16" s="182">
        <v>0</v>
      </c>
      <c r="D16" s="182">
        <v>-297164</v>
      </c>
      <c r="E16" s="182">
        <v>0</v>
      </c>
      <c r="F16" s="182">
        <v>0</v>
      </c>
      <c r="G16" s="182">
        <f t="shared" si="2"/>
        <v>-297164</v>
      </c>
      <c r="H16" s="182">
        <v>-85</v>
      </c>
      <c r="I16" s="182">
        <v>-409473</v>
      </c>
      <c r="J16" s="182">
        <v>-86</v>
      </c>
      <c r="K16" s="182">
        <v>-196457</v>
      </c>
      <c r="L16" s="182">
        <f t="shared" si="3"/>
        <v>-606101</v>
      </c>
      <c r="M16" s="182">
        <v>0</v>
      </c>
      <c r="N16" s="182">
        <v>-583990</v>
      </c>
      <c r="O16" s="182">
        <v>-250154</v>
      </c>
    </row>
    <row r="17" spans="1:15" s="11" customFormat="1" x14ac:dyDescent="0.25">
      <c r="A17" s="190" t="s">
        <v>138</v>
      </c>
      <c r="B17" s="187" t="s">
        <v>137</v>
      </c>
      <c r="C17" s="187" t="s">
        <v>137</v>
      </c>
      <c r="D17" s="187" t="s">
        <v>137</v>
      </c>
      <c r="E17" s="187" t="s">
        <v>137</v>
      </c>
      <c r="F17" s="187" t="s">
        <v>137</v>
      </c>
      <c r="G17" s="187">
        <f t="shared" si="2"/>
        <v>0</v>
      </c>
      <c r="H17" s="187" t="s">
        <v>137</v>
      </c>
      <c r="I17" s="187" t="s">
        <v>137</v>
      </c>
      <c r="J17" s="187" t="s">
        <v>137</v>
      </c>
      <c r="K17" s="187" t="s">
        <v>137</v>
      </c>
      <c r="L17" s="187">
        <f t="shared" si="3"/>
        <v>0</v>
      </c>
      <c r="M17" s="187">
        <v>-3332</v>
      </c>
      <c r="N17" s="187">
        <v>0</v>
      </c>
      <c r="O17" s="187">
        <v>0</v>
      </c>
    </row>
    <row r="18" spans="1:15" s="31" customFormat="1" x14ac:dyDescent="0.25">
      <c r="A18" s="188" t="s">
        <v>46</v>
      </c>
      <c r="B18" s="191">
        <v>100350</v>
      </c>
      <c r="C18" s="191">
        <f t="shared" ref="C18:L18" si="4">SUM(C10:C17)</f>
        <v>1749538</v>
      </c>
      <c r="D18" s="191">
        <f t="shared" si="4"/>
        <v>-1694718.4</v>
      </c>
      <c r="E18" s="191">
        <f t="shared" si="4"/>
        <v>75159</v>
      </c>
      <c r="F18" s="191">
        <f t="shared" si="4"/>
        <v>200579.47135000036</v>
      </c>
      <c r="G18" s="191">
        <f t="shared" si="4"/>
        <v>330558.07135000033</v>
      </c>
      <c r="H18" s="191">
        <f t="shared" si="4"/>
        <v>208739</v>
      </c>
      <c r="I18" s="191">
        <f t="shared" si="4"/>
        <v>-165634</v>
      </c>
      <c r="J18" s="191">
        <f t="shared" si="4"/>
        <v>88044.136299999896</v>
      </c>
      <c r="K18" s="191">
        <f t="shared" si="4"/>
        <v>-159209</v>
      </c>
      <c r="L18" s="191">
        <f t="shared" si="4"/>
        <v>-28059.863700000104</v>
      </c>
      <c r="M18" s="191">
        <f>SUM(M10:M17)</f>
        <v>156742</v>
      </c>
      <c r="N18" s="191">
        <f>SUM(N10:N17)</f>
        <v>-327249</v>
      </c>
      <c r="O18" s="191">
        <f>SUM(O10:O17)</f>
        <v>-145412.00000000003</v>
      </c>
    </row>
    <row r="19" spans="1:15" s="11" customFormat="1" x14ac:dyDescent="0.25">
      <c r="A19" s="190" t="s">
        <v>47</v>
      </c>
      <c r="B19" s="187">
        <v>310536</v>
      </c>
      <c r="C19" s="187">
        <v>410886</v>
      </c>
      <c r="D19" s="187">
        <v>2160424</v>
      </c>
      <c r="E19" s="187">
        <v>465706</v>
      </c>
      <c r="F19" s="187">
        <v>540865</v>
      </c>
      <c r="G19" s="187">
        <f>C19</f>
        <v>410886</v>
      </c>
      <c r="H19" s="187">
        <v>741444</v>
      </c>
      <c r="I19" s="187">
        <v>950183</v>
      </c>
      <c r="J19" s="187">
        <v>784548.8637000001</v>
      </c>
      <c r="K19" s="187">
        <v>872593</v>
      </c>
      <c r="L19" s="187">
        <f>H19</f>
        <v>741444</v>
      </c>
      <c r="M19" s="187">
        <v>713384</v>
      </c>
      <c r="N19" s="187">
        <v>870126</v>
      </c>
      <c r="O19" s="187">
        <f>N20</f>
        <v>542877</v>
      </c>
    </row>
    <row r="20" spans="1:15" s="11" customFormat="1" x14ac:dyDescent="0.25">
      <c r="A20" s="185" t="s">
        <v>48</v>
      </c>
      <c r="B20" s="182">
        <f t="shared" ref="B20:G20" si="5">SUM(B18:B19)</f>
        <v>410886</v>
      </c>
      <c r="C20" s="182">
        <f t="shared" si="5"/>
        <v>2160424</v>
      </c>
      <c r="D20" s="182">
        <f t="shared" si="5"/>
        <v>465705.60000000009</v>
      </c>
      <c r="E20" s="182">
        <f t="shared" si="5"/>
        <v>540865</v>
      </c>
      <c r="F20" s="182">
        <f t="shared" si="5"/>
        <v>741444.47135000036</v>
      </c>
      <c r="G20" s="182">
        <f t="shared" si="5"/>
        <v>741444.07135000033</v>
      </c>
      <c r="H20" s="182">
        <f>SUM(H18:H19)</f>
        <v>950183</v>
      </c>
      <c r="I20" s="182">
        <f t="shared" ref="I20:M20" si="6">SUM(I18:I19)</f>
        <v>784549</v>
      </c>
      <c r="J20" s="182">
        <f t="shared" si="6"/>
        <v>872593</v>
      </c>
      <c r="K20" s="182">
        <f t="shared" si="6"/>
        <v>713384</v>
      </c>
      <c r="L20" s="182">
        <f t="shared" si="6"/>
        <v>713384.1362999999</v>
      </c>
      <c r="M20" s="182">
        <f t="shared" si="6"/>
        <v>870126</v>
      </c>
      <c r="N20" s="182">
        <v>542877</v>
      </c>
      <c r="O20" s="182">
        <v>397465</v>
      </c>
    </row>
    <row r="21" spans="1:15" s="35" customFormat="1" x14ac:dyDescent="0.25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92"/>
    </row>
    <row r="22" spans="1:15" ht="14.25" customHeight="1" x14ac:dyDescent="0.2">
      <c r="A22" s="279" t="s">
        <v>322</v>
      </c>
      <c r="B22" s="279"/>
      <c r="C22" s="279"/>
      <c r="D22" s="279"/>
      <c r="E22" s="279"/>
      <c r="F22" s="193"/>
      <c r="G22" s="193"/>
      <c r="H22" s="193"/>
      <c r="I22" s="15"/>
      <c r="J22" s="194"/>
      <c r="K22" s="194"/>
      <c r="L22" s="184"/>
      <c r="M22" s="184"/>
      <c r="N22" s="184"/>
      <c r="O22" s="15"/>
    </row>
    <row r="23" spans="1:15" x14ac:dyDescent="0.2">
      <c r="A23" s="279"/>
      <c r="B23" s="279"/>
      <c r="C23" s="279"/>
      <c r="D23" s="279"/>
      <c r="E23" s="279"/>
      <c r="F23" s="193"/>
      <c r="G23" s="193"/>
      <c r="H23" s="193"/>
      <c r="I23" s="15"/>
      <c r="J23" s="15"/>
      <c r="K23" s="15"/>
      <c r="L23" s="15"/>
      <c r="M23" s="15"/>
      <c r="N23" s="15"/>
      <c r="O23" s="15"/>
    </row>
    <row r="24" spans="1:15" x14ac:dyDescent="0.2">
      <c r="A24" s="279"/>
      <c r="B24" s="279"/>
      <c r="C24" s="279"/>
      <c r="D24" s="279"/>
      <c r="E24" s="279"/>
      <c r="F24" s="193"/>
      <c r="G24" s="193"/>
      <c r="H24" s="193"/>
      <c r="I24" s="15"/>
      <c r="J24" s="184"/>
      <c r="K24" s="184"/>
      <c r="L24" s="184"/>
      <c r="M24" s="184"/>
      <c r="N24" s="184"/>
      <c r="O24" s="184"/>
    </row>
    <row r="25" spans="1:15" x14ac:dyDescent="0.2">
      <c r="A25" s="279"/>
      <c r="B25" s="279"/>
      <c r="C25" s="279"/>
      <c r="D25" s="279"/>
      <c r="E25" s="279"/>
      <c r="F25" s="193"/>
      <c r="G25" s="193"/>
      <c r="H25" s="193"/>
      <c r="I25" s="15"/>
      <c r="J25" s="184"/>
      <c r="K25" s="184"/>
      <c r="L25" s="184"/>
      <c r="M25" s="184"/>
      <c r="N25" s="184"/>
      <c r="O25" s="184"/>
    </row>
    <row r="26" spans="1:15" x14ac:dyDescent="0.2">
      <c r="A26" s="279"/>
      <c r="B26" s="279"/>
      <c r="C26" s="279"/>
      <c r="D26" s="279"/>
      <c r="E26" s="279"/>
      <c r="G26" s="37"/>
      <c r="H26" s="37"/>
      <c r="I26" s="37"/>
      <c r="J26" s="37"/>
      <c r="K26" s="37"/>
      <c r="L26" s="37"/>
      <c r="M26" s="37"/>
      <c r="N26" s="37"/>
      <c r="O26" s="37"/>
    </row>
    <row r="27" spans="1:15" x14ac:dyDescent="0.2">
      <c r="A27" s="279"/>
      <c r="B27" s="279"/>
      <c r="C27" s="279"/>
      <c r="D27" s="279"/>
      <c r="E27" s="279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2">
      <c r="A28" s="279"/>
      <c r="B28" s="279"/>
      <c r="C28" s="279"/>
      <c r="D28" s="279"/>
      <c r="E28" s="279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2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2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2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3:15" x14ac:dyDescent="0.2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3:15" x14ac:dyDescent="0.2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</sheetData>
  <mergeCells count="2">
    <mergeCell ref="B1:O1"/>
    <mergeCell ref="A22:E2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1:G16 G4:G7" formulaRange="1"/>
    <ignoredError sqref="G8:G10 L5" formula="1" formulaRange="1"/>
    <ignoredError sqref="L6:L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3B97-3B52-4712-9065-A97EEA68AA51}">
  <sheetPr codeName="Planilha4"/>
  <dimension ref="A1:AA74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J36" sqref="J36"/>
    </sheetView>
  </sheetViews>
  <sheetFormatPr defaultColWidth="9.140625" defaultRowHeight="12.75" x14ac:dyDescent="0.2"/>
  <cols>
    <col min="1" max="1" width="37.7109375" style="9" customWidth="1"/>
    <col min="2" max="9" width="11.28515625" style="9" bestFit="1" customWidth="1"/>
    <col min="10" max="10" width="13.140625" style="9" bestFit="1" customWidth="1"/>
    <col min="11" max="11" width="11.28515625" style="9" bestFit="1" customWidth="1"/>
    <col min="12" max="12" width="11.28515625" style="9" customWidth="1"/>
    <col min="13" max="13" width="13.140625" style="9" bestFit="1" customWidth="1"/>
    <col min="14" max="16384" width="9.140625" style="9"/>
  </cols>
  <sheetData>
    <row r="1" spans="1:27" ht="54.75" customHeight="1" x14ac:dyDescent="0.2">
      <c r="A1" s="8"/>
      <c r="B1" s="278" t="s">
        <v>173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ht="8.25" customHeight="1" x14ac:dyDescent="0.2"/>
    <row r="3" spans="1:27" s="34" customFormat="1" ht="21" customHeight="1" thickBot="1" x14ac:dyDescent="0.3">
      <c r="A3" s="57" t="s">
        <v>49</v>
      </c>
      <c r="B3" s="58">
        <v>43465</v>
      </c>
      <c r="C3" s="58">
        <v>43555</v>
      </c>
      <c r="D3" s="58">
        <v>43646</v>
      </c>
      <c r="E3" s="58">
        <v>43738</v>
      </c>
      <c r="F3" s="58">
        <v>43830</v>
      </c>
      <c r="G3" s="58">
        <v>43921</v>
      </c>
      <c r="H3" s="58">
        <v>44012</v>
      </c>
      <c r="I3" s="58">
        <v>44104</v>
      </c>
      <c r="J3" s="58">
        <v>44196</v>
      </c>
      <c r="K3" s="58">
        <v>44286</v>
      </c>
      <c r="L3" s="58">
        <v>44377</v>
      </c>
      <c r="M3" s="58">
        <v>44469</v>
      </c>
    </row>
    <row r="4" spans="1:27" s="38" customFormat="1" x14ac:dyDescent="0.2">
      <c r="A4" s="39" t="s">
        <v>50</v>
      </c>
      <c r="B4" s="40">
        <f>SUM(B5:B11)</f>
        <v>854999</v>
      </c>
      <c r="C4" s="40">
        <f t="shared" ref="C4:M4" si="0">SUM(C5:C11)</f>
        <v>2512685</v>
      </c>
      <c r="D4" s="40">
        <f t="shared" si="0"/>
        <v>782557</v>
      </c>
      <c r="E4" s="40">
        <f t="shared" si="0"/>
        <v>855064</v>
      </c>
      <c r="F4" s="40">
        <f t="shared" si="0"/>
        <v>1018007</v>
      </c>
      <c r="G4" s="40">
        <f t="shared" si="0"/>
        <v>1325619</v>
      </c>
      <c r="H4" s="40">
        <f t="shared" si="0"/>
        <v>1160785</v>
      </c>
      <c r="I4" s="40">
        <f t="shared" si="0"/>
        <v>1242959</v>
      </c>
      <c r="J4" s="40">
        <f t="shared" si="0"/>
        <v>1221996</v>
      </c>
      <c r="K4" s="40">
        <f t="shared" si="0"/>
        <v>1396619.63222</v>
      </c>
      <c r="L4" s="40">
        <f t="shared" ref="L4" si="1">SUM(L5:L11)</f>
        <v>1085943.5708900001</v>
      </c>
      <c r="M4" s="40">
        <f t="shared" si="0"/>
        <v>1054691</v>
      </c>
    </row>
    <row r="5" spans="1:27" s="11" customFormat="1" x14ac:dyDescent="0.25">
      <c r="A5" s="14" t="s">
        <v>51</v>
      </c>
      <c r="B5" s="37">
        <v>410886</v>
      </c>
      <c r="C5" s="37">
        <v>2160424</v>
      </c>
      <c r="D5" s="37">
        <v>465706</v>
      </c>
      <c r="E5" s="37">
        <v>540865</v>
      </c>
      <c r="F5" s="37">
        <v>690276</v>
      </c>
      <c r="G5" s="37">
        <v>950183</v>
      </c>
      <c r="H5" s="37">
        <v>784549</v>
      </c>
      <c r="I5" s="37">
        <v>872593</v>
      </c>
      <c r="J5" s="37">
        <v>713384</v>
      </c>
      <c r="K5" s="37">
        <v>870126</v>
      </c>
      <c r="L5" s="37">
        <v>542877</v>
      </c>
      <c r="M5" s="37">
        <v>397465</v>
      </c>
    </row>
    <row r="6" spans="1:27" s="11" customFormat="1" x14ac:dyDescent="0.25">
      <c r="A6" s="41" t="s">
        <v>11</v>
      </c>
      <c r="B6" s="42">
        <v>0</v>
      </c>
      <c r="C6" s="42">
        <v>0</v>
      </c>
      <c r="D6" s="42">
        <v>0</v>
      </c>
      <c r="E6" s="42">
        <v>1344</v>
      </c>
      <c r="F6" s="42">
        <v>18718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</row>
    <row r="7" spans="1:27" s="11" customFormat="1" x14ac:dyDescent="0.25">
      <c r="A7" s="14" t="s">
        <v>52</v>
      </c>
      <c r="B7" s="37">
        <v>240802</v>
      </c>
      <c r="C7" s="37">
        <v>161641</v>
      </c>
      <c r="D7" s="37">
        <v>180946</v>
      </c>
      <c r="E7" s="37">
        <v>182662</v>
      </c>
      <c r="F7" s="37">
        <v>198930</v>
      </c>
      <c r="G7" s="37">
        <v>237155</v>
      </c>
      <c r="H7" s="37">
        <v>236967</v>
      </c>
      <c r="I7" s="37">
        <v>237493</v>
      </c>
      <c r="J7" s="37">
        <v>272817</v>
      </c>
      <c r="K7" s="37">
        <v>284147</v>
      </c>
      <c r="L7" s="37">
        <v>239618</v>
      </c>
      <c r="M7" s="37">
        <v>262969</v>
      </c>
    </row>
    <row r="8" spans="1:27" s="11" customFormat="1" x14ac:dyDescent="0.25">
      <c r="A8" s="41" t="s">
        <v>53</v>
      </c>
      <c r="B8" s="42">
        <v>79203</v>
      </c>
      <c r="C8" s="42">
        <v>61615</v>
      </c>
      <c r="D8" s="42">
        <v>36038</v>
      </c>
      <c r="E8" s="42">
        <v>24312</v>
      </c>
      <c r="F8" s="42">
        <v>8357</v>
      </c>
      <c r="G8" s="42">
        <v>18032</v>
      </c>
      <c r="H8" s="42">
        <v>20393</v>
      </c>
      <c r="I8" s="42">
        <v>24369</v>
      </c>
      <c r="J8" s="42">
        <v>61190</v>
      </c>
      <c r="K8" s="42">
        <v>71304</v>
      </c>
      <c r="L8" s="42">
        <v>78206</v>
      </c>
      <c r="M8" s="42">
        <v>74339</v>
      </c>
    </row>
    <row r="9" spans="1:27" s="11" customFormat="1" x14ac:dyDescent="0.25">
      <c r="A9" s="14" t="s">
        <v>327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22230</v>
      </c>
      <c r="H9" s="37">
        <v>18686</v>
      </c>
      <c r="I9" s="37">
        <v>11085</v>
      </c>
      <c r="J9" s="37">
        <v>103139</v>
      </c>
      <c r="K9" s="37">
        <v>103633.63222</v>
      </c>
      <c r="L9" s="37">
        <v>151422.57089000003</v>
      </c>
      <c r="M9" s="37">
        <v>252015</v>
      </c>
    </row>
    <row r="10" spans="1:27" s="11" customFormat="1" x14ac:dyDescent="0.25">
      <c r="A10" s="41" t="s">
        <v>55</v>
      </c>
      <c r="B10" s="42">
        <v>15580</v>
      </c>
      <c r="C10" s="42">
        <v>15248</v>
      </c>
      <c r="D10" s="42">
        <v>15021</v>
      </c>
      <c r="E10" s="42">
        <v>17738</v>
      </c>
      <c r="F10" s="42">
        <v>11186</v>
      </c>
      <c r="G10" s="42">
        <v>5486</v>
      </c>
      <c r="H10" s="42">
        <v>3955</v>
      </c>
      <c r="I10" s="42">
        <v>3134</v>
      </c>
      <c r="J10" s="42">
        <v>1957</v>
      </c>
      <c r="K10" s="42">
        <v>961</v>
      </c>
      <c r="L10" s="42">
        <v>4153</v>
      </c>
      <c r="M10" s="42">
        <v>7163</v>
      </c>
    </row>
    <row r="11" spans="1:27" s="11" customFormat="1" x14ac:dyDescent="0.25">
      <c r="A11" s="14" t="s">
        <v>56</v>
      </c>
      <c r="B11" s="37">
        <v>108528</v>
      </c>
      <c r="C11" s="37">
        <v>113757</v>
      </c>
      <c r="D11" s="37">
        <v>84846</v>
      </c>
      <c r="E11" s="37">
        <v>88143</v>
      </c>
      <c r="F11" s="37">
        <v>90540</v>
      </c>
      <c r="G11" s="37">
        <v>92533</v>
      </c>
      <c r="H11" s="37">
        <v>96235</v>
      </c>
      <c r="I11" s="37">
        <v>94285</v>
      </c>
      <c r="J11" s="37">
        <v>69509</v>
      </c>
      <c r="K11" s="37">
        <v>66448</v>
      </c>
      <c r="L11" s="37">
        <v>69667</v>
      </c>
      <c r="M11" s="37">
        <v>60740</v>
      </c>
    </row>
    <row r="12" spans="1:27" s="31" customFormat="1" ht="15" customHeight="1" x14ac:dyDescent="0.25">
      <c r="A12" s="43" t="s">
        <v>57</v>
      </c>
      <c r="B12" s="44">
        <f>SUM(B13:B25)</f>
        <v>9471501</v>
      </c>
      <c r="C12" s="44">
        <f t="shared" ref="C12:M12" si="2">SUM(C13:C25)</f>
        <v>9394636</v>
      </c>
      <c r="D12" s="44">
        <f t="shared" si="2"/>
        <v>10897515</v>
      </c>
      <c r="E12" s="44">
        <f t="shared" si="2"/>
        <v>10794376</v>
      </c>
      <c r="F12" s="44">
        <f t="shared" si="2"/>
        <v>11909068</v>
      </c>
      <c r="G12" s="44">
        <f t="shared" si="2"/>
        <v>11800971</v>
      </c>
      <c r="H12" s="44">
        <f t="shared" si="2"/>
        <v>11635777</v>
      </c>
      <c r="I12" s="44">
        <f t="shared" si="2"/>
        <v>11518960</v>
      </c>
      <c r="J12" s="44">
        <f t="shared" si="2"/>
        <v>13458304</v>
      </c>
      <c r="K12" s="44">
        <f t="shared" si="2"/>
        <v>13278177.079150001</v>
      </c>
      <c r="L12" s="44">
        <f t="shared" ref="L12" si="3">SUM(L13:L25)</f>
        <v>13267599.305780001</v>
      </c>
      <c r="M12" s="44">
        <f t="shared" si="2"/>
        <v>13482669</v>
      </c>
    </row>
    <row r="13" spans="1:27" s="11" customFormat="1" x14ac:dyDescent="0.25">
      <c r="A13" s="45" t="s">
        <v>11</v>
      </c>
      <c r="B13" s="46">
        <v>0</v>
      </c>
      <c r="C13" s="46">
        <v>0</v>
      </c>
      <c r="D13" s="46">
        <v>0</v>
      </c>
      <c r="E13" s="46">
        <v>2563</v>
      </c>
      <c r="F13" s="46">
        <v>21225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</row>
    <row r="14" spans="1:27" s="11" customFormat="1" x14ac:dyDescent="0.25">
      <c r="A14" s="47" t="s">
        <v>54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2610</v>
      </c>
      <c r="H14" s="48">
        <v>3555</v>
      </c>
      <c r="I14" s="48">
        <v>2751</v>
      </c>
      <c r="J14" s="48">
        <v>25297</v>
      </c>
      <c r="K14" s="48">
        <v>31425.079149999998</v>
      </c>
      <c r="L14" s="48">
        <v>115951.30578</v>
      </c>
      <c r="M14" s="48">
        <v>224658</v>
      </c>
    </row>
    <row r="15" spans="1:27" s="11" customFormat="1" x14ac:dyDescent="0.25">
      <c r="A15" s="45" t="s">
        <v>58</v>
      </c>
      <c r="B15" s="46">
        <v>536254</v>
      </c>
      <c r="C15" s="46">
        <v>544472</v>
      </c>
      <c r="D15" s="46">
        <v>556114</v>
      </c>
      <c r="E15" s="46">
        <v>545462</v>
      </c>
      <c r="F15" s="46">
        <v>343979</v>
      </c>
      <c r="G15" s="46">
        <v>332187</v>
      </c>
      <c r="H15" s="46">
        <v>292940</v>
      </c>
      <c r="I15" s="46">
        <v>268739</v>
      </c>
      <c r="J15" s="46">
        <v>260496</v>
      </c>
      <c r="K15" s="46">
        <v>218870</v>
      </c>
      <c r="L15" s="46">
        <v>217483</v>
      </c>
      <c r="M15" s="46">
        <v>213684</v>
      </c>
    </row>
    <row r="16" spans="1:27" s="11" customFormat="1" x14ac:dyDescent="0.25">
      <c r="A16" s="47" t="s">
        <v>59</v>
      </c>
      <c r="B16" s="48">
        <v>579226</v>
      </c>
      <c r="C16" s="48">
        <v>575755</v>
      </c>
      <c r="D16" s="48">
        <v>571603</v>
      </c>
      <c r="E16" s="48">
        <v>571603</v>
      </c>
      <c r="F16" s="48">
        <v>1877412</v>
      </c>
      <c r="G16" s="48">
        <v>1947308</v>
      </c>
      <c r="H16" s="48">
        <v>1915075</v>
      </c>
      <c r="I16" s="48">
        <v>1920530</v>
      </c>
      <c r="J16" s="48">
        <v>3954680</v>
      </c>
      <c r="K16" s="48">
        <v>3908905</v>
      </c>
      <c r="L16" s="48">
        <v>3908192</v>
      </c>
      <c r="M16" s="48">
        <v>3647114</v>
      </c>
    </row>
    <row r="17" spans="1:14" s="11" customFormat="1" x14ac:dyDescent="0.25">
      <c r="A17" s="45" t="s">
        <v>60</v>
      </c>
      <c r="B17" s="46">
        <v>4302</v>
      </c>
      <c r="C17" s="46">
        <v>4407</v>
      </c>
      <c r="D17" s="46">
        <v>4713</v>
      </c>
      <c r="E17" s="46">
        <v>5060</v>
      </c>
      <c r="F17" s="46">
        <v>7611</v>
      </c>
      <c r="G17" s="46">
        <v>8584</v>
      </c>
      <c r="H17" s="46">
        <v>6170</v>
      </c>
      <c r="I17" s="46">
        <v>6041</v>
      </c>
      <c r="J17" s="46">
        <v>6023</v>
      </c>
      <c r="K17" s="46">
        <v>5959</v>
      </c>
      <c r="L17" s="46">
        <v>5918</v>
      </c>
      <c r="M17" s="46">
        <v>5967</v>
      </c>
    </row>
    <row r="18" spans="1:14" s="11" customFormat="1" x14ac:dyDescent="0.25">
      <c r="A18" s="47" t="s">
        <v>61</v>
      </c>
      <c r="B18" s="48">
        <v>1949430</v>
      </c>
      <c r="C18" s="48">
        <v>1949430</v>
      </c>
      <c r="D18" s="48">
        <v>1949430</v>
      </c>
      <c r="E18" s="48">
        <v>1949430</v>
      </c>
      <c r="F18" s="48">
        <v>1719390</v>
      </c>
      <c r="G18" s="48">
        <v>1719390</v>
      </c>
      <c r="H18" s="48">
        <v>1719390</v>
      </c>
      <c r="I18" s="48">
        <v>1719390</v>
      </c>
      <c r="J18" s="48">
        <v>1739161</v>
      </c>
      <c r="K18" s="48">
        <v>1739161</v>
      </c>
      <c r="L18" s="48">
        <v>1739161</v>
      </c>
      <c r="M18" s="48">
        <v>1739161</v>
      </c>
    </row>
    <row r="19" spans="1:14" s="11" customFormat="1" x14ac:dyDescent="0.25">
      <c r="A19" s="45" t="s">
        <v>62</v>
      </c>
      <c r="B19" s="46">
        <v>0</v>
      </c>
      <c r="C19" s="46">
        <v>0</v>
      </c>
      <c r="D19" s="46">
        <v>0</v>
      </c>
      <c r="E19" s="46">
        <v>1000</v>
      </c>
      <c r="F19" s="46">
        <v>51102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</row>
    <row r="20" spans="1:14" s="11" customFormat="1" x14ac:dyDescent="0.25">
      <c r="A20" s="47" t="s">
        <v>63</v>
      </c>
      <c r="B20" s="48">
        <v>36800</v>
      </c>
      <c r="C20" s="48">
        <v>35536</v>
      </c>
      <c r="D20" s="48">
        <v>1603567</v>
      </c>
      <c r="E20" s="48">
        <v>1588087</v>
      </c>
      <c r="F20" s="48">
        <v>1575300</v>
      </c>
      <c r="G20" s="48">
        <v>1560881</v>
      </c>
      <c r="H20" s="48">
        <v>1548484</v>
      </c>
      <c r="I20" s="48">
        <v>1535257</v>
      </c>
      <c r="J20" s="48">
        <v>5956429</v>
      </c>
      <c r="K20" s="48">
        <v>5872427</v>
      </c>
      <c r="L20" s="48">
        <v>5792444</v>
      </c>
      <c r="M20" s="48">
        <v>5705829</v>
      </c>
    </row>
    <row r="21" spans="1:14" s="11" customFormat="1" x14ac:dyDescent="0.25">
      <c r="A21" s="45" t="s">
        <v>64</v>
      </c>
      <c r="B21" s="46">
        <v>6356617</v>
      </c>
      <c r="C21" s="46">
        <v>6279920</v>
      </c>
      <c r="D21" s="46">
        <v>6202984</v>
      </c>
      <c r="E21" s="46">
        <v>6122386</v>
      </c>
      <c r="F21" s="46">
        <v>6305943</v>
      </c>
      <c r="G21" s="46">
        <v>6222653</v>
      </c>
      <c r="H21" s="46">
        <v>6143150</v>
      </c>
      <c r="I21" s="46">
        <v>6059584</v>
      </c>
      <c r="J21" s="46">
        <v>1509895</v>
      </c>
      <c r="K21" s="46">
        <v>1495452</v>
      </c>
      <c r="L21" s="46">
        <v>1482468</v>
      </c>
      <c r="M21" s="46">
        <v>1932147</v>
      </c>
    </row>
    <row r="22" spans="1:14" s="11" customFormat="1" x14ac:dyDescent="0.25">
      <c r="A22" s="47" t="s">
        <v>65</v>
      </c>
      <c r="B22" s="48">
        <v>0</v>
      </c>
      <c r="C22" s="48">
        <v>0</v>
      </c>
      <c r="D22" s="48">
        <v>0</v>
      </c>
      <c r="E22" s="48">
        <v>7424</v>
      </c>
      <c r="F22" s="48">
        <v>7106</v>
      </c>
      <c r="G22" s="48">
        <v>7358</v>
      </c>
      <c r="H22" s="48">
        <v>7013</v>
      </c>
      <c r="I22" s="48">
        <v>6668</v>
      </c>
      <c r="J22" s="48">
        <v>6323</v>
      </c>
      <c r="K22" s="48">
        <v>5978</v>
      </c>
      <c r="L22" s="48">
        <v>5982</v>
      </c>
      <c r="M22" s="48">
        <v>5622</v>
      </c>
    </row>
    <row r="23" spans="1:14" s="11" customFormat="1" x14ac:dyDescent="0.25">
      <c r="A23" s="45" t="s">
        <v>55</v>
      </c>
      <c r="B23" s="46">
        <v>7511</v>
      </c>
      <c r="C23" s="46">
        <v>3755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4" s="35" customFormat="1" x14ac:dyDescent="0.25">
      <c r="A24" s="47" t="s">
        <v>329</v>
      </c>
      <c r="B24" s="52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8487</v>
      </c>
    </row>
    <row r="25" spans="1:14" s="35" customFormat="1" x14ac:dyDescent="0.25">
      <c r="A25" s="45" t="s">
        <v>56</v>
      </c>
      <c r="B25" s="263">
        <v>1361</v>
      </c>
      <c r="C25" s="263">
        <v>1361</v>
      </c>
      <c r="D25" s="263">
        <v>9104</v>
      </c>
      <c r="E25" s="263">
        <v>1361</v>
      </c>
      <c r="F25" s="263">
        <v>0</v>
      </c>
      <c r="G25" s="263">
        <v>0</v>
      </c>
      <c r="H25" s="263">
        <v>0</v>
      </c>
      <c r="I25" s="263">
        <v>0</v>
      </c>
      <c r="J25" s="263">
        <v>0</v>
      </c>
      <c r="K25" s="263">
        <v>0</v>
      </c>
      <c r="L25" s="263">
        <v>0</v>
      </c>
      <c r="M25" s="263">
        <v>0</v>
      </c>
    </row>
    <row r="26" spans="1:14" s="51" customFormat="1" x14ac:dyDescent="0.25">
      <c r="A26" s="43" t="s">
        <v>66</v>
      </c>
      <c r="B26" s="44">
        <f t="shared" ref="B26:M26" si="4">B12+B4</f>
        <v>10326500</v>
      </c>
      <c r="C26" s="44">
        <f t="shared" si="4"/>
        <v>11907321</v>
      </c>
      <c r="D26" s="44">
        <f t="shared" si="4"/>
        <v>11680072</v>
      </c>
      <c r="E26" s="44">
        <f t="shared" si="4"/>
        <v>11649440</v>
      </c>
      <c r="F26" s="44">
        <f t="shared" si="4"/>
        <v>12927075</v>
      </c>
      <c r="G26" s="44">
        <f t="shared" si="4"/>
        <v>13126590</v>
      </c>
      <c r="H26" s="44">
        <f t="shared" si="4"/>
        <v>12796562</v>
      </c>
      <c r="I26" s="44">
        <f t="shared" si="4"/>
        <v>12761919</v>
      </c>
      <c r="J26" s="44">
        <f t="shared" si="4"/>
        <v>14680300</v>
      </c>
      <c r="K26" s="44">
        <f t="shared" si="4"/>
        <v>14674796.711370001</v>
      </c>
      <c r="L26" s="44">
        <f t="shared" si="4"/>
        <v>14353542.876670001</v>
      </c>
      <c r="M26" s="44">
        <f t="shared" si="4"/>
        <v>14537360</v>
      </c>
    </row>
    <row r="27" spans="1:14" s="51" customFormat="1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</row>
    <row r="28" spans="1:14" s="31" customFormat="1" x14ac:dyDescent="0.25">
      <c r="A28" s="49" t="s">
        <v>67</v>
      </c>
      <c r="B28" s="50">
        <f>SUM(B29:B40)</f>
        <v>884398</v>
      </c>
      <c r="C28" s="50">
        <f t="shared" ref="C28:M28" si="5">SUM(C29:C40)</f>
        <v>847093</v>
      </c>
      <c r="D28" s="50">
        <f t="shared" si="5"/>
        <v>472280</v>
      </c>
      <c r="E28" s="50">
        <f t="shared" si="5"/>
        <v>392722</v>
      </c>
      <c r="F28" s="50">
        <f t="shared" si="5"/>
        <v>954179</v>
      </c>
      <c r="G28" s="50">
        <f t="shared" si="5"/>
        <v>1077777</v>
      </c>
      <c r="H28" s="50">
        <f t="shared" si="5"/>
        <v>743808</v>
      </c>
      <c r="I28" s="50">
        <f t="shared" si="5"/>
        <v>733938</v>
      </c>
      <c r="J28" s="50">
        <f t="shared" si="5"/>
        <v>1153732</v>
      </c>
      <c r="K28" s="50">
        <f t="shared" si="5"/>
        <v>1388568.0540499999</v>
      </c>
      <c r="L28" s="50">
        <f t="shared" ref="L28" si="6">SUM(L29:L40)</f>
        <v>844348.41188000003</v>
      </c>
      <c r="M28" s="50">
        <f t="shared" si="5"/>
        <v>774375</v>
      </c>
      <c r="N28" s="51"/>
    </row>
    <row r="29" spans="1:14" s="11" customFormat="1" x14ac:dyDescent="0.25">
      <c r="A29" s="47" t="s">
        <v>68</v>
      </c>
      <c r="B29" s="52">
        <v>175417</v>
      </c>
      <c r="C29" s="52">
        <v>130639</v>
      </c>
      <c r="D29" s="52">
        <v>134508</v>
      </c>
      <c r="E29" s="52">
        <v>41771</v>
      </c>
      <c r="F29" s="52">
        <v>44579</v>
      </c>
      <c r="G29" s="52">
        <v>41849</v>
      </c>
      <c r="H29" s="52">
        <v>67484</v>
      </c>
      <c r="I29" s="52">
        <v>69021</v>
      </c>
      <c r="J29" s="52">
        <v>103080</v>
      </c>
      <c r="K29" s="52">
        <v>105192</v>
      </c>
      <c r="L29" s="52">
        <v>110609</v>
      </c>
      <c r="M29" s="52">
        <v>180803</v>
      </c>
      <c r="N29" s="35"/>
    </row>
    <row r="30" spans="1:14" s="11" customFormat="1" x14ac:dyDescent="0.25">
      <c r="A30" s="45" t="s">
        <v>69</v>
      </c>
      <c r="B30" s="46">
        <v>214556</v>
      </c>
      <c r="C30" s="46">
        <v>205733</v>
      </c>
      <c r="D30" s="46">
        <v>91380</v>
      </c>
      <c r="E30" s="46">
        <v>83476</v>
      </c>
      <c r="F30" s="46">
        <v>3002</v>
      </c>
      <c r="G30" s="46">
        <v>25446</v>
      </c>
      <c r="H30" s="46">
        <v>1889</v>
      </c>
      <c r="I30" s="46">
        <v>4459</v>
      </c>
      <c r="J30" s="46">
        <v>18220</v>
      </c>
      <c r="K30" s="46">
        <v>5398</v>
      </c>
      <c r="L30" s="46">
        <v>20019</v>
      </c>
      <c r="M30" s="46">
        <v>8807</v>
      </c>
      <c r="N30" s="35"/>
    </row>
    <row r="31" spans="1:14" s="11" customFormat="1" x14ac:dyDescent="0.25">
      <c r="A31" s="47" t="s">
        <v>70</v>
      </c>
      <c r="B31" s="52">
        <v>0</v>
      </c>
      <c r="C31" s="52">
        <v>0</v>
      </c>
      <c r="D31" s="52">
        <v>0</v>
      </c>
      <c r="E31" s="52">
        <v>1584</v>
      </c>
      <c r="F31" s="52">
        <v>1584</v>
      </c>
      <c r="G31" s="52">
        <v>1700</v>
      </c>
      <c r="H31" s="52">
        <v>1700</v>
      </c>
      <c r="I31" s="52">
        <v>1700</v>
      </c>
      <c r="J31" s="52">
        <v>1700</v>
      </c>
      <c r="K31" s="52">
        <v>1700</v>
      </c>
      <c r="L31" s="52">
        <v>1791</v>
      </c>
      <c r="M31" s="52">
        <v>1792</v>
      </c>
      <c r="N31" s="35"/>
    </row>
    <row r="32" spans="1:14" s="11" customFormat="1" ht="13.5" customHeight="1" x14ac:dyDescent="0.25">
      <c r="A32" s="45" t="s">
        <v>11</v>
      </c>
      <c r="B32" s="46">
        <v>0</v>
      </c>
      <c r="C32" s="46">
        <v>0</v>
      </c>
      <c r="D32" s="46">
        <v>0</v>
      </c>
      <c r="E32" s="46">
        <v>911</v>
      </c>
      <c r="F32" s="46">
        <v>0</v>
      </c>
      <c r="G32" s="46">
        <v>107488</v>
      </c>
      <c r="H32" s="46">
        <v>129693</v>
      </c>
      <c r="I32" s="46">
        <v>147330</v>
      </c>
      <c r="J32" s="46">
        <v>95084</v>
      </c>
      <c r="K32" s="46">
        <v>127584</v>
      </c>
      <c r="L32" s="46">
        <v>48869</v>
      </c>
      <c r="M32" s="46">
        <v>45944</v>
      </c>
      <c r="N32" s="35"/>
    </row>
    <row r="33" spans="1:14" s="11" customFormat="1" ht="13.5" customHeight="1" x14ac:dyDescent="0.25">
      <c r="A33" s="47" t="s">
        <v>54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120475</v>
      </c>
      <c r="K33" s="52">
        <v>102121.05405000001</v>
      </c>
      <c r="L33" s="52">
        <v>177621.41188</v>
      </c>
      <c r="M33" s="52">
        <v>275892</v>
      </c>
      <c r="N33" s="35"/>
    </row>
    <row r="34" spans="1:14" s="11" customFormat="1" x14ac:dyDescent="0.25">
      <c r="A34" s="45" t="s">
        <v>71</v>
      </c>
      <c r="B34" s="46">
        <v>25211</v>
      </c>
      <c r="C34" s="46">
        <v>36101</v>
      </c>
      <c r="D34" s="46">
        <v>15341</v>
      </c>
      <c r="E34" s="46">
        <v>19195</v>
      </c>
      <c r="F34" s="46">
        <v>21497</v>
      </c>
      <c r="G34" s="46">
        <v>14564</v>
      </c>
      <c r="H34" s="46">
        <v>17373</v>
      </c>
      <c r="I34" s="46">
        <v>20539</v>
      </c>
      <c r="J34" s="46">
        <v>23387</v>
      </c>
      <c r="K34" s="46">
        <v>13060</v>
      </c>
      <c r="L34" s="46">
        <v>15821</v>
      </c>
      <c r="M34" s="46">
        <v>20703</v>
      </c>
      <c r="N34" s="35"/>
    </row>
    <row r="35" spans="1:14" s="11" customFormat="1" x14ac:dyDescent="0.25">
      <c r="A35" s="47" t="s">
        <v>72</v>
      </c>
      <c r="B35" s="52">
        <v>19061</v>
      </c>
      <c r="C35" s="52">
        <v>17936</v>
      </c>
      <c r="D35" s="52">
        <v>16127</v>
      </c>
      <c r="E35" s="52">
        <v>29289</v>
      </c>
      <c r="F35" s="52">
        <v>23494</v>
      </c>
      <c r="G35" s="52">
        <v>49165</v>
      </c>
      <c r="H35" s="52">
        <v>98404</v>
      </c>
      <c r="I35" s="52">
        <v>68565</v>
      </c>
      <c r="J35" s="52">
        <v>40721</v>
      </c>
      <c r="K35" s="52">
        <v>32881</v>
      </c>
      <c r="L35" s="52">
        <v>44736</v>
      </c>
      <c r="M35" s="52">
        <v>14949</v>
      </c>
      <c r="N35" s="35"/>
    </row>
    <row r="36" spans="1:14" s="11" customFormat="1" x14ac:dyDescent="0.25">
      <c r="A36" s="45" t="s">
        <v>73</v>
      </c>
      <c r="B36" s="46">
        <v>141742</v>
      </c>
      <c r="C36" s="46">
        <v>142508</v>
      </c>
      <c r="D36" s="46">
        <v>111032</v>
      </c>
      <c r="E36" s="46">
        <v>112061</v>
      </c>
      <c r="F36" s="46">
        <v>115673</v>
      </c>
      <c r="G36" s="46">
        <v>115303</v>
      </c>
      <c r="H36" s="46">
        <v>115420</v>
      </c>
      <c r="I36" s="46">
        <v>114512</v>
      </c>
      <c r="J36" s="46">
        <v>76507</v>
      </c>
      <c r="K36" s="46">
        <v>75534</v>
      </c>
      <c r="L36" s="46">
        <v>74184</v>
      </c>
      <c r="M36" s="46">
        <v>75955</v>
      </c>
      <c r="N36" s="35"/>
    </row>
    <row r="37" spans="1:14" s="11" customFormat="1" x14ac:dyDescent="0.25">
      <c r="A37" s="47" t="s">
        <v>74</v>
      </c>
      <c r="B37" s="52">
        <v>298750</v>
      </c>
      <c r="C37" s="52">
        <v>298750</v>
      </c>
      <c r="D37" s="52">
        <v>1586</v>
      </c>
      <c r="E37" s="52">
        <v>1586</v>
      </c>
      <c r="F37" s="52">
        <v>606176</v>
      </c>
      <c r="G37" s="52">
        <v>606091</v>
      </c>
      <c r="H37" s="52">
        <v>196618</v>
      </c>
      <c r="I37" s="52">
        <v>196532</v>
      </c>
      <c r="J37" s="52">
        <v>581919</v>
      </c>
      <c r="K37" s="52">
        <v>834541</v>
      </c>
      <c r="L37" s="52">
        <v>250444</v>
      </c>
      <c r="M37" s="52">
        <v>290</v>
      </c>
      <c r="N37" s="35"/>
    </row>
    <row r="38" spans="1:14" s="11" customFormat="1" x14ac:dyDescent="0.25">
      <c r="A38" s="45" t="s">
        <v>75</v>
      </c>
      <c r="B38" s="46">
        <v>0</v>
      </c>
      <c r="C38" s="46">
        <v>0</v>
      </c>
      <c r="D38" s="46">
        <v>7319</v>
      </c>
      <c r="E38" s="46">
        <v>18297</v>
      </c>
      <c r="F38" s="46">
        <v>29275</v>
      </c>
      <c r="G38" s="46">
        <v>40254</v>
      </c>
      <c r="H38" s="46">
        <v>45811</v>
      </c>
      <c r="I38" s="46">
        <v>46003</v>
      </c>
      <c r="J38" s="46">
        <v>41307</v>
      </c>
      <c r="K38" s="46">
        <v>40336</v>
      </c>
      <c r="L38" s="46">
        <v>40940</v>
      </c>
      <c r="M38" s="46">
        <v>40421</v>
      </c>
      <c r="N38" s="35"/>
    </row>
    <row r="39" spans="1:14" s="11" customFormat="1" x14ac:dyDescent="0.25">
      <c r="A39" s="47" t="s">
        <v>76</v>
      </c>
      <c r="B39" s="52">
        <v>0</v>
      </c>
      <c r="C39" s="52">
        <v>0</v>
      </c>
      <c r="D39" s="52">
        <v>0</v>
      </c>
      <c r="E39" s="52">
        <v>0</v>
      </c>
      <c r="F39" s="52">
        <v>23474</v>
      </c>
      <c r="G39" s="52">
        <v>27382</v>
      </c>
      <c r="H39" s="52">
        <v>31369</v>
      </c>
      <c r="I39" s="52">
        <v>35343</v>
      </c>
      <c r="J39" s="52">
        <v>28426</v>
      </c>
      <c r="K39" s="52">
        <v>28411</v>
      </c>
      <c r="L39" s="52">
        <v>32321</v>
      </c>
      <c r="M39" s="52">
        <v>34389</v>
      </c>
      <c r="N39" s="35"/>
    </row>
    <row r="40" spans="1:14" s="11" customFormat="1" x14ac:dyDescent="0.25">
      <c r="A40" s="45" t="s">
        <v>77</v>
      </c>
      <c r="B40" s="46">
        <v>9661</v>
      </c>
      <c r="C40" s="46">
        <v>15426</v>
      </c>
      <c r="D40" s="46">
        <v>94987</v>
      </c>
      <c r="E40" s="46">
        <v>84552</v>
      </c>
      <c r="F40" s="46">
        <v>85425</v>
      </c>
      <c r="G40" s="46">
        <v>48535</v>
      </c>
      <c r="H40" s="46">
        <v>38047</v>
      </c>
      <c r="I40" s="46">
        <v>29934</v>
      </c>
      <c r="J40" s="46">
        <v>22906</v>
      </c>
      <c r="K40" s="46">
        <v>21810</v>
      </c>
      <c r="L40" s="46">
        <v>26993</v>
      </c>
      <c r="M40" s="46">
        <v>74430</v>
      </c>
      <c r="N40" s="35"/>
    </row>
    <row r="41" spans="1:14" s="31" customFormat="1" ht="15" customHeight="1" x14ac:dyDescent="0.25">
      <c r="A41" s="43" t="s">
        <v>57</v>
      </c>
      <c r="B41" s="44">
        <f>SUM(B42:B51)</f>
        <v>2340036</v>
      </c>
      <c r="C41" s="44">
        <f t="shared" ref="C41:M41" si="7">SUM(C42:C51)</f>
        <v>4114402</v>
      </c>
      <c r="D41" s="44">
        <f t="shared" si="7"/>
        <v>4263605</v>
      </c>
      <c r="E41" s="44">
        <f t="shared" si="7"/>
        <v>4316021</v>
      </c>
      <c r="F41" s="44">
        <f t="shared" si="7"/>
        <v>4827991</v>
      </c>
      <c r="G41" s="44">
        <f t="shared" si="7"/>
        <v>5002659</v>
      </c>
      <c r="H41" s="44">
        <f t="shared" si="7"/>
        <v>4876007</v>
      </c>
      <c r="I41" s="44">
        <f t="shared" si="7"/>
        <v>4899158</v>
      </c>
      <c r="J41" s="44">
        <f t="shared" si="7"/>
        <v>6320355</v>
      </c>
      <c r="K41" s="44">
        <f t="shared" si="7"/>
        <v>6235750.6275200006</v>
      </c>
      <c r="L41" s="44">
        <f t="shared" ref="L41" si="8">SUM(L42:L51)</f>
        <v>6427704.3422100004</v>
      </c>
      <c r="M41" s="44">
        <f t="shared" si="7"/>
        <v>6277717</v>
      </c>
      <c r="N41" s="51"/>
    </row>
    <row r="42" spans="1:14" s="11" customFormat="1" x14ac:dyDescent="0.25">
      <c r="A42" s="45" t="s">
        <v>69</v>
      </c>
      <c r="B42" s="46">
        <v>1080</v>
      </c>
      <c r="C42" s="46">
        <v>1779841</v>
      </c>
      <c r="D42" s="46">
        <v>1779561</v>
      </c>
      <c r="E42" s="46">
        <v>1783483</v>
      </c>
      <c r="F42" s="46">
        <v>1781123</v>
      </c>
      <c r="G42" s="46">
        <v>1785056</v>
      </c>
      <c r="H42" s="46">
        <v>1782696</v>
      </c>
      <c r="I42" s="46">
        <v>1758277</v>
      </c>
      <c r="J42" s="46">
        <v>1800854</v>
      </c>
      <c r="K42" s="46">
        <v>1840578</v>
      </c>
      <c r="L42" s="46">
        <v>1874094</v>
      </c>
      <c r="M42" s="46">
        <v>1914585</v>
      </c>
      <c r="N42" s="35"/>
    </row>
    <row r="43" spans="1:14" s="11" customFormat="1" x14ac:dyDescent="0.25">
      <c r="A43" s="47" t="s">
        <v>70</v>
      </c>
      <c r="B43" s="52">
        <v>0</v>
      </c>
      <c r="C43" s="52">
        <v>0</v>
      </c>
      <c r="D43" s="52">
        <v>0</v>
      </c>
      <c r="E43" s="52">
        <v>6029</v>
      </c>
      <c r="F43" s="52">
        <v>5624</v>
      </c>
      <c r="G43" s="52">
        <v>5729</v>
      </c>
      <c r="H43" s="52">
        <v>5419</v>
      </c>
      <c r="I43" s="52">
        <v>5105</v>
      </c>
      <c r="J43" s="52">
        <v>4788</v>
      </c>
      <c r="K43" s="52">
        <v>4468</v>
      </c>
      <c r="L43" s="52">
        <v>4516</v>
      </c>
      <c r="M43" s="52">
        <v>4024</v>
      </c>
      <c r="N43" s="35"/>
    </row>
    <row r="44" spans="1:14" s="11" customFormat="1" x14ac:dyDescent="0.25">
      <c r="A44" s="45" t="s">
        <v>73</v>
      </c>
      <c r="B44" s="46">
        <v>35852</v>
      </c>
      <c r="C44" s="46">
        <v>35852</v>
      </c>
      <c r="D44" s="46">
        <v>35852</v>
      </c>
      <c r="E44" s="46">
        <v>15899</v>
      </c>
      <c r="F44" s="46">
        <v>12014</v>
      </c>
      <c r="G44" s="46">
        <v>12014</v>
      </c>
      <c r="H44" s="46">
        <v>12014</v>
      </c>
      <c r="I44" s="46">
        <v>12014</v>
      </c>
      <c r="J44" s="46">
        <v>1240</v>
      </c>
      <c r="K44" s="46">
        <v>1240</v>
      </c>
      <c r="L44" s="46">
        <v>1240</v>
      </c>
      <c r="M44" s="46">
        <v>1240</v>
      </c>
      <c r="N44" s="35"/>
    </row>
    <row r="45" spans="1:14" s="11" customFormat="1" x14ac:dyDescent="0.25">
      <c r="A45" s="47" t="s">
        <v>75</v>
      </c>
      <c r="B45" s="52">
        <v>0</v>
      </c>
      <c r="C45" s="52">
        <v>0</v>
      </c>
      <c r="D45" s="52">
        <v>176148</v>
      </c>
      <c r="E45" s="52">
        <v>167240</v>
      </c>
      <c r="F45" s="52">
        <v>158355</v>
      </c>
      <c r="G45" s="52">
        <v>149493</v>
      </c>
      <c r="H45" s="52">
        <v>140935</v>
      </c>
      <c r="I45" s="52">
        <v>131783</v>
      </c>
      <c r="J45" s="52">
        <v>114057</v>
      </c>
      <c r="K45" s="52">
        <v>105567</v>
      </c>
      <c r="L45" s="52">
        <v>97197</v>
      </c>
      <c r="M45" s="52">
        <v>88738</v>
      </c>
      <c r="N45" s="35"/>
    </row>
    <row r="46" spans="1:14" s="11" customFormat="1" x14ac:dyDescent="0.25">
      <c r="A46" s="45" t="s">
        <v>11</v>
      </c>
      <c r="B46" s="46">
        <v>0</v>
      </c>
      <c r="C46" s="46">
        <v>0</v>
      </c>
      <c r="D46" s="46">
        <v>0</v>
      </c>
      <c r="E46" s="46">
        <v>292</v>
      </c>
      <c r="F46" s="46">
        <v>0</v>
      </c>
      <c r="G46" s="46">
        <v>92075</v>
      </c>
      <c r="H46" s="46">
        <v>83767</v>
      </c>
      <c r="I46" s="46">
        <v>55185</v>
      </c>
      <c r="J46" s="46">
        <v>9141</v>
      </c>
      <c r="K46" s="46">
        <v>0</v>
      </c>
      <c r="L46" s="46">
        <v>0</v>
      </c>
      <c r="M46" s="46">
        <v>0</v>
      </c>
      <c r="N46" s="35"/>
    </row>
    <row r="47" spans="1:14" s="11" customFormat="1" x14ac:dyDescent="0.25">
      <c r="A47" s="47" t="s">
        <v>54</v>
      </c>
      <c r="B47" s="52"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29405</v>
      </c>
      <c r="K47" s="52">
        <v>35121.627520000002</v>
      </c>
      <c r="L47" s="52">
        <v>125632.34221</v>
      </c>
      <c r="M47" s="52">
        <v>225824</v>
      </c>
      <c r="N47" s="35"/>
    </row>
    <row r="48" spans="1:14" s="11" customFormat="1" x14ac:dyDescent="0.25">
      <c r="A48" s="45" t="s">
        <v>78</v>
      </c>
      <c r="B48" s="46">
        <v>2156162</v>
      </c>
      <c r="C48" s="46">
        <v>2154148</v>
      </c>
      <c r="D48" s="46">
        <v>2120009</v>
      </c>
      <c r="E48" s="46">
        <v>2197258</v>
      </c>
      <c r="F48" s="46">
        <v>1814375</v>
      </c>
      <c r="G48" s="46">
        <v>1889659</v>
      </c>
      <c r="H48" s="46">
        <v>1782843</v>
      </c>
      <c r="I48" s="46">
        <v>1859083</v>
      </c>
      <c r="J48" s="46">
        <v>1748257</v>
      </c>
      <c r="K48" s="46">
        <v>1606027</v>
      </c>
      <c r="L48" s="46">
        <v>1643730</v>
      </c>
      <c r="M48" s="46">
        <v>1324841</v>
      </c>
      <c r="N48" s="35"/>
    </row>
    <row r="49" spans="1:14" s="11" customFormat="1" x14ac:dyDescent="0.25">
      <c r="A49" s="47" t="s">
        <v>76</v>
      </c>
      <c r="B49" s="52">
        <v>72915</v>
      </c>
      <c r="C49" s="52">
        <v>72915</v>
      </c>
      <c r="D49" s="52">
        <v>72915</v>
      </c>
      <c r="E49" s="52">
        <v>72915</v>
      </c>
      <c r="F49" s="52">
        <v>164536</v>
      </c>
      <c r="G49" s="52">
        <v>160474</v>
      </c>
      <c r="H49" s="52">
        <v>156391</v>
      </c>
      <c r="I49" s="52">
        <v>152314</v>
      </c>
      <c r="J49" s="52">
        <v>152749</v>
      </c>
      <c r="K49" s="52">
        <v>148503</v>
      </c>
      <c r="L49" s="52">
        <v>144062</v>
      </c>
      <c r="M49" s="52">
        <v>139753</v>
      </c>
      <c r="N49" s="35"/>
    </row>
    <row r="50" spans="1:14" s="11" customFormat="1" x14ac:dyDescent="0.25">
      <c r="A50" s="45" t="s">
        <v>132</v>
      </c>
      <c r="B50" s="46">
        <v>0</v>
      </c>
      <c r="C50" s="46"/>
      <c r="D50" s="46">
        <v>0</v>
      </c>
      <c r="E50" s="46">
        <v>0</v>
      </c>
      <c r="F50" s="46">
        <v>836995</v>
      </c>
      <c r="G50" s="46">
        <v>851872</v>
      </c>
      <c r="H50" s="46">
        <v>866326</v>
      </c>
      <c r="I50" s="46">
        <v>880997</v>
      </c>
      <c r="J50" s="46">
        <v>2412379</v>
      </c>
      <c r="K50" s="46">
        <v>2451341</v>
      </c>
      <c r="L50" s="46">
        <v>2492036</v>
      </c>
      <c r="M50" s="46">
        <v>2531841</v>
      </c>
      <c r="N50" s="35"/>
    </row>
    <row r="51" spans="1:14" s="11" customFormat="1" x14ac:dyDescent="0.25">
      <c r="A51" s="47" t="s">
        <v>77</v>
      </c>
      <c r="B51" s="52">
        <v>74027</v>
      </c>
      <c r="C51" s="52">
        <v>71646</v>
      </c>
      <c r="D51" s="52">
        <v>79120</v>
      </c>
      <c r="E51" s="52">
        <v>72905</v>
      </c>
      <c r="F51" s="52">
        <v>54969</v>
      </c>
      <c r="G51" s="52">
        <v>56287</v>
      </c>
      <c r="H51" s="52">
        <v>45616</v>
      </c>
      <c r="I51" s="52">
        <v>44400</v>
      </c>
      <c r="J51" s="52">
        <v>47485</v>
      </c>
      <c r="K51" s="52">
        <v>42905</v>
      </c>
      <c r="L51" s="52">
        <v>45197</v>
      </c>
      <c r="M51" s="52">
        <v>46871</v>
      </c>
      <c r="N51" s="35"/>
    </row>
    <row r="52" spans="1:14" s="51" customFormat="1" x14ac:dyDescent="0.25">
      <c r="A52" s="49" t="s">
        <v>79</v>
      </c>
      <c r="B52" s="50">
        <f>SUM(B41,B28)</f>
        <v>3224434</v>
      </c>
      <c r="C52" s="50">
        <f t="shared" ref="C52:M52" si="9">SUM(C41,C28)</f>
        <v>4961495</v>
      </c>
      <c r="D52" s="50">
        <f t="shared" si="9"/>
        <v>4735885</v>
      </c>
      <c r="E52" s="50">
        <f t="shared" si="9"/>
        <v>4708743</v>
      </c>
      <c r="F52" s="50">
        <f t="shared" si="9"/>
        <v>5782170</v>
      </c>
      <c r="G52" s="50">
        <f t="shared" si="9"/>
        <v>6080436</v>
      </c>
      <c r="H52" s="50">
        <f t="shared" si="9"/>
        <v>5619815</v>
      </c>
      <c r="I52" s="50">
        <f t="shared" si="9"/>
        <v>5633096</v>
      </c>
      <c r="J52" s="50">
        <f t="shared" si="9"/>
        <v>7474087</v>
      </c>
      <c r="K52" s="50">
        <f t="shared" si="9"/>
        <v>7624318.6815700009</v>
      </c>
      <c r="L52" s="50">
        <f t="shared" ref="L52" si="10">SUM(L41,L28)</f>
        <v>7272052.7540899999</v>
      </c>
      <c r="M52" s="50">
        <f t="shared" si="9"/>
        <v>7052092</v>
      </c>
    </row>
    <row r="53" spans="1:14" s="51" customFormat="1" x14ac:dyDescent="0.25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4" s="31" customFormat="1" x14ac:dyDescent="0.25">
      <c r="A54" s="43" t="s">
        <v>80</v>
      </c>
      <c r="B54" s="44">
        <f t="shared" ref="B54:I54" si="11">SUM(B55:B61)</f>
        <v>7102066</v>
      </c>
      <c r="C54" s="44">
        <f t="shared" si="11"/>
        <v>6945826</v>
      </c>
      <c r="D54" s="44">
        <f t="shared" si="11"/>
        <v>6944187</v>
      </c>
      <c r="E54" s="44">
        <f t="shared" si="11"/>
        <v>6940697</v>
      </c>
      <c r="F54" s="44">
        <f t="shared" si="11"/>
        <v>7144905</v>
      </c>
      <c r="G54" s="44">
        <f t="shared" si="11"/>
        <v>7046154</v>
      </c>
      <c r="H54" s="44">
        <f t="shared" si="11"/>
        <v>7176747</v>
      </c>
      <c r="I54" s="44">
        <f t="shared" si="11"/>
        <v>7128823</v>
      </c>
      <c r="J54" s="44">
        <f>SUM(J55:J61)</f>
        <v>7206213</v>
      </c>
      <c r="K54" s="44">
        <f>SUM(K55:K61)</f>
        <v>7050478</v>
      </c>
      <c r="L54" s="44">
        <f>SUM(L55:L61)</f>
        <v>7081490</v>
      </c>
      <c r="M54" s="44">
        <f>SUM(M55:M61)</f>
        <v>7485268</v>
      </c>
      <c r="N54" s="51"/>
    </row>
    <row r="55" spans="1:14" s="11" customFormat="1" x14ac:dyDescent="0.25">
      <c r="A55" s="45" t="s">
        <v>81</v>
      </c>
      <c r="B55" s="46">
        <v>5975433</v>
      </c>
      <c r="C55" s="46">
        <v>5975433</v>
      </c>
      <c r="D55" s="46">
        <v>5975433</v>
      </c>
      <c r="E55" s="46">
        <v>5975433</v>
      </c>
      <c r="F55" s="46">
        <v>5975433</v>
      </c>
      <c r="G55" s="46">
        <v>5975433</v>
      </c>
      <c r="H55" s="46">
        <v>5975433</v>
      </c>
      <c r="I55" s="46">
        <v>5975433</v>
      </c>
      <c r="J55" s="46">
        <v>5975433</v>
      </c>
      <c r="K55" s="46">
        <v>5975433</v>
      </c>
      <c r="L55" s="46">
        <v>5975433</v>
      </c>
      <c r="M55" s="46">
        <v>5975433</v>
      </c>
      <c r="N55" s="35"/>
    </row>
    <row r="56" spans="1:14" s="11" customFormat="1" x14ac:dyDescent="0.25">
      <c r="A56" s="47" t="s">
        <v>82</v>
      </c>
      <c r="B56" s="52">
        <v>1929098</v>
      </c>
      <c r="C56" s="52">
        <v>1929098</v>
      </c>
      <c r="D56" s="52">
        <v>1929098</v>
      </c>
      <c r="E56" s="52">
        <v>1929098</v>
      </c>
      <c r="F56" s="52">
        <v>1929098</v>
      </c>
      <c r="G56" s="52">
        <v>1929098</v>
      </c>
      <c r="H56" s="52">
        <v>1929098</v>
      </c>
      <c r="I56" s="52">
        <v>1929098</v>
      </c>
      <c r="J56" s="52">
        <v>1929098</v>
      </c>
      <c r="K56" s="52">
        <v>1929098</v>
      </c>
      <c r="L56" s="52">
        <v>1929098</v>
      </c>
      <c r="M56" s="52">
        <v>1929098</v>
      </c>
      <c r="N56" s="35"/>
    </row>
    <row r="57" spans="1:14" s="11" customFormat="1" x14ac:dyDescent="0.25">
      <c r="A57" s="45" t="s">
        <v>83</v>
      </c>
      <c r="B57" s="46">
        <v>554588</v>
      </c>
      <c r="C57" s="46">
        <v>554588</v>
      </c>
      <c r="D57" s="46">
        <v>554588</v>
      </c>
      <c r="E57" s="46">
        <v>554588</v>
      </c>
      <c r="F57" s="46">
        <v>1084883</v>
      </c>
      <c r="G57" s="46">
        <v>1084883</v>
      </c>
      <c r="H57" s="46">
        <v>1084883</v>
      </c>
      <c r="I57" s="46">
        <v>1084883</v>
      </c>
      <c r="J57" s="46">
        <v>2187137</v>
      </c>
      <c r="K57" s="46">
        <v>1934515</v>
      </c>
      <c r="L57" s="46">
        <v>1934622</v>
      </c>
      <c r="M57" s="46">
        <v>1934622</v>
      </c>
      <c r="N57" s="35"/>
    </row>
    <row r="58" spans="1:14" s="11" customFormat="1" x14ac:dyDescent="0.25">
      <c r="A58" s="47" t="s">
        <v>84</v>
      </c>
      <c r="B58" s="52">
        <v>-976752</v>
      </c>
      <c r="C58" s="52">
        <v>-971151</v>
      </c>
      <c r="D58" s="52">
        <v>-964994</v>
      </c>
      <c r="E58" s="52">
        <v>-958478</v>
      </c>
      <c r="F58" s="52">
        <v>-948623</v>
      </c>
      <c r="G58" s="52">
        <v>-938897</v>
      </c>
      <c r="H58" s="52">
        <v>-928708</v>
      </c>
      <c r="I58" s="52">
        <v>-917819</v>
      </c>
      <c r="J58" s="52">
        <v>-2885455</v>
      </c>
      <c r="K58" s="52">
        <v>-2893847</v>
      </c>
      <c r="L58" s="52">
        <v>-2837415</v>
      </c>
      <c r="M58" s="52">
        <v>-2821777</v>
      </c>
      <c r="N58" s="35"/>
    </row>
    <row r="59" spans="1:14" s="11" customFormat="1" x14ac:dyDescent="0.25">
      <c r="A59" s="45" t="s">
        <v>85</v>
      </c>
      <c r="B59" s="46">
        <v>-380301</v>
      </c>
      <c r="C59" s="46">
        <v>-378298</v>
      </c>
      <c r="D59" s="46">
        <v>-375935</v>
      </c>
      <c r="E59" s="46">
        <v>-371569</v>
      </c>
      <c r="F59" s="46">
        <v>-895886</v>
      </c>
      <c r="G59" s="46">
        <v>-1048450</v>
      </c>
      <c r="H59" s="46">
        <v>-1055655</v>
      </c>
      <c r="I59" s="46">
        <v>-1045054</v>
      </c>
      <c r="J59" s="46">
        <v>0</v>
      </c>
      <c r="K59" s="46">
        <v>0</v>
      </c>
      <c r="L59" s="46">
        <v>0</v>
      </c>
      <c r="M59" s="46">
        <v>471224</v>
      </c>
      <c r="N59" s="35"/>
    </row>
    <row r="60" spans="1:14" s="11" customFormat="1" x14ac:dyDescent="0.25">
      <c r="A60" s="47" t="s">
        <v>86</v>
      </c>
      <c r="B60" s="52">
        <v>0</v>
      </c>
      <c r="C60" s="52">
        <v>-163844</v>
      </c>
      <c r="D60" s="52">
        <v>-174003</v>
      </c>
      <c r="E60" s="52">
        <v>-188375</v>
      </c>
      <c r="F60" s="52">
        <v>0</v>
      </c>
      <c r="G60" s="52">
        <v>44087</v>
      </c>
      <c r="H60" s="52">
        <v>171696</v>
      </c>
      <c r="I60" s="52">
        <v>102282</v>
      </c>
      <c r="J60" s="52">
        <v>0</v>
      </c>
      <c r="K60" s="52">
        <v>108611</v>
      </c>
      <c r="L60" s="52">
        <v>83084</v>
      </c>
      <c r="M60" s="52"/>
      <c r="N60" s="35"/>
    </row>
    <row r="61" spans="1:14" s="36" customFormat="1" x14ac:dyDescent="0.25">
      <c r="A61" s="264" t="s">
        <v>330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265">
        <v>-3332</v>
      </c>
      <c r="L61" s="46">
        <v>-3332</v>
      </c>
      <c r="M61" s="265">
        <v>-3332</v>
      </c>
    </row>
    <row r="62" spans="1:14" s="31" customFormat="1" x14ac:dyDescent="0.25">
      <c r="A62" s="43" t="s">
        <v>87</v>
      </c>
      <c r="B62" s="44">
        <f>B54+B52</f>
        <v>10326500</v>
      </c>
      <c r="C62" s="44">
        <f t="shared" ref="C62:M62" si="12">C54+C52</f>
        <v>11907321</v>
      </c>
      <c r="D62" s="44">
        <f t="shared" si="12"/>
        <v>11680072</v>
      </c>
      <c r="E62" s="44">
        <f t="shared" si="12"/>
        <v>11649440</v>
      </c>
      <c r="F62" s="44">
        <f t="shared" si="12"/>
        <v>12927075</v>
      </c>
      <c r="G62" s="44">
        <f t="shared" si="12"/>
        <v>13126590</v>
      </c>
      <c r="H62" s="44">
        <f t="shared" si="12"/>
        <v>12796562</v>
      </c>
      <c r="I62" s="44">
        <f t="shared" si="12"/>
        <v>12761919</v>
      </c>
      <c r="J62" s="44">
        <f t="shared" si="12"/>
        <v>14680300</v>
      </c>
      <c r="K62" s="44">
        <f t="shared" si="12"/>
        <v>14674796.681570001</v>
      </c>
      <c r="L62" s="44">
        <f t="shared" ref="L62" si="13">L54+L52</f>
        <v>14353542.75409</v>
      </c>
      <c r="M62" s="44">
        <f t="shared" si="12"/>
        <v>14537360</v>
      </c>
      <c r="N62" s="51"/>
    </row>
    <row r="63" spans="1:14" s="51" customFormat="1" x14ac:dyDescent="0.25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pans="1:14" s="51" customFormat="1" x14ac:dyDescent="0.25">
      <c r="A64" s="49" t="s">
        <v>328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s="51" customFormat="1" x14ac:dyDescent="0.25">
      <c r="A65" s="45" t="s">
        <v>343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x14ac:dyDescent="0.2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</row>
    <row r="67" spans="1:12" x14ac:dyDescent="0.2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x14ac:dyDescent="0.2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</row>
    <row r="69" spans="1:12" x14ac:dyDescent="0.2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</row>
    <row r="70" spans="1:12" x14ac:dyDescent="0.2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</row>
    <row r="71" spans="1:12" x14ac:dyDescent="0.2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</row>
    <row r="72" spans="1:12" x14ac:dyDescent="0.2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x14ac:dyDescent="0.2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</row>
    <row r="74" spans="1:12" x14ac:dyDescent="0.2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</row>
  </sheetData>
  <mergeCells count="1">
    <mergeCell ref="B1:M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CBCA-798F-4768-B5A6-FEFFC0EAB29D}">
  <sheetPr codeName="Planilha5"/>
  <dimension ref="A1:AA32"/>
  <sheetViews>
    <sheetView showGridLines="0" zoomScale="85" zoomScaleNormal="85" workbookViewId="0">
      <pane xSplit="1" ySplit="3" topLeftCell="B4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Q9" sqref="Q9"/>
    </sheetView>
  </sheetViews>
  <sheetFormatPr defaultColWidth="9.140625" defaultRowHeight="12.75" x14ac:dyDescent="0.2"/>
  <cols>
    <col min="1" max="1" width="63.42578125" style="9" customWidth="1"/>
    <col min="2" max="14" width="11.5703125" style="9" customWidth="1"/>
    <col min="15" max="15" width="10.85546875" style="9" customWidth="1"/>
    <col min="16" max="27" width="9.140625" style="10"/>
    <col min="28" max="16384" width="9.140625" style="9"/>
  </cols>
  <sheetData>
    <row r="1" spans="1:27" ht="54.75" customHeight="1" x14ac:dyDescent="0.2">
      <c r="A1" s="8"/>
      <c r="B1" s="278" t="s">
        <v>172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ht="8.25" customHeight="1" x14ac:dyDescent="0.2"/>
    <row r="3" spans="1:27" s="34" customFormat="1" ht="13.5" thickBot="1" x14ac:dyDescent="0.3">
      <c r="A3" s="5" t="s">
        <v>88</v>
      </c>
      <c r="B3" s="7">
        <v>2018</v>
      </c>
      <c r="C3" s="7" t="s">
        <v>2</v>
      </c>
      <c r="D3" s="7" t="s">
        <v>3</v>
      </c>
      <c r="E3" s="7" t="s">
        <v>4</v>
      </c>
      <c r="F3" s="7" t="s">
        <v>5</v>
      </c>
      <c r="G3" s="7">
        <v>2019</v>
      </c>
      <c r="H3" s="7" t="s">
        <v>6</v>
      </c>
      <c r="I3" s="7" t="s">
        <v>7</v>
      </c>
      <c r="J3" s="7" t="s">
        <v>8</v>
      </c>
      <c r="K3" s="7" t="s">
        <v>9</v>
      </c>
      <c r="L3" s="7">
        <v>2020</v>
      </c>
      <c r="M3" s="7" t="s">
        <v>133</v>
      </c>
      <c r="N3" s="7" t="s">
        <v>151</v>
      </c>
      <c r="O3" s="7" t="s">
        <v>152</v>
      </c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</row>
    <row r="4" spans="1:27" x14ac:dyDescent="0.2">
      <c r="A4" s="207" t="s">
        <v>89</v>
      </c>
      <c r="B4" s="208">
        <v>-751603</v>
      </c>
      <c r="C4" s="208">
        <v>-222998</v>
      </c>
      <c r="D4" s="208">
        <v>-76100</v>
      </c>
      <c r="E4" s="208">
        <v>-119914</v>
      </c>
      <c r="F4" s="208">
        <v>-122099</v>
      </c>
      <c r="G4" s="208">
        <v>-541111</v>
      </c>
      <c r="H4" s="208">
        <v>-82336</v>
      </c>
      <c r="I4" s="208">
        <v>-137133</v>
      </c>
      <c r="J4" s="208">
        <v>-168418</v>
      </c>
      <c r="K4" s="208">
        <v>-214942</v>
      </c>
      <c r="L4" s="208">
        <v>-602829</v>
      </c>
      <c r="M4" s="208">
        <v>-219719</v>
      </c>
      <c r="N4" s="208">
        <v>-197214</v>
      </c>
      <c r="O4" s="208">
        <v>-356547</v>
      </c>
    </row>
    <row r="5" spans="1:27" s="11" customFormat="1" ht="13.5" customHeight="1" x14ac:dyDescent="0.25">
      <c r="A5" s="209" t="s">
        <v>73</v>
      </c>
      <c r="B5" s="184">
        <v>-114509</v>
      </c>
      <c r="C5" s="184">
        <v>-28238</v>
      </c>
      <c r="D5" s="184">
        <v>-29119</v>
      </c>
      <c r="E5" s="184">
        <v>-34345</v>
      </c>
      <c r="F5" s="184">
        <v>-34904</v>
      </c>
      <c r="G5" s="184">
        <v>-126606</v>
      </c>
      <c r="H5" s="184">
        <v>-33931</v>
      </c>
      <c r="I5" s="184">
        <v>-35427</v>
      </c>
      <c r="J5" s="184">
        <v>-39461</v>
      </c>
      <c r="K5" s="184">
        <v>-40039</v>
      </c>
      <c r="L5" s="184">
        <v>-148858</v>
      </c>
      <c r="M5" s="184">
        <v>-39049</v>
      </c>
      <c r="N5" s="184">
        <v>-39468</v>
      </c>
      <c r="O5" s="184">
        <v>-48892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</row>
    <row r="6" spans="1:27" s="35" customFormat="1" x14ac:dyDescent="0.25">
      <c r="A6" s="207" t="s">
        <v>90</v>
      </c>
      <c r="B6" s="208">
        <v>-140894</v>
      </c>
      <c r="C6" s="208">
        <v>-39008</v>
      </c>
      <c r="D6" s="208">
        <v>-22143</v>
      </c>
      <c r="E6" s="208">
        <v>-25097</v>
      </c>
      <c r="F6" s="208">
        <v>-20096</v>
      </c>
      <c r="G6" s="208">
        <v>-106344</v>
      </c>
      <c r="H6" s="208">
        <v>-19895</v>
      </c>
      <c r="I6" s="208">
        <v>-15423</v>
      </c>
      <c r="J6" s="208">
        <v>-18502</v>
      </c>
      <c r="K6" s="208">
        <v>-14459</v>
      </c>
      <c r="L6" s="208">
        <v>-68279</v>
      </c>
      <c r="M6" s="208">
        <v>-19945</v>
      </c>
      <c r="N6" s="208">
        <v>-16615</v>
      </c>
      <c r="O6" s="208">
        <v>-18457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</row>
    <row r="7" spans="1:27" s="11" customFormat="1" x14ac:dyDescent="0.25">
      <c r="A7" s="209" t="s">
        <v>91</v>
      </c>
      <c r="B7" s="184">
        <v>0</v>
      </c>
      <c r="C7" s="184">
        <v>-102504</v>
      </c>
      <c r="D7" s="184">
        <v>-2287</v>
      </c>
      <c r="E7" s="184">
        <v>-5955</v>
      </c>
      <c r="F7" s="184">
        <v>-336</v>
      </c>
      <c r="G7" s="184">
        <v>-111082</v>
      </c>
      <c r="H7" s="184">
        <v>0</v>
      </c>
      <c r="I7" s="184">
        <v>0</v>
      </c>
      <c r="J7" s="184">
        <v>-5961</v>
      </c>
      <c r="K7" s="184">
        <v>-9037</v>
      </c>
      <c r="L7" s="184">
        <v>-14998</v>
      </c>
      <c r="M7" s="184">
        <v>0</v>
      </c>
      <c r="N7" s="184">
        <v>0</v>
      </c>
      <c r="O7" s="184">
        <v>0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</row>
    <row r="8" spans="1:27" s="35" customFormat="1" x14ac:dyDescent="0.25">
      <c r="A8" s="207" t="s">
        <v>92</v>
      </c>
      <c r="B8" s="208">
        <v>-2238</v>
      </c>
      <c r="C8" s="208">
        <v>-366</v>
      </c>
      <c r="D8" s="208">
        <v>-438</v>
      </c>
      <c r="E8" s="208">
        <v>-364</v>
      </c>
      <c r="F8" s="208">
        <v>-5732</v>
      </c>
      <c r="G8" s="208">
        <v>-6900</v>
      </c>
      <c r="H8" s="208">
        <v>-1240</v>
      </c>
      <c r="I8" s="208">
        <v>-1230</v>
      </c>
      <c r="J8" s="208">
        <v>-1251</v>
      </c>
      <c r="K8" s="208">
        <v>-5044</v>
      </c>
      <c r="L8" s="208">
        <v>-8765</v>
      </c>
      <c r="M8" s="208">
        <v>-2134</v>
      </c>
      <c r="N8" s="208">
        <v>-1670</v>
      </c>
      <c r="O8" s="208">
        <v>-2120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</row>
    <row r="9" spans="1:27" s="11" customFormat="1" x14ac:dyDescent="0.25">
      <c r="A9" s="209" t="s">
        <v>132</v>
      </c>
      <c r="B9" s="184">
        <v>-10330</v>
      </c>
      <c r="C9" s="184">
        <v>-3372</v>
      </c>
      <c r="D9" s="184">
        <v>-3380</v>
      </c>
      <c r="E9" s="184">
        <v>-3364</v>
      </c>
      <c r="F9" s="184">
        <v>-3372</v>
      </c>
      <c r="G9" s="184">
        <v>-13488</v>
      </c>
      <c r="H9" s="184">
        <v>122</v>
      </c>
      <c r="I9" s="184">
        <v>122</v>
      </c>
      <c r="J9" s="184">
        <v>122</v>
      </c>
      <c r="K9" s="184">
        <v>123</v>
      </c>
      <c r="L9" s="184">
        <v>489</v>
      </c>
      <c r="M9" s="184">
        <v>438</v>
      </c>
      <c r="N9" s="184">
        <v>-1314</v>
      </c>
      <c r="O9" s="184">
        <v>-438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</row>
    <row r="10" spans="1:27" s="35" customFormat="1" x14ac:dyDescent="0.25">
      <c r="A10" s="207" t="s">
        <v>93</v>
      </c>
      <c r="B10" s="208">
        <v>-4628</v>
      </c>
      <c r="C10" s="208">
        <v>-1204</v>
      </c>
      <c r="D10" s="208">
        <v>-966</v>
      </c>
      <c r="E10" s="208">
        <v>-1531</v>
      </c>
      <c r="F10" s="208">
        <v>-870</v>
      </c>
      <c r="G10" s="208">
        <v>-4571</v>
      </c>
      <c r="H10" s="208">
        <v>-517</v>
      </c>
      <c r="I10" s="208">
        <v>-495</v>
      </c>
      <c r="J10" s="208">
        <v>-227</v>
      </c>
      <c r="K10" s="208">
        <v>-437</v>
      </c>
      <c r="L10" s="208">
        <v>-1676</v>
      </c>
      <c r="M10" s="208">
        <v>-538</v>
      </c>
      <c r="N10" s="208">
        <v>-303</v>
      </c>
      <c r="O10" s="208">
        <v>-309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</row>
    <row r="11" spans="1:27" s="11" customFormat="1" x14ac:dyDescent="0.25">
      <c r="A11" s="209" t="s">
        <v>94</v>
      </c>
      <c r="B11" s="184">
        <v>-59246</v>
      </c>
      <c r="C11" s="184">
        <v>-12898</v>
      </c>
      <c r="D11" s="184">
        <v>-12619</v>
      </c>
      <c r="E11" s="184">
        <v>-9216</v>
      </c>
      <c r="F11" s="184">
        <v>-11700</v>
      </c>
      <c r="G11" s="184">
        <v>-46433</v>
      </c>
      <c r="H11" s="184">
        <v>-6186</v>
      </c>
      <c r="I11" s="184">
        <v>-7401</v>
      </c>
      <c r="J11" s="184">
        <v>-6314</v>
      </c>
      <c r="K11" s="184">
        <v>-14639</v>
      </c>
      <c r="L11" s="184">
        <v>-34540</v>
      </c>
      <c r="M11" s="184">
        <v>-7760</v>
      </c>
      <c r="N11" s="184">
        <v>-8571</v>
      </c>
      <c r="O11" s="184">
        <v>-14502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</row>
    <row r="12" spans="1:27" s="35" customFormat="1" x14ac:dyDescent="0.25">
      <c r="A12" s="207" t="s">
        <v>95</v>
      </c>
      <c r="B12" s="208">
        <v>0</v>
      </c>
      <c r="C12" s="208">
        <v>-409</v>
      </c>
      <c r="D12" s="208">
        <v>-384</v>
      </c>
      <c r="E12" s="208">
        <v>-894</v>
      </c>
      <c r="F12" s="208">
        <v>-1863</v>
      </c>
      <c r="G12" s="208">
        <v>-3550</v>
      </c>
      <c r="H12" s="208">
        <v>-2250</v>
      </c>
      <c r="I12" s="208">
        <v>-1919</v>
      </c>
      <c r="J12" s="208">
        <v>-723</v>
      </c>
      <c r="K12" s="208">
        <v>-1074</v>
      </c>
      <c r="L12" s="208">
        <v>-5966</v>
      </c>
      <c r="M12" s="208">
        <v>-1036</v>
      </c>
      <c r="N12" s="208">
        <v>-1046</v>
      </c>
      <c r="O12" s="208">
        <v>-1086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</row>
    <row r="13" spans="1:27" s="11" customFormat="1" x14ac:dyDescent="0.25">
      <c r="A13" s="209" t="s">
        <v>96</v>
      </c>
      <c r="B13" s="184">
        <v>-316345</v>
      </c>
      <c r="C13" s="184">
        <v>-78510</v>
      </c>
      <c r="D13" s="184">
        <v>-92530</v>
      </c>
      <c r="E13" s="184">
        <v>-96289</v>
      </c>
      <c r="F13" s="184">
        <v>-112236</v>
      </c>
      <c r="G13" s="184">
        <v>-379565</v>
      </c>
      <c r="H13" s="184">
        <v>-100395</v>
      </c>
      <c r="I13" s="184">
        <v>-99876</v>
      </c>
      <c r="J13" s="184">
        <v>-95376</v>
      </c>
      <c r="K13" s="184">
        <v>-101682</v>
      </c>
      <c r="L13" s="184">
        <v>-397329</v>
      </c>
      <c r="M13" s="184">
        <v>-97855</v>
      </c>
      <c r="N13" s="184">
        <v>-97371</v>
      </c>
      <c r="O13" s="184">
        <v>-110884</v>
      </c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</row>
    <row r="14" spans="1:27" s="11" customFormat="1" x14ac:dyDescent="0.25">
      <c r="A14" s="210" t="s">
        <v>97</v>
      </c>
      <c r="B14" s="182">
        <v>-4640</v>
      </c>
      <c r="C14" s="182">
        <v>-714</v>
      </c>
      <c r="D14" s="182">
        <v>-747</v>
      </c>
      <c r="E14" s="182">
        <v>-98</v>
      </c>
      <c r="F14" s="182">
        <v>-28</v>
      </c>
      <c r="G14" s="182">
        <v>-1587</v>
      </c>
      <c r="H14" s="182">
        <v>-663</v>
      </c>
      <c r="I14" s="182">
        <v>-418</v>
      </c>
      <c r="J14" s="182">
        <v>-283</v>
      </c>
      <c r="K14" s="182">
        <v>-463</v>
      </c>
      <c r="L14" s="182">
        <v>-1827</v>
      </c>
      <c r="M14" s="182">
        <v>-253</v>
      </c>
      <c r="N14" s="182">
        <v>-338</v>
      </c>
      <c r="O14" s="182">
        <v>-25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27" s="10" customFormat="1" x14ac:dyDescent="0.2">
      <c r="A15" s="211" t="s">
        <v>98</v>
      </c>
      <c r="B15" s="187">
        <v>-52000</v>
      </c>
      <c r="C15" s="187">
        <v>0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/>
    </row>
    <row r="16" spans="1:27" s="36" customFormat="1" x14ac:dyDescent="0.25">
      <c r="A16" s="210" t="s">
        <v>99</v>
      </c>
      <c r="B16" s="182">
        <v>29353</v>
      </c>
      <c r="C16" s="182">
        <v>0</v>
      </c>
      <c r="D16" s="182">
        <v>0</v>
      </c>
      <c r="E16" s="182">
        <v>0</v>
      </c>
      <c r="F16" s="182">
        <v>14835</v>
      </c>
      <c r="G16" s="182">
        <v>14835</v>
      </c>
      <c r="H16" s="182">
        <v>0</v>
      </c>
      <c r="I16" s="182">
        <v>0</v>
      </c>
      <c r="J16" s="182">
        <v>0</v>
      </c>
      <c r="K16" s="182">
        <v>-4206</v>
      </c>
      <c r="L16" s="182">
        <v>-4206</v>
      </c>
      <c r="M16" s="182">
        <v>0</v>
      </c>
      <c r="N16" s="182">
        <v>0</v>
      </c>
      <c r="O16" s="182"/>
    </row>
    <row r="17" spans="1:15" s="10" customFormat="1" x14ac:dyDescent="0.2">
      <c r="A17" s="211" t="s">
        <v>100</v>
      </c>
      <c r="B17" s="187">
        <v>0</v>
      </c>
      <c r="C17" s="187">
        <v>0</v>
      </c>
      <c r="D17" s="187">
        <v>0</v>
      </c>
      <c r="E17" s="187">
        <v>23152</v>
      </c>
      <c r="F17" s="187"/>
      <c r="G17" s="187">
        <v>23152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87"/>
    </row>
    <row r="18" spans="1:15" s="36" customFormat="1" x14ac:dyDescent="0.25">
      <c r="A18" s="210" t="s">
        <v>332</v>
      </c>
      <c r="B18" s="182">
        <v>-9505</v>
      </c>
      <c r="C18" s="182">
        <v>0</v>
      </c>
      <c r="D18" s="182">
        <v>0</v>
      </c>
      <c r="E18" s="182">
        <v>0</v>
      </c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>
        <v>0</v>
      </c>
      <c r="L18" s="182">
        <v>0</v>
      </c>
      <c r="M18" s="182">
        <v>0</v>
      </c>
      <c r="N18" s="182">
        <v>0</v>
      </c>
      <c r="O18" s="182"/>
    </row>
    <row r="19" spans="1:15" s="10" customFormat="1" x14ac:dyDescent="0.2">
      <c r="A19" s="211" t="s">
        <v>101</v>
      </c>
      <c r="B19" s="187">
        <v>3370</v>
      </c>
      <c r="C19" s="187">
        <v>4796</v>
      </c>
      <c r="D19" s="187">
        <v>2654</v>
      </c>
      <c r="E19" s="187">
        <v>339</v>
      </c>
      <c r="F19" s="187">
        <v>264</v>
      </c>
      <c r="G19" s="187">
        <v>8053</v>
      </c>
      <c r="H19" s="187">
        <v>54</v>
      </c>
      <c r="I19" s="187">
        <v>0</v>
      </c>
      <c r="J19" s="187">
        <v>12</v>
      </c>
      <c r="K19" s="187">
        <v>0</v>
      </c>
      <c r="L19" s="187">
        <v>66</v>
      </c>
      <c r="M19" s="187">
        <v>0</v>
      </c>
      <c r="N19" s="187">
        <v>0</v>
      </c>
      <c r="O19" s="187"/>
    </row>
    <row r="20" spans="1:15" s="36" customFormat="1" x14ac:dyDescent="0.25">
      <c r="A20" s="210" t="s">
        <v>102</v>
      </c>
      <c r="B20" s="182">
        <v>410186</v>
      </c>
      <c r="C20" s="182">
        <v>36307</v>
      </c>
      <c r="D20" s="182">
        <v>-23855</v>
      </c>
      <c r="E20" s="182">
        <v>-5259</v>
      </c>
      <c r="F20" s="182">
        <v>324759</v>
      </c>
      <c r="G20" s="182">
        <v>331952</v>
      </c>
      <c r="H20" s="182">
        <v>-26979</v>
      </c>
      <c r="I20" s="182">
        <v>134167</v>
      </c>
      <c r="J20" s="182">
        <v>22052</v>
      </c>
      <c r="K20" s="182">
        <v>137404</v>
      </c>
      <c r="L20" s="182">
        <v>266644</v>
      </c>
      <c r="M20" s="182">
        <v>202872</v>
      </c>
      <c r="N20" s="182">
        <v>7937</v>
      </c>
      <c r="O20" s="182">
        <v>239822</v>
      </c>
    </row>
    <row r="21" spans="1:15" s="36" customFormat="1" x14ac:dyDescent="0.25">
      <c r="A21" s="211" t="s">
        <v>103</v>
      </c>
      <c r="B21" s="187">
        <v>0</v>
      </c>
      <c r="C21" s="187">
        <v>0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-23643</v>
      </c>
      <c r="J21" s="187">
        <v>-23163</v>
      </c>
      <c r="K21" s="187">
        <v>-16478</v>
      </c>
      <c r="L21" s="187">
        <v>-63284</v>
      </c>
      <c r="M21" s="187">
        <v>-39781</v>
      </c>
      <c r="N21" s="187">
        <v>0</v>
      </c>
      <c r="O21" s="187">
        <v>-4547</v>
      </c>
    </row>
    <row r="22" spans="1:15" s="10" customFormat="1" x14ac:dyDescent="0.2">
      <c r="A22" s="210" t="s">
        <v>331</v>
      </c>
      <c r="B22" s="182">
        <v>62652</v>
      </c>
      <c r="C22" s="182">
        <v>0</v>
      </c>
      <c r="D22" s="182">
        <v>0</v>
      </c>
      <c r="E22" s="182">
        <v>0</v>
      </c>
      <c r="F22" s="182">
        <v>120405</v>
      </c>
      <c r="G22" s="182">
        <v>120405</v>
      </c>
      <c r="H22" s="182">
        <v>0</v>
      </c>
      <c r="I22" s="182">
        <v>0</v>
      </c>
      <c r="J22" s="182">
        <v>0</v>
      </c>
      <c r="K22" s="182">
        <v>7589</v>
      </c>
      <c r="L22" s="182">
        <v>7589</v>
      </c>
      <c r="M22" s="182">
        <v>0</v>
      </c>
      <c r="N22" s="182">
        <v>0</v>
      </c>
      <c r="O22" s="182">
        <v>-299452</v>
      </c>
    </row>
    <row r="23" spans="1:15" s="36" customFormat="1" x14ac:dyDescent="0.25">
      <c r="A23" s="211" t="s">
        <v>104</v>
      </c>
      <c r="B23" s="187">
        <v>0</v>
      </c>
      <c r="C23" s="187">
        <v>0</v>
      </c>
      <c r="D23" s="187">
        <v>0</v>
      </c>
      <c r="E23" s="187">
        <v>0</v>
      </c>
      <c r="F23" s="187">
        <v>-230040</v>
      </c>
      <c r="G23" s="187">
        <v>-230040</v>
      </c>
      <c r="H23" s="187">
        <v>0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/>
    </row>
    <row r="24" spans="1:15" s="10" customFormat="1" x14ac:dyDescent="0.2">
      <c r="A24" s="210" t="s">
        <v>333</v>
      </c>
      <c r="B24" s="182">
        <v>9873</v>
      </c>
      <c r="C24" s="182">
        <v>-81</v>
      </c>
      <c r="D24" s="182">
        <v>-132</v>
      </c>
      <c r="E24" s="182">
        <v>91</v>
      </c>
      <c r="F24" s="182">
        <v>6170</v>
      </c>
      <c r="G24" s="182">
        <v>6048</v>
      </c>
      <c r="H24" s="182">
        <v>-15</v>
      </c>
      <c r="I24" s="182">
        <v>315</v>
      </c>
      <c r="J24" s="182">
        <v>164</v>
      </c>
      <c r="K24" s="182">
        <v>63</v>
      </c>
      <c r="L24" s="182">
        <v>527</v>
      </c>
      <c r="M24" s="182">
        <v>-268</v>
      </c>
      <c r="N24" s="182">
        <v>-51</v>
      </c>
      <c r="O24" s="182">
        <v>-86</v>
      </c>
    </row>
    <row r="25" spans="1:15" s="36" customFormat="1" x14ac:dyDescent="0.25">
      <c r="A25" s="211" t="s">
        <v>54</v>
      </c>
      <c r="B25" s="187">
        <v>0</v>
      </c>
      <c r="C25" s="187">
        <v>0</v>
      </c>
      <c r="D25" s="187">
        <v>0</v>
      </c>
      <c r="E25" s="187">
        <v>0</v>
      </c>
      <c r="F25" s="187">
        <v>0</v>
      </c>
      <c r="G25" s="187">
        <v>0</v>
      </c>
      <c r="H25" s="187">
        <v>24840</v>
      </c>
      <c r="I25" s="187">
        <v>-2599</v>
      </c>
      <c r="J25" s="187">
        <v>-8405</v>
      </c>
      <c r="K25" s="187">
        <v>-35280</v>
      </c>
      <c r="L25" s="187">
        <v>-21444</v>
      </c>
      <c r="M25" s="187">
        <v>19260</v>
      </c>
      <c r="N25" s="187">
        <v>-33696</v>
      </c>
      <c r="O25" s="187">
        <v>10837</v>
      </c>
    </row>
    <row r="26" spans="1:15" s="36" customFormat="1" x14ac:dyDescent="0.25">
      <c r="A26" s="210" t="s">
        <v>139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-1245</v>
      </c>
      <c r="N26" s="182">
        <v>-659</v>
      </c>
      <c r="O26" s="182">
        <v>-552</v>
      </c>
    </row>
    <row r="27" spans="1:15" s="10" customFormat="1" x14ac:dyDescent="0.2">
      <c r="A27" s="211" t="s">
        <v>140</v>
      </c>
      <c r="B27" s="187">
        <v>0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-1476</v>
      </c>
      <c r="N27" s="187">
        <v>-3131</v>
      </c>
      <c r="O27" s="187">
        <v>-691</v>
      </c>
    </row>
    <row r="28" spans="1:15" s="10" customFormat="1" x14ac:dyDescent="0.2">
      <c r="A28" s="210" t="s">
        <v>326</v>
      </c>
      <c r="B28" s="182">
        <v>0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  <c r="H28" s="182">
        <v>0</v>
      </c>
      <c r="I28" s="182">
        <v>0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  <c r="O28" s="182">
        <v>781974</v>
      </c>
    </row>
    <row r="29" spans="1:15" s="10" customFormat="1" ht="13.5" thickBot="1" x14ac:dyDescent="0.25">
      <c r="A29" s="211" t="s">
        <v>105</v>
      </c>
      <c r="B29" s="187">
        <f>-21028-865+367-2927</f>
        <v>-24453</v>
      </c>
      <c r="C29" s="187">
        <f>-9782+253</f>
        <v>-9529</v>
      </c>
      <c r="D29" s="187">
        <f>-5590-617</f>
        <v>-6207</v>
      </c>
      <c r="E29" s="187">
        <f>-7290-1316</f>
        <v>-8606</v>
      </c>
      <c r="F29" s="187">
        <f>1560+1316+364</f>
        <v>3240</v>
      </c>
      <c r="G29" s="187">
        <v>-21102</v>
      </c>
      <c r="H29" s="187">
        <v>-2352</v>
      </c>
      <c r="I29" s="187">
        <v>3352</v>
      </c>
      <c r="J29" s="187">
        <f>-3557+12268</f>
        <v>8711</v>
      </c>
      <c r="K29" s="187">
        <f>-15547</f>
        <v>-15547</v>
      </c>
      <c r="L29" s="187">
        <v>-5836</v>
      </c>
      <c r="M29" s="187">
        <v>-768</v>
      </c>
      <c r="N29" s="187">
        <v>630</v>
      </c>
      <c r="O29" s="187">
        <v>4286</v>
      </c>
    </row>
    <row r="30" spans="1:15" s="10" customFormat="1" ht="13.5" thickBot="1" x14ac:dyDescent="0.25">
      <c r="A30" s="266" t="s">
        <v>106</v>
      </c>
      <c r="B30" s="267">
        <f t="shared" ref="B30:N30" si="0">SUM(B4:B29)</f>
        <v>-974957</v>
      </c>
      <c r="C30" s="267">
        <f t="shared" si="0"/>
        <v>-458728</v>
      </c>
      <c r="D30" s="267">
        <f t="shared" si="0"/>
        <v>-268253</v>
      </c>
      <c r="E30" s="267">
        <f t="shared" si="0"/>
        <v>-287350</v>
      </c>
      <c r="F30" s="267">
        <f t="shared" si="0"/>
        <v>-73603</v>
      </c>
      <c r="G30" s="267">
        <f t="shared" si="0"/>
        <v>-1087934</v>
      </c>
      <c r="H30" s="267">
        <f t="shared" si="0"/>
        <v>-251743</v>
      </c>
      <c r="I30" s="267">
        <f t="shared" si="0"/>
        <v>-187608</v>
      </c>
      <c r="J30" s="267">
        <f t="shared" si="0"/>
        <v>-337023</v>
      </c>
      <c r="K30" s="267">
        <f t="shared" si="0"/>
        <v>-328148</v>
      </c>
      <c r="L30" s="267">
        <f t="shared" si="0"/>
        <v>-1104522</v>
      </c>
      <c r="M30" s="267">
        <f t="shared" si="0"/>
        <v>-209257</v>
      </c>
      <c r="N30" s="267">
        <f t="shared" si="0"/>
        <v>-392880</v>
      </c>
      <c r="O30" s="267">
        <f>SUM(O4:O29)</f>
        <v>178331</v>
      </c>
    </row>
    <row r="31" spans="1:15" x14ac:dyDescent="0.2">
      <c r="A31" s="15"/>
      <c r="B31" s="212"/>
      <c r="C31" s="15"/>
      <c r="D31" s="212"/>
      <c r="E31" s="212"/>
      <c r="F31" s="15"/>
      <c r="G31" s="15"/>
      <c r="H31" s="15"/>
      <c r="I31" s="213"/>
      <c r="J31" s="213"/>
      <c r="K31" s="213"/>
      <c r="L31" s="213"/>
      <c r="M31" s="213"/>
      <c r="N31" s="213"/>
      <c r="O31" s="15"/>
    </row>
    <row r="32" spans="1:15" x14ac:dyDescent="0.2">
      <c r="O32" s="268"/>
    </row>
  </sheetData>
  <mergeCells count="1">
    <mergeCell ref="B1:O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L30 G3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71ED-4145-4520-9735-7830B17737A1}">
  <sheetPr codeName="Planilha10"/>
  <dimension ref="A1:W31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K10" sqref="K10"/>
    </sheetView>
  </sheetViews>
  <sheetFormatPr defaultColWidth="9.140625" defaultRowHeight="12" x14ac:dyDescent="0.2"/>
  <cols>
    <col min="1" max="1" width="59.7109375" style="59" bestFit="1" customWidth="1"/>
    <col min="2" max="2" width="16.5703125" style="59" customWidth="1"/>
    <col min="3" max="3" width="12.7109375" style="59" customWidth="1"/>
    <col min="4" max="4" width="14.5703125" style="59" bestFit="1" customWidth="1"/>
    <col min="5" max="5" width="11.42578125" style="59" customWidth="1"/>
    <col min="6" max="6" width="13.140625" style="59" customWidth="1"/>
    <col min="7" max="8" width="11.42578125" style="59" customWidth="1"/>
    <col min="9" max="9" width="12.140625" style="59" bestFit="1" customWidth="1"/>
    <col min="10" max="10" width="11.42578125" style="59" customWidth="1"/>
    <col min="11" max="16384" width="9.140625" style="59"/>
  </cols>
  <sheetData>
    <row r="1" spans="1:23" s="9" customFormat="1" ht="54.75" customHeight="1" x14ac:dyDescent="0.2">
      <c r="A1" s="8"/>
      <c r="B1" s="278" t="s">
        <v>279</v>
      </c>
      <c r="C1" s="278"/>
      <c r="D1" s="278"/>
      <c r="E1" s="278"/>
      <c r="F1" s="278"/>
      <c r="G1" s="278"/>
      <c r="H1" s="278"/>
      <c r="I1" s="278"/>
      <c r="J1" s="180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61"/>
    </row>
    <row r="2" spans="1:23" ht="8.25" customHeight="1" x14ac:dyDescent="0.2"/>
    <row r="3" spans="1:23" s="110" customFormat="1" ht="12.75" thickBot="1" x14ac:dyDescent="0.3">
      <c r="A3" s="111" t="s">
        <v>307</v>
      </c>
      <c r="B3" s="122" t="s">
        <v>6</v>
      </c>
      <c r="C3" s="122" t="s">
        <v>7</v>
      </c>
      <c r="D3" s="122" t="s">
        <v>8</v>
      </c>
      <c r="E3" s="122" t="s">
        <v>9</v>
      </c>
      <c r="F3" s="122">
        <v>2020</v>
      </c>
      <c r="G3" s="122" t="s">
        <v>133</v>
      </c>
      <c r="H3" s="122" t="s">
        <v>151</v>
      </c>
      <c r="I3" s="122" t="s">
        <v>152</v>
      </c>
      <c r="J3" s="247"/>
    </row>
    <row r="4" spans="1:23" x14ac:dyDescent="0.2">
      <c r="A4" s="114" t="s">
        <v>280</v>
      </c>
      <c r="B4" s="121">
        <v>1817931</v>
      </c>
      <c r="C4" s="121">
        <v>1791704</v>
      </c>
      <c r="D4" s="121">
        <v>1769541</v>
      </c>
      <c r="E4" s="121">
        <v>1825562</v>
      </c>
      <c r="F4" s="121">
        <f>E4</f>
        <v>1825562</v>
      </c>
      <c r="G4" s="121">
        <v>1852144</v>
      </c>
      <c r="H4" s="127">
        <v>1900420</v>
      </c>
      <c r="I4" s="127">
        <v>1929208</v>
      </c>
      <c r="J4" s="248"/>
    </row>
    <row r="5" spans="1:23" x14ac:dyDescent="0.2">
      <c r="A5" s="115" t="s">
        <v>281</v>
      </c>
      <c r="B5" s="120">
        <v>950183</v>
      </c>
      <c r="C5" s="120">
        <v>784549</v>
      </c>
      <c r="D5" s="120">
        <v>872593</v>
      </c>
      <c r="E5" s="120">
        <v>713384</v>
      </c>
      <c r="F5" s="120">
        <f t="shared" ref="F5:F6" si="0">E5</f>
        <v>713384</v>
      </c>
      <c r="G5" s="120">
        <v>870126</v>
      </c>
      <c r="H5" s="128">
        <v>542877</v>
      </c>
      <c r="I5" s="128">
        <v>397465</v>
      </c>
      <c r="J5" s="248"/>
    </row>
    <row r="6" spans="1:23" ht="12.75" thickBot="1" x14ac:dyDescent="0.25">
      <c r="A6" s="117" t="s">
        <v>282</v>
      </c>
      <c r="B6" s="121">
        <v>199563</v>
      </c>
      <c r="C6" s="121">
        <v>213460</v>
      </c>
      <c r="D6" s="121">
        <v>202515</v>
      </c>
      <c r="E6" s="121">
        <v>104225</v>
      </c>
      <c r="F6" s="121">
        <f t="shared" si="0"/>
        <v>104225</v>
      </c>
      <c r="G6" s="121">
        <v>127584</v>
      </c>
      <c r="H6" s="127">
        <v>48869</v>
      </c>
      <c r="I6" s="127">
        <v>45944</v>
      </c>
      <c r="J6" s="248"/>
    </row>
    <row r="7" spans="1:23" ht="12.75" thickBot="1" x14ac:dyDescent="0.25">
      <c r="A7" s="116" t="s">
        <v>283</v>
      </c>
      <c r="B7" s="118">
        <f>B4-B5+B6</f>
        <v>1067311</v>
      </c>
      <c r="C7" s="118">
        <f t="shared" ref="C7:I7" si="1">C4-C5+C6</f>
        <v>1220615</v>
      </c>
      <c r="D7" s="118">
        <f t="shared" si="1"/>
        <v>1099463</v>
      </c>
      <c r="E7" s="118">
        <f t="shared" si="1"/>
        <v>1216403</v>
      </c>
      <c r="F7" s="118">
        <f t="shared" si="1"/>
        <v>1216403</v>
      </c>
      <c r="G7" s="118">
        <f t="shared" si="1"/>
        <v>1109602</v>
      </c>
      <c r="H7" s="129">
        <f t="shared" ref="H7" si="2">H4-H5+H6</f>
        <v>1406412</v>
      </c>
      <c r="I7" s="129">
        <f t="shared" si="1"/>
        <v>1577687</v>
      </c>
      <c r="J7" s="246"/>
    </row>
    <row r="8" spans="1:23" x14ac:dyDescent="0.2">
      <c r="A8" s="117" t="s">
        <v>284</v>
      </c>
      <c r="B8" s="121">
        <v>1196865</v>
      </c>
      <c r="C8" s="121">
        <v>1401920</v>
      </c>
      <c r="D8" s="121">
        <v>1407395</v>
      </c>
      <c r="E8" s="121">
        <v>1210055</v>
      </c>
      <c r="F8" s="121">
        <f t="shared" ref="F8:F9" si="3">E8</f>
        <v>1210055</v>
      </c>
      <c r="G8" s="121">
        <v>1346346</v>
      </c>
      <c r="H8" s="127">
        <v>1178200</v>
      </c>
      <c r="I8" s="127">
        <v>1810598</v>
      </c>
      <c r="J8" s="248"/>
    </row>
    <row r="9" spans="1:23" ht="12.75" thickBot="1" x14ac:dyDescent="0.25">
      <c r="A9" s="131" t="s">
        <v>285</v>
      </c>
      <c r="B9" s="138">
        <v>1046413</v>
      </c>
      <c r="C9" s="138">
        <v>1115097</v>
      </c>
      <c r="D9" s="138">
        <v>1116430</v>
      </c>
      <c r="E9" s="138">
        <v>1014104</v>
      </c>
      <c r="F9" s="138">
        <f t="shared" si="3"/>
        <v>1014104</v>
      </c>
      <c r="G9" s="138">
        <v>960325</v>
      </c>
      <c r="H9" s="139">
        <v>894766</v>
      </c>
      <c r="I9" s="139">
        <v>802295</v>
      </c>
      <c r="J9" s="248"/>
    </row>
    <row r="10" spans="1:23" ht="12.75" thickBot="1" x14ac:dyDescent="0.25">
      <c r="A10" s="134" t="s">
        <v>286</v>
      </c>
      <c r="B10" s="136">
        <f>B7/B8</f>
        <v>0.89175554469384599</v>
      </c>
      <c r="C10" s="136">
        <f t="shared" ref="C10:I10" si="4">C7/C8</f>
        <v>0.87067379023054092</v>
      </c>
      <c r="D10" s="136">
        <f t="shared" si="4"/>
        <v>0.78120428166932521</v>
      </c>
      <c r="E10" s="136">
        <f t="shared" si="4"/>
        <v>1.0052460425352567</v>
      </c>
      <c r="F10" s="136">
        <f t="shared" si="4"/>
        <v>1.0052460425352567</v>
      </c>
      <c r="G10" s="136">
        <f t="shared" si="4"/>
        <v>0.82415812874253724</v>
      </c>
      <c r="H10" s="136">
        <f t="shared" ref="H10" si="5">H7/H8</f>
        <v>1.193695467662536</v>
      </c>
      <c r="I10" s="136">
        <f t="shared" si="4"/>
        <v>0.87136238966352553</v>
      </c>
      <c r="J10" s="249"/>
    </row>
    <row r="11" spans="1:23" x14ac:dyDescent="0.2">
      <c r="A11" s="135" t="s">
        <v>287</v>
      </c>
      <c r="B11" s="137">
        <f>B7/B9</f>
        <v>1.0199710821635435</v>
      </c>
      <c r="C11" s="137">
        <f t="shared" ref="C11:I11" si="6">C7/C9</f>
        <v>1.0946267454759542</v>
      </c>
      <c r="D11" s="137">
        <f t="shared" si="6"/>
        <v>0.98480245066864913</v>
      </c>
      <c r="E11" s="137">
        <f t="shared" si="6"/>
        <v>1.1994854571128799</v>
      </c>
      <c r="F11" s="137">
        <f t="shared" si="6"/>
        <v>1.1994854571128799</v>
      </c>
      <c r="G11" s="137">
        <f t="shared" si="6"/>
        <v>1.1554442506443132</v>
      </c>
      <c r="H11" s="137">
        <f t="shared" ref="H11" si="7">H7/H9</f>
        <v>1.5718210124211247</v>
      </c>
      <c r="I11" s="137">
        <f t="shared" si="6"/>
        <v>1.9664674465128165</v>
      </c>
      <c r="J11" s="249"/>
    </row>
    <row r="12" spans="1:23" x14ac:dyDescent="0.2">
      <c r="A12" s="165" t="s">
        <v>303</v>
      </c>
      <c r="B12" s="143"/>
      <c r="C12" s="143"/>
      <c r="D12" s="143"/>
      <c r="E12" s="143"/>
      <c r="F12" s="143"/>
      <c r="G12" s="143"/>
      <c r="H12" s="143"/>
      <c r="I12" s="143"/>
      <c r="J12" s="246"/>
    </row>
    <row r="13" spans="1:23" x14ac:dyDescent="0.2">
      <c r="H13" s="130"/>
      <c r="I13" s="130"/>
      <c r="J13" s="250"/>
    </row>
    <row r="14" spans="1:23" ht="12.75" thickBot="1" x14ac:dyDescent="0.25">
      <c r="A14" s="111" t="s">
        <v>291</v>
      </c>
      <c r="B14" s="122"/>
      <c r="C14" s="122"/>
      <c r="D14" s="122"/>
      <c r="E14" s="122"/>
      <c r="F14" s="122"/>
      <c r="G14" s="122"/>
      <c r="H14" s="122"/>
      <c r="I14" s="122"/>
      <c r="J14" s="247"/>
    </row>
    <row r="15" spans="1:23" x14ac:dyDescent="0.2">
      <c r="A15" s="114" t="s">
        <v>289</v>
      </c>
      <c r="B15" s="144">
        <v>1</v>
      </c>
      <c r="C15" s="144">
        <v>1</v>
      </c>
      <c r="D15" s="144">
        <v>0.17</v>
      </c>
      <c r="E15" s="144">
        <v>0.17</v>
      </c>
      <c r="F15" s="144">
        <f>E15</f>
        <v>0.17</v>
      </c>
      <c r="G15" s="144">
        <v>0.17</v>
      </c>
      <c r="H15" s="145">
        <v>0.16</v>
      </c>
      <c r="I15" s="145">
        <v>0.15</v>
      </c>
      <c r="J15" s="251"/>
    </row>
    <row r="16" spans="1:23" ht="12.75" thickBot="1" x14ac:dyDescent="0.25">
      <c r="A16" s="115" t="s">
        <v>288</v>
      </c>
      <c r="B16" s="146">
        <v>0</v>
      </c>
      <c r="C16" s="146">
        <v>0</v>
      </c>
      <c r="D16" s="146">
        <v>0.83</v>
      </c>
      <c r="E16" s="146">
        <v>0.83</v>
      </c>
      <c r="F16" s="146">
        <f>E16</f>
        <v>0.83</v>
      </c>
      <c r="G16" s="146">
        <v>0.83</v>
      </c>
      <c r="H16" s="147">
        <v>0.84</v>
      </c>
      <c r="I16" s="147">
        <v>0.85</v>
      </c>
      <c r="J16" s="252"/>
    </row>
    <row r="17" spans="1:11" ht="12.75" thickBot="1" x14ac:dyDescent="0.25">
      <c r="A17" s="116" t="s">
        <v>106</v>
      </c>
      <c r="B17" s="149">
        <f>SUM(B15:B16)</f>
        <v>1</v>
      </c>
      <c r="C17" s="149">
        <f t="shared" ref="C17:I17" si="8">SUM(C15:C16)</f>
        <v>1</v>
      </c>
      <c r="D17" s="149">
        <f t="shared" si="8"/>
        <v>1</v>
      </c>
      <c r="E17" s="149">
        <f t="shared" si="8"/>
        <v>1</v>
      </c>
      <c r="F17" s="149">
        <f t="shared" si="8"/>
        <v>1</v>
      </c>
      <c r="G17" s="149">
        <f t="shared" si="8"/>
        <v>1</v>
      </c>
      <c r="H17" s="149">
        <f t="shared" ref="H17" si="9">SUM(H15:H16)</f>
        <v>1</v>
      </c>
      <c r="I17" s="149">
        <f t="shared" si="8"/>
        <v>1</v>
      </c>
      <c r="J17" s="253"/>
    </row>
    <row r="18" spans="1:11" ht="12.75" thickBot="1" x14ac:dyDescent="0.25">
      <c r="J18" s="250"/>
    </row>
    <row r="19" spans="1:11" s="141" customFormat="1" ht="12.75" thickBot="1" x14ac:dyDescent="0.25">
      <c r="A19" s="140" t="s">
        <v>290</v>
      </c>
      <c r="B19" s="148">
        <v>4.2</v>
      </c>
      <c r="C19" s="148">
        <v>4</v>
      </c>
      <c r="D19" s="148">
        <v>8</v>
      </c>
      <c r="E19" s="148">
        <v>7.8</v>
      </c>
      <c r="F19" s="148">
        <f>E19</f>
        <v>7.8</v>
      </c>
      <c r="G19" s="148">
        <v>7.5</v>
      </c>
      <c r="H19" s="148">
        <v>7.3</v>
      </c>
      <c r="I19" s="148">
        <v>7.1</v>
      </c>
      <c r="J19" s="254"/>
    </row>
    <row r="20" spans="1:11" x14ac:dyDescent="0.2">
      <c r="J20" s="250"/>
    </row>
    <row r="21" spans="1:11" ht="24.75" thickBot="1" x14ac:dyDescent="0.25">
      <c r="A21" s="111" t="s">
        <v>344</v>
      </c>
      <c r="B21" s="112" t="s">
        <v>293</v>
      </c>
      <c r="C21" s="112" t="s">
        <v>299</v>
      </c>
      <c r="D21" s="168" t="s">
        <v>304</v>
      </c>
      <c r="E21" s="151"/>
      <c r="F21" s="151"/>
      <c r="G21" s="151"/>
      <c r="H21" s="151"/>
      <c r="I21" s="151"/>
      <c r="J21" s="151"/>
      <c r="K21" s="152"/>
    </row>
    <row r="22" spans="1:11" x14ac:dyDescent="0.2">
      <c r="A22" s="114" t="s">
        <v>295</v>
      </c>
      <c r="B22" s="144" t="s">
        <v>292</v>
      </c>
      <c r="C22" s="157">
        <v>44914</v>
      </c>
      <c r="D22" s="164">
        <v>75.000150000000005</v>
      </c>
      <c r="E22" s="153"/>
      <c r="F22" s="153"/>
      <c r="G22" s="153"/>
      <c r="H22" s="153"/>
      <c r="I22" s="154"/>
      <c r="J22" s="153"/>
      <c r="K22" s="152"/>
    </row>
    <row r="23" spans="1:11" x14ac:dyDescent="0.2">
      <c r="A23" s="160" t="s">
        <v>300</v>
      </c>
      <c r="B23" s="161" t="s">
        <v>292</v>
      </c>
      <c r="C23" s="162">
        <v>45279</v>
      </c>
      <c r="D23" s="158">
        <v>74.992649984999986</v>
      </c>
      <c r="E23" s="153"/>
      <c r="F23" s="153"/>
      <c r="G23" s="153"/>
      <c r="H23" s="153"/>
      <c r="I23" s="154"/>
      <c r="J23" s="153"/>
      <c r="K23" s="152"/>
    </row>
    <row r="24" spans="1:11" x14ac:dyDescent="0.2">
      <c r="A24" s="114" t="s">
        <v>302</v>
      </c>
      <c r="B24" s="144" t="s">
        <v>292</v>
      </c>
      <c r="C24" s="157">
        <v>45645</v>
      </c>
      <c r="D24" s="163">
        <v>75.003900007500008</v>
      </c>
      <c r="E24" s="153"/>
      <c r="F24" s="153"/>
      <c r="G24" s="153"/>
      <c r="H24" s="153"/>
      <c r="I24" s="154"/>
      <c r="J24" s="153"/>
      <c r="K24" s="152"/>
    </row>
    <row r="25" spans="1:11" x14ac:dyDescent="0.2">
      <c r="A25" s="160" t="s">
        <v>301</v>
      </c>
      <c r="B25" s="161" t="s">
        <v>292</v>
      </c>
      <c r="C25" s="162">
        <v>46010</v>
      </c>
      <c r="D25" s="158">
        <v>75.003900007500008</v>
      </c>
      <c r="E25" s="153"/>
      <c r="F25" s="153"/>
      <c r="G25" s="153"/>
      <c r="H25" s="153"/>
      <c r="I25" s="154"/>
      <c r="J25" s="153"/>
      <c r="K25" s="152"/>
    </row>
    <row r="26" spans="1:11" x14ac:dyDescent="0.2">
      <c r="A26" s="117" t="s">
        <v>296</v>
      </c>
      <c r="B26" s="144" t="s">
        <v>294</v>
      </c>
      <c r="C26" s="157">
        <v>46980</v>
      </c>
      <c r="D26" s="163">
        <v>551.94991304953498</v>
      </c>
      <c r="E26" s="153"/>
      <c r="F26" s="153"/>
      <c r="G26" s="153"/>
      <c r="H26" s="153"/>
      <c r="I26" s="154"/>
      <c r="J26" s="153"/>
      <c r="K26" s="152"/>
    </row>
    <row r="27" spans="1:11" x14ac:dyDescent="0.2">
      <c r="A27" s="115" t="s">
        <v>297</v>
      </c>
      <c r="B27" s="146" t="s">
        <v>294</v>
      </c>
      <c r="C27" s="156">
        <v>47345</v>
      </c>
      <c r="D27" s="158">
        <v>551.95074097523252</v>
      </c>
      <c r="E27" s="153"/>
      <c r="F27" s="153"/>
      <c r="G27" s="153"/>
      <c r="H27" s="153"/>
      <c r="I27" s="154"/>
      <c r="J27" s="153"/>
      <c r="K27" s="152"/>
    </row>
    <row r="28" spans="1:11" ht="12.75" thickBot="1" x14ac:dyDescent="0.25">
      <c r="A28" s="117" t="s">
        <v>298</v>
      </c>
      <c r="B28" s="144" t="s">
        <v>294</v>
      </c>
      <c r="C28" s="157">
        <v>47710</v>
      </c>
      <c r="D28" s="163">
        <v>551.95074097523252</v>
      </c>
      <c r="E28" s="153"/>
      <c r="F28" s="153"/>
      <c r="G28" s="153"/>
      <c r="H28" s="153"/>
      <c r="I28" s="154"/>
      <c r="J28" s="153"/>
      <c r="K28" s="152"/>
    </row>
    <row r="29" spans="1:11" ht="12.75" thickBot="1" x14ac:dyDescent="0.25">
      <c r="A29" s="116" t="s">
        <v>106</v>
      </c>
      <c r="B29" s="119" t="s">
        <v>137</v>
      </c>
      <c r="C29" s="119" t="s">
        <v>137</v>
      </c>
      <c r="D29" s="159">
        <f>SUM(D22:D28)</f>
        <v>1955.851995</v>
      </c>
      <c r="E29" s="155"/>
      <c r="F29" s="166"/>
      <c r="G29" s="155"/>
      <c r="H29" s="155"/>
      <c r="I29" s="155"/>
      <c r="J29" s="155"/>
      <c r="K29" s="152"/>
    </row>
    <row r="30" spans="1:11" x14ac:dyDescent="0.2">
      <c r="A30" s="165"/>
      <c r="D30" s="167"/>
      <c r="E30" s="152"/>
      <c r="F30" s="152"/>
      <c r="G30" s="152"/>
      <c r="H30" s="152"/>
      <c r="I30" s="152"/>
      <c r="J30" s="152"/>
      <c r="K30" s="152"/>
    </row>
    <row r="31" spans="1:11" x14ac:dyDescent="0.2">
      <c r="D31" s="152"/>
      <c r="E31" s="152"/>
      <c r="F31" s="152"/>
      <c r="G31" s="152"/>
      <c r="H31" s="152"/>
      <c r="I31" s="152"/>
      <c r="J31" s="152"/>
      <c r="K31" s="152"/>
    </row>
  </sheetData>
  <mergeCells count="1">
    <mergeCell ref="B1:I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I7 F7:G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ED79C-1A15-46A3-BB39-0A15DF9256B0}">
  <sheetPr codeName="Planilha6"/>
  <dimension ref="A1:AA24"/>
  <sheetViews>
    <sheetView showGridLines="0" zoomScale="85" zoomScaleNormal="85" workbookViewId="0">
      <pane xSplit="1" ySplit="1" topLeftCell="B2" activePane="bottomRight" state="frozen"/>
      <selection activeCell="M14" sqref="M13:M14"/>
      <selection pane="topRight" activeCell="M14" sqref="M13:M14"/>
      <selection pane="bottomLeft" activeCell="M14" sqref="M13:M14"/>
      <selection pane="bottomRight" activeCell="I27" sqref="I27"/>
    </sheetView>
  </sheetViews>
  <sheetFormatPr defaultColWidth="9.140625" defaultRowHeight="14.25" x14ac:dyDescent="0.2"/>
  <cols>
    <col min="1" max="1" width="37.7109375" style="4" customWidth="1"/>
    <col min="2" max="2" width="19.5703125" style="4" customWidth="1"/>
    <col min="3" max="6" width="16.7109375" style="4" customWidth="1"/>
    <col min="7" max="7" width="25" style="4" customWidth="1"/>
    <col min="8" max="17" width="11.28515625" style="4" customWidth="1"/>
    <col min="18" max="16384" width="9.140625" style="4"/>
  </cols>
  <sheetData>
    <row r="1" spans="1:27" s="9" customFormat="1" ht="54.75" customHeight="1" x14ac:dyDescent="0.2">
      <c r="A1" s="8"/>
      <c r="B1" s="278" t="s">
        <v>171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</row>
    <row r="2" spans="1:27" s="9" customFormat="1" ht="8.25" customHeight="1" x14ac:dyDescent="0.2"/>
    <row r="3" spans="1:27" s="11" customFormat="1" ht="27" x14ac:dyDescent="0.25">
      <c r="A3" s="214" t="s">
        <v>107</v>
      </c>
      <c r="B3" s="223" t="s">
        <v>319</v>
      </c>
      <c r="C3" s="223" t="s">
        <v>108</v>
      </c>
      <c r="D3" s="223" t="s">
        <v>109</v>
      </c>
      <c r="E3" s="223" t="s">
        <v>110</v>
      </c>
      <c r="F3" s="223" t="s">
        <v>111</v>
      </c>
      <c r="G3" s="223" t="s">
        <v>112</v>
      </c>
      <c r="H3" s="223" t="s">
        <v>141</v>
      </c>
      <c r="I3" s="215"/>
      <c r="J3" s="215"/>
      <c r="K3" s="215"/>
      <c r="L3" s="215"/>
      <c r="M3" s="215"/>
      <c r="N3" s="215"/>
      <c r="O3" s="215"/>
      <c r="P3" s="215"/>
      <c r="Q3" s="255"/>
    </row>
    <row r="4" spans="1:27" s="183" customFormat="1" ht="12.75" x14ac:dyDescent="0.25">
      <c r="A4" s="196" t="s">
        <v>113</v>
      </c>
      <c r="B4" s="217">
        <v>2040</v>
      </c>
      <c r="C4" s="270">
        <v>57083</v>
      </c>
      <c r="D4" s="219">
        <v>10.199999999999999</v>
      </c>
      <c r="E4" s="183">
        <v>14</v>
      </c>
      <c r="F4" s="183">
        <v>1999</v>
      </c>
      <c r="G4" s="183" t="s">
        <v>143</v>
      </c>
      <c r="H4" s="183" t="s">
        <v>335</v>
      </c>
      <c r="Q4" s="190"/>
    </row>
    <row r="5" spans="1:27" s="222" customFormat="1" ht="12.75" x14ac:dyDescent="0.25">
      <c r="A5" s="202" t="s">
        <v>114</v>
      </c>
      <c r="B5" s="220">
        <v>177</v>
      </c>
      <c r="C5" s="269">
        <v>44715</v>
      </c>
      <c r="D5" s="221">
        <v>2.4</v>
      </c>
      <c r="E5" s="220">
        <v>2</v>
      </c>
      <c r="F5" s="185">
        <v>1978</v>
      </c>
      <c r="G5" s="181" t="s">
        <v>144</v>
      </c>
      <c r="H5" s="181" t="s">
        <v>334</v>
      </c>
      <c r="I5" s="220"/>
      <c r="J5" s="220"/>
      <c r="K5" s="220"/>
      <c r="L5" s="220"/>
      <c r="M5" s="220"/>
      <c r="N5" s="220"/>
      <c r="O5" s="220"/>
      <c r="P5" s="220"/>
      <c r="Q5" s="256"/>
    </row>
    <row r="6" spans="1:27" s="222" customFormat="1" ht="12.75" x14ac:dyDescent="0.25">
      <c r="A6" s="196" t="s">
        <v>115</v>
      </c>
      <c r="B6" s="217">
        <v>56</v>
      </c>
      <c r="C6" s="218">
        <v>44196</v>
      </c>
      <c r="D6" s="219">
        <v>1</v>
      </c>
      <c r="E6" s="217">
        <v>2</v>
      </c>
      <c r="F6" s="183">
        <v>1972</v>
      </c>
      <c r="G6" s="183" t="s">
        <v>145</v>
      </c>
      <c r="H6" s="183" t="s">
        <v>142</v>
      </c>
      <c r="I6" s="217"/>
      <c r="J6" s="217"/>
      <c r="K6" s="217"/>
      <c r="L6" s="217"/>
      <c r="M6" s="217"/>
      <c r="N6" s="217"/>
      <c r="O6" s="217"/>
      <c r="P6" s="217"/>
      <c r="Q6" s="256"/>
    </row>
    <row r="7" spans="1:27" s="11" customFormat="1" ht="12.75" x14ac:dyDescent="0.25">
      <c r="A7" s="12"/>
      <c r="B7" s="13"/>
      <c r="C7" s="14"/>
      <c r="D7" s="216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55"/>
    </row>
    <row r="8" spans="1:27" s="11" customFormat="1" ht="21.95" customHeight="1" thickBot="1" x14ac:dyDescent="0.3">
      <c r="A8" s="5" t="s">
        <v>148</v>
      </c>
      <c r="B8" s="7" t="s">
        <v>124</v>
      </c>
      <c r="C8" s="7" t="s">
        <v>125</v>
      </c>
      <c r="D8" s="7" t="s">
        <v>126</v>
      </c>
      <c r="E8" s="7" t="s">
        <v>127</v>
      </c>
      <c r="F8" s="7" t="s">
        <v>2</v>
      </c>
      <c r="G8" s="7" t="s">
        <v>3</v>
      </c>
      <c r="H8" s="7" t="s">
        <v>4</v>
      </c>
      <c r="I8" s="7" t="s">
        <v>5</v>
      </c>
      <c r="J8" s="7" t="s">
        <v>6</v>
      </c>
      <c r="K8" s="7" t="s">
        <v>7</v>
      </c>
      <c r="L8" s="7" t="s">
        <v>8</v>
      </c>
      <c r="M8" s="7" t="s">
        <v>9</v>
      </c>
      <c r="N8" s="7" t="s">
        <v>133</v>
      </c>
      <c r="O8" s="7" t="s">
        <v>151</v>
      </c>
      <c r="P8" s="7" t="s">
        <v>152</v>
      </c>
      <c r="Q8" s="36"/>
    </row>
    <row r="9" spans="1:27" s="15" customFormat="1" ht="12.75" x14ac:dyDescent="0.2">
      <c r="A9" s="195" t="s">
        <v>128</v>
      </c>
      <c r="B9" s="224"/>
      <c r="C9" s="224"/>
      <c r="D9" s="224"/>
      <c r="E9" s="224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</row>
    <row r="10" spans="1:27" s="222" customFormat="1" ht="12.75" x14ac:dyDescent="0.25">
      <c r="A10" s="196" t="s">
        <v>113</v>
      </c>
      <c r="B10" s="226">
        <v>1540</v>
      </c>
      <c r="C10" s="226">
        <v>1540</v>
      </c>
      <c r="D10" s="226">
        <v>1540</v>
      </c>
      <c r="E10" s="226">
        <v>1540</v>
      </c>
      <c r="F10" s="226">
        <v>1540</v>
      </c>
      <c r="G10" s="226">
        <v>1540</v>
      </c>
      <c r="H10" s="226">
        <v>1540</v>
      </c>
      <c r="I10" s="226">
        <v>1540</v>
      </c>
      <c r="J10" s="226">
        <v>1540</v>
      </c>
      <c r="K10" s="226">
        <v>1540</v>
      </c>
      <c r="L10" s="226">
        <v>1540</v>
      </c>
      <c r="M10" s="226">
        <v>1540</v>
      </c>
      <c r="N10" s="226">
        <f>M10</f>
        <v>1540</v>
      </c>
      <c r="O10" s="226">
        <f>M10</f>
        <v>1540</v>
      </c>
      <c r="P10" s="226">
        <f>N10</f>
        <v>1540</v>
      </c>
    </row>
    <row r="11" spans="1:27" s="222" customFormat="1" ht="12.75" x14ac:dyDescent="0.25">
      <c r="A11" s="202" t="s">
        <v>114</v>
      </c>
      <c r="B11" s="224">
        <v>87</v>
      </c>
      <c r="C11" s="224">
        <v>87</v>
      </c>
      <c r="D11" s="224">
        <v>87</v>
      </c>
      <c r="E11" s="224">
        <v>87</v>
      </c>
      <c r="F11" s="224">
        <v>87</v>
      </c>
      <c r="G11" s="224">
        <v>87</v>
      </c>
      <c r="H11" s="224">
        <v>87</v>
      </c>
      <c r="I11" s="224">
        <v>87</v>
      </c>
      <c r="J11" s="224">
        <v>87</v>
      </c>
      <c r="K11" s="224">
        <v>87</v>
      </c>
      <c r="L11" s="224">
        <v>87</v>
      </c>
      <c r="M11" s="224">
        <v>87</v>
      </c>
      <c r="N11" s="224">
        <f>M11</f>
        <v>87</v>
      </c>
      <c r="O11" s="224">
        <f>M11</f>
        <v>87</v>
      </c>
      <c r="P11" s="224">
        <f>N11</f>
        <v>87</v>
      </c>
    </row>
    <row r="12" spans="1:27" s="222" customFormat="1" ht="12.75" x14ac:dyDescent="0.25">
      <c r="A12" s="196" t="s">
        <v>115</v>
      </c>
      <c r="B12" s="226">
        <v>28</v>
      </c>
      <c r="C12" s="226">
        <v>28</v>
      </c>
      <c r="D12" s="226">
        <v>28</v>
      </c>
      <c r="E12" s="226">
        <v>28</v>
      </c>
      <c r="F12" s="226">
        <v>28</v>
      </c>
      <c r="G12" s="226">
        <v>28</v>
      </c>
      <c r="H12" s="226">
        <v>28</v>
      </c>
      <c r="I12" s="226">
        <v>28</v>
      </c>
      <c r="J12" s="226">
        <v>28</v>
      </c>
      <c r="K12" s="226">
        <v>28</v>
      </c>
      <c r="L12" s="226">
        <v>28</v>
      </c>
      <c r="M12" s="226">
        <v>28</v>
      </c>
      <c r="N12" s="204" t="s">
        <v>137</v>
      </c>
      <c r="O12" s="204" t="s">
        <v>137</v>
      </c>
      <c r="P12" s="204" t="s">
        <v>137</v>
      </c>
    </row>
    <row r="13" spans="1:27" s="222" customFormat="1" ht="12.75" x14ac:dyDescent="0.25">
      <c r="A13" s="195" t="s">
        <v>129</v>
      </c>
      <c r="B13" s="224"/>
      <c r="C13" s="224"/>
      <c r="D13" s="224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</row>
    <row r="14" spans="1:27" s="222" customFormat="1" ht="12.75" x14ac:dyDescent="0.25">
      <c r="A14" s="196" t="s">
        <v>113</v>
      </c>
      <c r="B14" s="226">
        <v>941.8</v>
      </c>
      <c r="C14" s="226">
        <v>941.8</v>
      </c>
      <c r="D14" s="204">
        <v>887</v>
      </c>
      <c r="E14" s="204">
        <v>887</v>
      </c>
      <c r="F14" s="204">
        <v>887</v>
      </c>
      <c r="G14" s="204">
        <v>887</v>
      </c>
      <c r="H14" s="204">
        <v>887</v>
      </c>
      <c r="I14" s="204">
        <v>887</v>
      </c>
      <c r="J14" s="204">
        <v>887</v>
      </c>
      <c r="K14" s="204">
        <v>887</v>
      </c>
      <c r="L14" s="204">
        <v>887</v>
      </c>
      <c r="M14" s="204">
        <v>887</v>
      </c>
      <c r="N14" s="204">
        <f>M14</f>
        <v>887</v>
      </c>
      <c r="O14" s="204">
        <f>M14</f>
        <v>887</v>
      </c>
      <c r="P14" s="204">
        <f>N14</f>
        <v>887</v>
      </c>
    </row>
    <row r="15" spans="1:27" s="222" customFormat="1" ht="12.75" x14ac:dyDescent="0.25">
      <c r="A15" s="202" t="s">
        <v>114</v>
      </c>
      <c r="B15" s="224">
        <v>48</v>
      </c>
      <c r="C15" s="224">
        <v>48</v>
      </c>
      <c r="D15" s="225">
        <v>48</v>
      </c>
      <c r="E15" s="225">
        <v>48</v>
      </c>
      <c r="F15" s="225">
        <v>48</v>
      </c>
      <c r="G15" s="225">
        <v>48</v>
      </c>
      <c r="H15" s="225">
        <v>48</v>
      </c>
      <c r="I15" s="225">
        <v>48</v>
      </c>
      <c r="J15" s="225">
        <v>48</v>
      </c>
      <c r="K15" s="225">
        <v>48</v>
      </c>
      <c r="L15" s="225">
        <v>48</v>
      </c>
      <c r="M15" s="225">
        <v>48</v>
      </c>
      <c r="N15" s="225">
        <f>M15</f>
        <v>48</v>
      </c>
      <c r="O15" s="225">
        <f>M15</f>
        <v>48</v>
      </c>
      <c r="P15" s="225">
        <f>N15</f>
        <v>48</v>
      </c>
    </row>
    <row r="16" spans="1:27" s="222" customFormat="1" ht="12.75" x14ac:dyDescent="0.25">
      <c r="A16" s="196" t="s">
        <v>115</v>
      </c>
      <c r="B16" s="204">
        <v>13</v>
      </c>
      <c r="C16" s="204">
        <v>13</v>
      </c>
      <c r="D16" s="204">
        <v>13</v>
      </c>
      <c r="E16" s="204">
        <v>13</v>
      </c>
      <c r="F16" s="204">
        <v>13</v>
      </c>
      <c r="G16" s="204">
        <v>13</v>
      </c>
      <c r="H16" s="204">
        <v>13</v>
      </c>
      <c r="I16" s="204">
        <v>13</v>
      </c>
      <c r="J16" s="204">
        <v>13</v>
      </c>
      <c r="K16" s="204">
        <v>13</v>
      </c>
      <c r="L16" s="204">
        <v>13</v>
      </c>
      <c r="M16" s="204">
        <v>13</v>
      </c>
      <c r="N16" s="204" t="s">
        <v>137</v>
      </c>
      <c r="O16" s="204" t="s">
        <v>137</v>
      </c>
      <c r="P16" s="204" t="s">
        <v>137</v>
      </c>
    </row>
    <row r="17" spans="1:16" s="15" customFormat="1" ht="12.75" x14ac:dyDescent="0.2">
      <c r="A17" s="227" t="s">
        <v>130</v>
      </c>
      <c r="B17" s="228">
        <v>0.93700000000000006</v>
      </c>
      <c r="C17" s="228">
        <v>0.93799999999999994</v>
      </c>
      <c r="D17" s="228">
        <v>0.93700000000000006</v>
      </c>
      <c r="E17" s="228">
        <v>0.93700000000000006</v>
      </c>
      <c r="F17" s="228">
        <v>0.93799999999999994</v>
      </c>
      <c r="G17" s="228">
        <v>0.93899999999999995</v>
      </c>
      <c r="H17" s="228">
        <v>0.94</v>
      </c>
      <c r="I17" s="228">
        <v>0.93899999999999995</v>
      </c>
      <c r="J17" s="228">
        <v>0.94099999999999995</v>
      </c>
      <c r="K17" s="228">
        <v>0.94499999999999995</v>
      </c>
      <c r="L17" s="228">
        <v>0.95</v>
      </c>
      <c r="M17" s="228">
        <v>0.95699999999999996</v>
      </c>
      <c r="N17" s="228">
        <v>0.95799999999999996</v>
      </c>
      <c r="O17" s="228">
        <v>0.95899999999999996</v>
      </c>
      <c r="P17" s="228">
        <v>0.95599999999999996</v>
      </c>
    </row>
    <row r="18" spans="1:16" s="9" customFormat="1" ht="12.75" x14ac:dyDescent="0.2"/>
    <row r="19" spans="1:16" s="11" customFormat="1" ht="21.95" customHeight="1" thickBot="1" x14ac:dyDescent="0.3">
      <c r="A19" s="5" t="s">
        <v>149</v>
      </c>
      <c r="B19" s="7" t="s">
        <v>124</v>
      </c>
      <c r="C19" s="7" t="s">
        <v>125</v>
      </c>
      <c r="D19" s="7" t="s">
        <v>126</v>
      </c>
      <c r="E19" s="7" t="s">
        <v>127</v>
      </c>
      <c r="F19" s="7" t="s">
        <v>2</v>
      </c>
      <c r="G19" s="7" t="s">
        <v>3</v>
      </c>
      <c r="H19" s="7" t="s">
        <v>4</v>
      </c>
      <c r="I19" s="7" t="s">
        <v>5</v>
      </c>
      <c r="J19" s="7" t="s">
        <v>6</v>
      </c>
      <c r="K19" s="7" t="s">
        <v>7</v>
      </c>
      <c r="L19" s="7" t="s">
        <v>8</v>
      </c>
      <c r="M19" s="7" t="s">
        <v>9</v>
      </c>
      <c r="N19" s="7" t="s">
        <v>133</v>
      </c>
      <c r="O19" s="7" t="s">
        <v>151</v>
      </c>
      <c r="P19" s="7" t="s">
        <v>152</v>
      </c>
    </row>
    <row r="20" spans="1:16" s="222" customFormat="1" ht="12.75" x14ac:dyDescent="0.25">
      <c r="A20" s="196" t="s">
        <v>113</v>
      </c>
      <c r="B20" s="226">
        <v>1129</v>
      </c>
      <c r="C20" s="226">
        <v>938</v>
      </c>
      <c r="D20" s="226">
        <v>925</v>
      </c>
      <c r="E20" s="226">
        <v>1068</v>
      </c>
      <c r="F20" s="226">
        <v>1065</v>
      </c>
      <c r="G20" s="226">
        <v>920</v>
      </c>
      <c r="H20" s="226">
        <v>942</v>
      </c>
      <c r="I20" s="226">
        <v>1020</v>
      </c>
      <c r="J20" s="226">
        <v>1093</v>
      </c>
      <c r="K20" s="226">
        <v>923</v>
      </c>
      <c r="L20" s="226">
        <v>958</v>
      </c>
      <c r="M20" s="226">
        <v>965</v>
      </c>
      <c r="N20" s="226">
        <v>867</v>
      </c>
      <c r="O20" s="226">
        <v>726</v>
      </c>
      <c r="P20" s="226">
        <v>683</v>
      </c>
    </row>
    <row r="21" spans="1:16" s="222" customFormat="1" ht="12.75" x14ac:dyDescent="0.25">
      <c r="A21" s="202" t="s">
        <v>114</v>
      </c>
      <c r="B21" s="224">
        <v>23</v>
      </c>
      <c r="C21" s="224">
        <v>38</v>
      </c>
      <c r="D21" s="224">
        <v>63</v>
      </c>
      <c r="E21" s="224">
        <v>31</v>
      </c>
      <c r="F21" s="224">
        <v>11</v>
      </c>
      <c r="G21" s="224">
        <v>26</v>
      </c>
      <c r="H21" s="224">
        <v>57</v>
      </c>
      <c r="I21" s="224">
        <v>50</v>
      </c>
      <c r="J21" s="224">
        <v>11</v>
      </c>
      <c r="K21" s="224">
        <v>34</v>
      </c>
      <c r="L21" s="224">
        <v>61</v>
      </c>
      <c r="M21" s="224">
        <v>46</v>
      </c>
      <c r="N21" s="224">
        <v>3</v>
      </c>
      <c r="O21" s="224">
        <v>42</v>
      </c>
      <c r="P21" s="224">
        <v>67</v>
      </c>
    </row>
    <row r="22" spans="1:16" s="222" customFormat="1" ht="12.75" x14ac:dyDescent="0.25">
      <c r="A22" s="196" t="s">
        <v>115</v>
      </c>
      <c r="B22" s="226">
        <v>3</v>
      </c>
      <c r="C22" s="226">
        <v>9</v>
      </c>
      <c r="D22" s="226">
        <v>9</v>
      </c>
      <c r="E22" s="226">
        <v>2</v>
      </c>
      <c r="F22" s="226">
        <v>1</v>
      </c>
      <c r="G22" s="226">
        <v>3</v>
      </c>
      <c r="H22" s="226">
        <v>14</v>
      </c>
      <c r="I22" s="226">
        <v>4</v>
      </c>
      <c r="J22" s="226">
        <v>1</v>
      </c>
      <c r="K22" s="226">
        <v>9</v>
      </c>
      <c r="L22" s="226">
        <v>21</v>
      </c>
      <c r="M22" s="226">
        <v>5</v>
      </c>
      <c r="N22" s="204">
        <v>0</v>
      </c>
      <c r="O22" s="204">
        <v>0</v>
      </c>
      <c r="P22" s="204">
        <v>0</v>
      </c>
    </row>
    <row r="23" spans="1:16" s="203" customFormat="1" ht="12.75" x14ac:dyDescent="0.25">
      <c r="A23" s="229" t="s">
        <v>106</v>
      </c>
      <c r="B23" s="230">
        <f>SUM(B20:B22)</f>
        <v>1155</v>
      </c>
      <c r="C23" s="230">
        <f t="shared" ref="C23:E23" si="0">SUM(C20:C22)</f>
        <v>985</v>
      </c>
      <c r="D23" s="230">
        <f t="shared" si="0"/>
        <v>997</v>
      </c>
      <c r="E23" s="230">
        <f t="shared" si="0"/>
        <v>1101</v>
      </c>
      <c r="F23" s="230">
        <f t="shared" ref="F23:P23" si="1">SUM(F20:F22)</f>
        <v>1077</v>
      </c>
      <c r="G23" s="230">
        <f t="shared" si="1"/>
        <v>949</v>
      </c>
      <c r="H23" s="230">
        <f t="shared" si="1"/>
        <v>1013</v>
      </c>
      <c r="I23" s="230">
        <f t="shared" si="1"/>
        <v>1074</v>
      </c>
      <c r="J23" s="230">
        <f t="shared" si="1"/>
        <v>1105</v>
      </c>
      <c r="K23" s="230">
        <f t="shared" si="1"/>
        <v>966</v>
      </c>
      <c r="L23" s="230">
        <f t="shared" si="1"/>
        <v>1040</v>
      </c>
      <c r="M23" s="230">
        <f t="shared" si="1"/>
        <v>1016</v>
      </c>
      <c r="N23" s="230">
        <f t="shared" si="1"/>
        <v>870</v>
      </c>
      <c r="O23" s="230">
        <f t="shared" ref="O23" si="2">SUM(O20:O22)</f>
        <v>768</v>
      </c>
      <c r="P23" s="230">
        <f t="shared" si="1"/>
        <v>750</v>
      </c>
    </row>
    <row r="24" spans="1:16" s="231" customFormat="1" x14ac:dyDescent="0.2"/>
  </sheetData>
  <mergeCells count="1">
    <mergeCell ref="B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A16A7-88E9-4CD8-BCEF-3D73604E180A}">
  <sheetPr codeName="Planilha7"/>
  <dimension ref="A1:AC56"/>
  <sheetViews>
    <sheetView showGridLines="0" zoomScale="85" zoomScaleNormal="85" workbookViewId="0">
      <pane xSplit="1" ySplit="1" topLeftCell="J2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AB14" sqref="AB14"/>
    </sheetView>
  </sheetViews>
  <sheetFormatPr defaultColWidth="9.140625" defaultRowHeight="12.75" x14ac:dyDescent="0.2"/>
  <cols>
    <col min="1" max="1" width="37.7109375" style="9" customWidth="1"/>
    <col min="2" max="17" width="11.28515625" style="9" customWidth="1"/>
    <col min="18" max="26" width="9.7109375" style="9" bestFit="1" customWidth="1"/>
    <col min="27" max="16384" width="9.140625" style="9"/>
  </cols>
  <sheetData>
    <row r="1" spans="1:27" ht="54.75" customHeight="1" x14ac:dyDescent="0.2">
      <c r="A1" s="8"/>
      <c r="B1" s="278" t="s">
        <v>169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0" customFormat="1" ht="10.5" customHeight="1" x14ac:dyDescent="0.2"/>
    <row r="3" spans="1:27" s="11" customFormat="1" ht="13.5" thickBot="1" x14ac:dyDescent="0.3">
      <c r="A3" s="5" t="s">
        <v>116</v>
      </c>
      <c r="B3" s="6">
        <v>43831</v>
      </c>
      <c r="C3" s="6">
        <v>43862</v>
      </c>
      <c r="D3" s="6">
        <v>43891</v>
      </c>
      <c r="E3" s="6">
        <v>43922</v>
      </c>
      <c r="F3" s="6">
        <v>43952</v>
      </c>
      <c r="G3" s="6">
        <v>43983</v>
      </c>
      <c r="H3" s="6">
        <v>44013</v>
      </c>
      <c r="I3" s="6">
        <v>44044</v>
      </c>
      <c r="J3" s="6">
        <v>44075</v>
      </c>
      <c r="K3" s="6">
        <v>44105</v>
      </c>
      <c r="L3" s="6">
        <v>44136</v>
      </c>
      <c r="M3" s="6">
        <v>44166</v>
      </c>
      <c r="N3" s="30">
        <v>2020</v>
      </c>
      <c r="O3" s="6">
        <v>44197</v>
      </c>
      <c r="P3" s="6">
        <v>44228</v>
      </c>
      <c r="Q3" s="6">
        <v>44256</v>
      </c>
      <c r="R3" s="6">
        <v>44287</v>
      </c>
      <c r="S3" s="6">
        <v>44317</v>
      </c>
      <c r="T3" s="6">
        <v>44348</v>
      </c>
      <c r="U3" s="6">
        <v>44378</v>
      </c>
      <c r="V3" s="6">
        <v>44409</v>
      </c>
      <c r="W3" s="6">
        <v>44440</v>
      </c>
      <c r="X3" s="6">
        <v>44470</v>
      </c>
      <c r="Y3" s="6">
        <v>44501</v>
      </c>
      <c r="Z3" s="6">
        <v>44531</v>
      </c>
      <c r="AA3" s="30" t="s">
        <v>165</v>
      </c>
    </row>
    <row r="4" spans="1:27" s="222" customFormat="1" x14ac:dyDescent="0.25">
      <c r="A4" s="232" t="s">
        <v>117</v>
      </c>
      <c r="B4" s="233">
        <f t="shared" ref="B4:N4" si="0">B21</f>
        <v>0.86</v>
      </c>
      <c r="C4" s="233">
        <f t="shared" si="0"/>
        <v>1.05</v>
      </c>
      <c r="D4" s="233">
        <f t="shared" si="0"/>
        <v>1.24</v>
      </c>
      <c r="E4" s="233">
        <f t="shared" si="0"/>
        <v>1.04</v>
      </c>
      <c r="F4" s="233">
        <f t="shared" si="0"/>
        <v>0.96</v>
      </c>
      <c r="G4" s="233">
        <f t="shared" si="0"/>
        <v>0.76</v>
      </c>
      <c r="H4" s="233">
        <f t="shared" si="0"/>
        <v>0.69</v>
      </c>
      <c r="I4" s="233">
        <f t="shared" si="0"/>
        <v>0.63</v>
      </c>
      <c r="J4" s="233">
        <f t="shared" si="0"/>
        <v>0.66</v>
      </c>
      <c r="K4" s="233">
        <f t="shared" si="0"/>
        <v>0.64</v>
      </c>
      <c r="L4" s="233">
        <f t="shared" si="0"/>
        <v>0.63</v>
      </c>
      <c r="M4" s="233">
        <f t="shared" si="0"/>
        <v>0.8</v>
      </c>
      <c r="N4" s="234">
        <f t="shared" si="0"/>
        <v>0.81048673376029268</v>
      </c>
      <c r="O4" s="233">
        <f>O21</f>
        <v>0.67295971048678083</v>
      </c>
      <c r="P4" s="233">
        <f t="shared" ref="P4:AA4" si="1">P21</f>
        <v>0.87083427945081926</v>
      </c>
      <c r="Q4" s="233">
        <f t="shared" si="1"/>
        <v>1.114576059248215</v>
      </c>
      <c r="R4" s="233">
        <f t="shared" si="1"/>
        <v>1.1894864175939341</v>
      </c>
      <c r="S4" s="233">
        <f t="shared" si="1"/>
        <v>1.1115362796589328</v>
      </c>
      <c r="T4" s="233">
        <f t="shared" si="1"/>
        <v>0.70066085075216344</v>
      </c>
      <c r="U4" s="233">
        <f t="shared" si="1"/>
        <v>0.53767935148145996</v>
      </c>
      <c r="V4" s="233">
        <f t="shared" si="1"/>
        <v>0.48337639667301913</v>
      </c>
      <c r="W4" s="233">
        <f t="shared" si="1"/>
        <v>0.51300000000000001</v>
      </c>
      <c r="X4" s="233">
        <f t="shared" si="1"/>
        <v>0.51700000000000013</v>
      </c>
      <c r="Y4" s="233">
        <f t="shared" si="1"/>
        <v>0.6</v>
      </c>
      <c r="Z4" s="233">
        <f t="shared" si="1"/>
        <v>0.999</v>
      </c>
      <c r="AA4" s="234">
        <f t="shared" si="1"/>
        <v>0.73493468576584853</v>
      </c>
    </row>
    <row r="5" spans="1:27" s="222" customFormat="1" x14ac:dyDescent="0.25">
      <c r="A5" s="196" t="s">
        <v>118</v>
      </c>
      <c r="B5" s="226">
        <f t="shared" ref="B5:N5" si="2">B15</f>
        <v>998</v>
      </c>
      <c r="C5" s="226">
        <f t="shared" si="2"/>
        <v>895</v>
      </c>
      <c r="D5" s="226">
        <f t="shared" si="2"/>
        <v>746</v>
      </c>
      <c r="E5" s="226">
        <f t="shared" si="2"/>
        <v>729</v>
      </c>
      <c r="F5" s="226">
        <f t="shared" si="2"/>
        <v>751</v>
      </c>
      <c r="G5" s="226">
        <f t="shared" si="2"/>
        <v>865</v>
      </c>
      <c r="H5" s="226">
        <f t="shared" si="2"/>
        <v>956</v>
      </c>
      <c r="I5" s="226">
        <f t="shared" si="2"/>
        <v>1027</v>
      </c>
      <c r="J5" s="226">
        <f t="shared" si="2"/>
        <v>1061</v>
      </c>
      <c r="K5" s="226">
        <f t="shared" si="2"/>
        <v>1035</v>
      </c>
      <c r="L5" s="226">
        <f t="shared" si="2"/>
        <v>964</v>
      </c>
      <c r="M5" s="226">
        <f t="shared" si="2"/>
        <v>903</v>
      </c>
      <c r="N5" s="235">
        <f t="shared" si="2"/>
        <v>910.98633879781426</v>
      </c>
      <c r="O5" s="226">
        <f>O15</f>
        <v>1121.0004157688172</v>
      </c>
      <c r="P5" s="226">
        <f t="shared" ref="P5:AA5" si="3">P15</f>
        <v>906.35145667113102</v>
      </c>
      <c r="Q5" s="226">
        <f t="shared" si="3"/>
        <v>763.84576636559132</v>
      </c>
      <c r="R5" s="226">
        <f t="shared" si="3"/>
        <v>633.36119990972225</v>
      </c>
      <c r="S5" s="226">
        <f t="shared" si="3"/>
        <v>625.83728772446227</v>
      </c>
      <c r="T5" s="226">
        <f t="shared" si="3"/>
        <v>857.64701990416665</v>
      </c>
      <c r="U5" s="226">
        <f t="shared" si="3"/>
        <v>987.42964924731189</v>
      </c>
      <c r="V5" s="226">
        <f t="shared" si="3"/>
        <v>1049.1779952540323</v>
      </c>
      <c r="W5" s="226">
        <f t="shared" si="3"/>
        <v>1063.6674473308753</v>
      </c>
      <c r="X5" s="226">
        <f t="shared" si="3"/>
        <v>1045.6233711738207</v>
      </c>
      <c r="Y5" s="226">
        <f t="shared" si="3"/>
        <v>994.83482878314192</v>
      </c>
      <c r="Z5" s="226">
        <f t="shared" si="3"/>
        <v>829.36692658460402</v>
      </c>
      <c r="AA5" s="235">
        <f t="shared" si="3"/>
        <v>906.7229573707034</v>
      </c>
    </row>
    <row r="6" spans="1:27" s="222" customFormat="1" x14ac:dyDescent="0.25">
      <c r="A6" s="236" t="s">
        <v>119</v>
      </c>
      <c r="B6" s="224">
        <f t="shared" ref="B6:N6" si="4">B26</f>
        <v>887</v>
      </c>
      <c r="C6" s="224">
        <f t="shared" si="4"/>
        <v>950</v>
      </c>
      <c r="D6" s="224">
        <f t="shared" si="4"/>
        <v>932</v>
      </c>
      <c r="E6" s="224">
        <f t="shared" si="4"/>
        <v>812</v>
      </c>
      <c r="F6" s="224">
        <f t="shared" si="4"/>
        <v>783</v>
      </c>
      <c r="G6" s="224">
        <f t="shared" si="4"/>
        <v>725</v>
      </c>
      <c r="H6" s="224">
        <f t="shared" si="4"/>
        <v>715</v>
      </c>
      <c r="I6" s="224">
        <f t="shared" si="4"/>
        <v>703</v>
      </c>
      <c r="J6" s="224">
        <f t="shared" si="4"/>
        <v>746</v>
      </c>
      <c r="K6" s="224">
        <f t="shared" si="4"/>
        <v>715</v>
      </c>
      <c r="L6" s="224">
        <f t="shared" si="4"/>
        <v>675</v>
      </c>
      <c r="M6" s="224">
        <f t="shared" si="4"/>
        <v>778</v>
      </c>
      <c r="N6" s="237">
        <f t="shared" si="4"/>
        <v>784.68032786885249</v>
      </c>
      <c r="O6" s="224">
        <f>O26</f>
        <v>798</v>
      </c>
      <c r="P6" s="224">
        <f t="shared" ref="P6:AA6" si="5">P26</f>
        <v>809</v>
      </c>
      <c r="Q6" s="224">
        <f t="shared" si="5"/>
        <v>865</v>
      </c>
      <c r="R6" s="224">
        <f t="shared" si="5"/>
        <v>791</v>
      </c>
      <c r="S6" s="224">
        <f t="shared" si="5"/>
        <v>748</v>
      </c>
      <c r="T6" s="224">
        <f t="shared" si="5"/>
        <v>679</v>
      </c>
      <c r="U6" s="224">
        <f t="shared" si="5"/>
        <v>627</v>
      </c>
      <c r="V6" s="224">
        <f t="shared" si="5"/>
        <v>609</v>
      </c>
      <c r="W6" s="224">
        <f t="shared" si="5"/>
        <v>638</v>
      </c>
      <c r="X6" s="224">
        <f t="shared" si="5"/>
        <v>634</v>
      </c>
      <c r="Y6" s="224">
        <f t="shared" si="5"/>
        <v>676</v>
      </c>
      <c r="Z6" s="224">
        <f t="shared" si="5"/>
        <v>849</v>
      </c>
      <c r="AA6" s="237">
        <f t="shared" si="5"/>
        <v>726.58082191780818</v>
      </c>
    </row>
    <row r="7" spans="1:27" s="222" customFormat="1" x14ac:dyDescent="0.25">
      <c r="A7" s="200" t="s">
        <v>120</v>
      </c>
      <c r="B7" s="238">
        <f t="shared" ref="B7:N7" si="6">B5-B6</f>
        <v>111</v>
      </c>
      <c r="C7" s="238">
        <f t="shared" si="6"/>
        <v>-55</v>
      </c>
      <c r="D7" s="238">
        <f t="shared" si="6"/>
        <v>-186</v>
      </c>
      <c r="E7" s="238">
        <f t="shared" si="6"/>
        <v>-83</v>
      </c>
      <c r="F7" s="238">
        <f t="shared" si="6"/>
        <v>-32</v>
      </c>
      <c r="G7" s="238">
        <f t="shared" si="6"/>
        <v>140</v>
      </c>
      <c r="H7" s="238">
        <f t="shared" si="6"/>
        <v>241</v>
      </c>
      <c r="I7" s="238">
        <f t="shared" si="6"/>
        <v>324</v>
      </c>
      <c r="J7" s="238">
        <f t="shared" si="6"/>
        <v>315</v>
      </c>
      <c r="K7" s="238">
        <f t="shared" si="6"/>
        <v>320</v>
      </c>
      <c r="L7" s="238">
        <f t="shared" si="6"/>
        <v>289</v>
      </c>
      <c r="M7" s="238">
        <f t="shared" si="6"/>
        <v>125</v>
      </c>
      <c r="N7" s="239">
        <f t="shared" si="6"/>
        <v>126.30601092896177</v>
      </c>
      <c r="O7" s="238">
        <f>O5-O6</f>
        <v>323.00041576881722</v>
      </c>
      <c r="P7" s="238">
        <f t="shared" ref="P7:AA7" si="7">P5-P6</f>
        <v>97.351456671131018</v>
      </c>
      <c r="Q7" s="238">
        <f t="shared" si="7"/>
        <v>-101.15423363440868</v>
      </c>
      <c r="R7" s="238">
        <f t="shared" si="7"/>
        <v>-157.63880009027775</v>
      </c>
      <c r="S7" s="238">
        <f t="shared" si="7"/>
        <v>-122.16271227553773</v>
      </c>
      <c r="T7" s="238">
        <f t="shared" si="7"/>
        <v>178.64701990416665</v>
      </c>
      <c r="U7" s="238">
        <f t="shared" si="7"/>
        <v>360.42964924731189</v>
      </c>
      <c r="V7" s="238">
        <f t="shared" si="7"/>
        <v>440.17799525403234</v>
      </c>
      <c r="W7" s="238">
        <f t="shared" si="7"/>
        <v>425.66744733087535</v>
      </c>
      <c r="X7" s="238">
        <f t="shared" si="7"/>
        <v>411.62337117382071</v>
      </c>
      <c r="Y7" s="238">
        <f t="shared" si="7"/>
        <v>318.83482878314192</v>
      </c>
      <c r="Z7" s="238">
        <f t="shared" si="7"/>
        <v>-19.633073415395984</v>
      </c>
      <c r="AA7" s="239">
        <f t="shared" si="7"/>
        <v>180.14213545289522</v>
      </c>
    </row>
    <row r="8" spans="1:27" s="222" customFormat="1" x14ac:dyDescent="0.25">
      <c r="A8" s="236" t="s">
        <v>122</v>
      </c>
      <c r="B8" s="224">
        <f t="shared" ref="B8:N8" si="8">B32</f>
        <v>1090</v>
      </c>
      <c r="C8" s="224">
        <f t="shared" si="8"/>
        <v>1096</v>
      </c>
      <c r="D8" s="224">
        <f t="shared" si="8"/>
        <v>1102</v>
      </c>
      <c r="E8" s="224">
        <f t="shared" si="8"/>
        <v>1097</v>
      </c>
      <c r="F8" s="224">
        <f t="shared" si="8"/>
        <v>1151</v>
      </c>
      <c r="G8" s="224">
        <f t="shared" si="8"/>
        <v>1171</v>
      </c>
      <c r="H8" s="224">
        <f t="shared" si="8"/>
        <v>1177</v>
      </c>
      <c r="I8" s="224">
        <f t="shared" si="8"/>
        <v>1018</v>
      </c>
      <c r="J8" s="224">
        <f t="shared" si="8"/>
        <v>1045</v>
      </c>
      <c r="K8" s="224">
        <f t="shared" si="8"/>
        <v>1068</v>
      </c>
      <c r="L8" s="224">
        <f t="shared" si="8"/>
        <v>1067</v>
      </c>
      <c r="M8" s="224">
        <f t="shared" si="8"/>
        <v>1137</v>
      </c>
      <c r="N8" s="237">
        <f t="shared" si="8"/>
        <v>1101.6857923497269</v>
      </c>
      <c r="O8" s="224">
        <f>O32</f>
        <v>1200.4426801075269</v>
      </c>
      <c r="P8" s="224">
        <f t="shared" ref="P8:AA8" si="9">P32</f>
        <v>1152.1521830357142</v>
      </c>
      <c r="Q8" s="224">
        <f t="shared" si="9"/>
        <v>1207.5444959677418</v>
      </c>
      <c r="R8" s="224">
        <f t="shared" si="9"/>
        <v>1090.7320097222221</v>
      </c>
      <c r="S8" s="224">
        <f t="shared" si="9"/>
        <v>1036.9409758064514</v>
      </c>
      <c r="T8" s="224">
        <f t="shared" si="9"/>
        <v>1007.5013722222224</v>
      </c>
      <c r="U8" s="224">
        <f t="shared" si="9"/>
        <v>1073.1393091397847</v>
      </c>
      <c r="V8" s="224">
        <f t="shared" si="9"/>
        <v>1073.2796720430106</v>
      </c>
      <c r="W8" s="224">
        <f t="shared" si="9"/>
        <v>1089.5978416666667</v>
      </c>
      <c r="X8" s="224">
        <f t="shared" si="9"/>
        <v>1112</v>
      </c>
      <c r="Y8" s="224">
        <f t="shared" si="9"/>
        <v>1104</v>
      </c>
      <c r="Z8" s="224">
        <f t="shared" si="9"/>
        <v>1126</v>
      </c>
      <c r="AA8" s="237">
        <f t="shared" si="9"/>
        <v>1106.0957779680364</v>
      </c>
    </row>
    <row r="9" spans="1:27" s="222" customFormat="1" x14ac:dyDescent="0.25">
      <c r="A9" s="200" t="s">
        <v>121</v>
      </c>
      <c r="B9" s="238">
        <f t="shared" ref="B9:N9" si="10">B8-B6</f>
        <v>203</v>
      </c>
      <c r="C9" s="238">
        <f t="shared" si="10"/>
        <v>146</v>
      </c>
      <c r="D9" s="238">
        <f t="shared" si="10"/>
        <v>170</v>
      </c>
      <c r="E9" s="238">
        <f t="shared" si="10"/>
        <v>285</v>
      </c>
      <c r="F9" s="238">
        <f t="shared" si="10"/>
        <v>368</v>
      </c>
      <c r="G9" s="238">
        <f t="shared" si="10"/>
        <v>446</v>
      </c>
      <c r="H9" s="238">
        <f t="shared" si="10"/>
        <v>462</v>
      </c>
      <c r="I9" s="238">
        <f t="shared" si="10"/>
        <v>315</v>
      </c>
      <c r="J9" s="238">
        <f t="shared" si="10"/>
        <v>299</v>
      </c>
      <c r="K9" s="238">
        <f t="shared" si="10"/>
        <v>353</v>
      </c>
      <c r="L9" s="238">
        <f t="shared" si="10"/>
        <v>392</v>
      </c>
      <c r="M9" s="238">
        <f t="shared" si="10"/>
        <v>359</v>
      </c>
      <c r="N9" s="239">
        <f t="shared" si="10"/>
        <v>317.00546448087437</v>
      </c>
      <c r="O9" s="238">
        <f>O8-O6</f>
        <v>402.44268010752694</v>
      </c>
      <c r="P9" s="238">
        <f t="shared" ref="P9:AA9" si="11">P8-P6</f>
        <v>343.15218303571419</v>
      </c>
      <c r="Q9" s="238">
        <f t="shared" si="11"/>
        <v>342.5444959677418</v>
      </c>
      <c r="R9" s="238">
        <f t="shared" si="11"/>
        <v>299.73200972222207</v>
      </c>
      <c r="S9" s="238">
        <f t="shared" si="11"/>
        <v>288.94097580645143</v>
      </c>
      <c r="T9" s="238">
        <f t="shared" si="11"/>
        <v>328.50137222222236</v>
      </c>
      <c r="U9" s="238">
        <f t="shared" si="11"/>
        <v>446.1393091397847</v>
      </c>
      <c r="V9" s="238">
        <f t="shared" si="11"/>
        <v>464.27967204301058</v>
      </c>
      <c r="W9" s="238">
        <f t="shared" si="11"/>
        <v>451.59784166666668</v>
      </c>
      <c r="X9" s="238">
        <f t="shared" si="11"/>
        <v>478</v>
      </c>
      <c r="Y9" s="238">
        <f t="shared" si="11"/>
        <v>428</v>
      </c>
      <c r="Z9" s="238">
        <f t="shared" si="11"/>
        <v>277</v>
      </c>
      <c r="AA9" s="239">
        <f t="shared" si="11"/>
        <v>379.51495605022819</v>
      </c>
    </row>
    <row r="10" spans="1:27" s="222" customFormat="1" x14ac:dyDescent="0.25">
      <c r="A10" s="198" t="s">
        <v>89</v>
      </c>
      <c r="B10" s="240">
        <f t="shared" ref="B10:N10" si="12">B38</f>
        <v>209</v>
      </c>
      <c r="C10" s="240">
        <f t="shared" si="12"/>
        <v>153</v>
      </c>
      <c r="D10" s="240">
        <f t="shared" si="12"/>
        <v>170</v>
      </c>
      <c r="E10" s="240">
        <f t="shared" si="12"/>
        <v>284.7</v>
      </c>
      <c r="F10" s="240">
        <f t="shared" si="12"/>
        <v>368</v>
      </c>
      <c r="G10" s="240">
        <f t="shared" si="12"/>
        <v>447</v>
      </c>
      <c r="H10" s="240">
        <f t="shared" si="12"/>
        <v>462.19685215053801</v>
      </c>
      <c r="I10" s="240">
        <f t="shared" si="12"/>
        <v>353.19685215053761</v>
      </c>
      <c r="J10" s="240">
        <f t="shared" si="12"/>
        <v>358.19685138888889</v>
      </c>
      <c r="K10" s="240">
        <f t="shared" si="12"/>
        <v>352.19685215053801</v>
      </c>
      <c r="L10" s="240">
        <f t="shared" si="12"/>
        <v>389.19685138888883</v>
      </c>
      <c r="M10" s="240">
        <f t="shared" si="12"/>
        <v>317.5</v>
      </c>
      <c r="N10" s="241">
        <f t="shared" si="12"/>
        <v>317</v>
      </c>
      <c r="O10" s="240">
        <f>O38</f>
        <v>407.49999999999989</v>
      </c>
      <c r="P10" s="240">
        <f t="shared" ref="P10:AA10" si="13">P38</f>
        <v>345.4</v>
      </c>
      <c r="Q10" s="240">
        <f t="shared" si="13"/>
        <v>327.4592352150537</v>
      </c>
      <c r="R10" s="240">
        <f t="shared" si="13"/>
        <v>292.2852972222222</v>
      </c>
      <c r="S10" s="240">
        <f t="shared" si="13"/>
        <v>288.28272177419359</v>
      </c>
      <c r="T10" s="240">
        <f t="shared" si="13"/>
        <v>310.3061208333333</v>
      </c>
      <c r="U10" s="240">
        <f t="shared" si="13"/>
        <v>429.98563709677421</v>
      </c>
      <c r="V10" s="240">
        <f t="shared" si="13"/>
        <v>436.10623924731169</v>
      </c>
      <c r="W10" s="240">
        <f t="shared" si="13"/>
        <v>485.55001805555565</v>
      </c>
      <c r="X10" s="240">
        <f t="shared" si="13"/>
        <v>446.05001747311815</v>
      </c>
      <c r="Y10" s="240">
        <f t="shared" si="13"/>
        <v>377.0500180555556</v>
      </c>
      <c r="Z10" s="240">
        <f t="shared" si="13"/>
        <v>377.05001747311803</v>
      </c>
      <c r="AA10" s="241">
        <f t="shared" si="13"/>
        <v>377.29422888127851</v>
      </c>
    </row>
    <row r="11" spans="1:27" s="222" customFormat="1" x14ac:dyDescent="0.25">
      <c r="A11" s="196" t="s">
        <v>123</v>
      </c>
      <c r="B11" s="226">
        <f t="shared" ref="B11:N11" si="14">B6+B10</f>
        <v>1096</v>
      </c>
      <c r="C11" s="226">
        <f t="shared" si="14"/>
        <v>1103</v>
      </c>
      <c r="D11" s="226">
        <f t="shared" si="14"/>
        <v>1102</v>
      </c>
      <c r="E11" s="226">
        <f t="shared" si="14"/>
        <v>1096.7</v>
      </c>
      <c r="F11" s="226">
        <f t="shared" si="14"/>
        <v>1151</v>
      </c>
      <c r="G11" s="226">
        <f t="shared" si="14"/>
        <v>1172</v>
      </c>
      <c r="H11" s="226">
        <f t="shared" si="14"/>
        <v>1177.196852150538</v>
      </c>
      <c r="I11" s="226">
        <f t="shared" si="14"/>
        <v>1056.1968521505376</v>
      </c>
      <c r="J11" s="226">
        <f t="shared" si="14"/>
        <v>1104.1968513888889</v>
      </c>
      <c r="K11" s="226">
        <f t="shared" si="14"/>
        <v>1067.196852150538</v>
      </c>
      <c r="L11" s="226">
        <f t="shared" si="14"/>
        <v>1064.1968513888887</v>
      </c>
      <c r="M11" s="226">
        <f t="shared" si="14"/>
        <v>1095.5</v>
      </c>
      <c r="N11" s="235">
        <f t="shared" si="14"/>
        <v>1101.6803278688526</v>
      </c>
      <c r="O11" s="226">
        <f t="shared" ref="O11:AA11" si="15">O6+O10</f>
        <v>1205.5</v>
      </c>
      <c r="P11" s="226">
        <f t="shared" si="15"/>
        <v>1154.4000000000001</v>
      </c>
      <c r="Q11" s="226">
        <f t="shared" si="15"/>
        <v>1192.4592352150537</v>
      </c>
      <c r="R11" s="226">
        <f t="shared" si="15"/>
        <v>1083.2852972222222</v>
      </c>
      <c r="S11" s="226">
        <f t="shared" si="15"/>
        <v>1036.2827217741935</v>
      </c>
      <c r="T11" s="226">
        <f t="shared" si="15"/>
        <v>989.30612083333335</v>
      </c>
      <c r="U11" s="226">
        <f t="shared" si="15"/>
        <v>1056.9856370967741</v>
      </c>
      <c r="V11" s="226">
        <f t="shared" si="15"/>
        <v>1045.1062392473118</v>
      </c>
      <c r="W11" s="226">
        <f t="shared" si="15"/>
        <v>1123.5500180555557</v>
      </c>
      <c r="X11" s="226">
        <f t="shared" si="15"/>
        <v>1080.0500174731183</v>
      </c>
      <c r="Y11" s="226">
        <f t="shared" si="15"/>
        <v>1053.0500180555555</v>
      </c>
      <c r="Z11" s="226">
        <f t="shared" si="15"/>
        <v>1226.050017473118</v>
      </c>
      <c r="AA11" s="235">
        <f t="shared" si="15"/>
        <v>1103.8750507990867</v>
      </c>
    </row>
    <row r="12" spans="1:27" s="203" customFormat="1" x14ac:dyDescent="0.25">
      <c r="A12" s="232" t="s">
        <v>168</v>
      </c>
      <c r="B12" s="230">
        <f t="shared" ref="B12" si="16">B11-B8</f>
        <v>6</v>
      </c>
      <c r="C12" s="230">
        <f t="shared" ref="C12" si="17">C11-C8</f>
        <v>7</v>
      </c>
      <c r="D12" s="230">
        <f t="shared" ref="D12" si="18">D11-D8</f>
        <v>0</v>
      </c>
      <c r="E12" s="230">
        <f t="shared" ref="E12" si="19">E11-E8</f>
        <v>-0.29999999999995453</v>
      </c>
      <c r="F12" s="230">
        <f t="shared" ref="F12" si="20">F11-F8</f>
        <v>0</v>
      </c>
      <c r="G12" s="230">
        <f t="shared" ref="G12" si="21">G11-G8</f>
        <v>1</v>
      </c>
      <c r="H12" s="230">
        <f t="shared" ref="H12" si="22">H11-H8</f>
        <v>0.19685215053800675</v>
      </c>
      <c r="I12" s="230">
        <f t="shared" ref="I12" si="23">I11-I8</f>
        <v>38.196852150537552</v>
      </c>
      <c r="J12" s="230">
        <f t="shared" ref="J12" si="24">J11-J8</f>
        <v>59.196851388888945</v>
      </c>
      <c r="K12" s="230">
        <f t="shared" ref="K12" si="25">K11-K8</f>
        <v>-0.80314784946199325</v>
      </c>
      <c r="L12" s="230">
        <f t="shared" ref="L12" si="26">L11-L8</f>
        <v>-2.8031486111112827</v>
      </c>
      <c r="M12" s="230">
        <f t="shared" ref="M12" si="27">M11-M8</f>
        <v>-41.5</v>
      </c>
      <c r="N12" s="242">
        <f t="shared" ref="N12" si="28">N11-N8</f>
        <v>-5.464480874252331E-3</v>
      </c>
      <c r="O12" s="230">
        <f t="shared" ref="O12:Z12" si="29">O11-O8</f>
        <v>5.0573198924730605</v>
      </c>
      <c r="P12" s="230">
        <f t="shared" si="29"/>
        <v>2.2478169642859029</v>
      </c>
      <c r="Q12" s="230">
        <f t="shared" si="29"/>
        <v>-15.0852607526881</v>
      </c>
      <c r="R12" s="230">
        <f t="shared" si="29"/>
        <v>-7.4467124999998759</v>
      </c>
      <c r="S12" s="230">
        <f t="shared" si="29"/>
        <v>-0.65825403225790069</v>
      </c>
      <c r="T12" s="230">
        <f t="shared" si="29"/>
        <v>-18.195251388889005</v>
      </c>
      <c r="U12" s="230">
        <f t="shared" si="29"/>
        <v>-16.153672043010602</v>
      </c>
      <c r="V12" s="230">
        <f t="shared" si="29"/>
        <v>-28.173432795698773</v>
      </c>
      <c r="W12" s="230">
        <f t="shared" si="29"/>
        <v>33.952176388889029</v>
      </c>
      <c r="X12" s="230">
        <f t="shared" si="29"/>
        <v>-31.94998252688174</v>
      </c>
      <c r="Y12" s="230">
        <f t="shared" si="29"/>
        <v>-50.949981944444517</v>
      </c>
      <c r="Z12" s="230">
        <f t="shared" si="29"/>
        <v>100.05001747311803</v>
      </c>
      <c r="AA12" s="242">
        <f>AA11-AA8</f>
        <v>-2.2207271689496793</v>
      </c>
    </row>
    <row r="13" spans="1:27" s="11" customFormat="1" x14ac:dyDescent="0.25">
      <c r="A13" s="12"/>
      <c r="B13" s="18">
        <v>744</v>
      </c>
      <c r="C13" s="26">
        <v>696</v>
      </c>
      <c r="D13" s="27">
        <v>744</v>
      </c>
      <c r="E13" s="18">
        <v>720</v>
      </c>
      <c r="F13" s="18">
        <v>744</v>
      </c>
      <c r="G13" s="18">
        <v>720</v>
      </c>
      <c r="H13" s="18">
        <v>744</v>
      </c>
      <c r="I13" s="18">
        <v>744</v>
      </c>
      <c r="J13" s="18">
        <v>720</v>
      </c>
      <c r="K13" s="18">
        <v>744</v>
      </c>
      <c r="L13" s="18">
        <v>720</v>
      </c>
      <c r="M13" s="18">
        <v>744</v>
      </c>
      <c r="N13" s="13"/>
      <c r="O13" s="18">
        <v>744</v>
      </c>
      <c r="P13" s="18">
        <v>672</v>
      </c>
      <c r="Q13" s="18">
        <v>744</v>
      </c>
      <c r="R13" s="19">
        <v>720</v>
      </c>
      <c r="S13" s="19">
        <v>744</v>
      </c>
      <c r="T13" s="19">
        <v>720</v>
      </c>
      <c r="U13" s="19">
        <v>744</v>
      </c>
      <c r="V13" s="19">
        <v>744</v>
      </c>
      <c r="W13" s="19">
        <v>720</v>
      </c>
      <c r="X13" s="19">
        <v>744</v>
      </c>
      <c r="Y13" s="19">
        <v>720</v>
      </c>
      <c r="Z13" s="19">
        <v>744</v>
      </c>
    </row>
    <row r="14" spans="1:27" s="11" customFormat="1" ht="13.5" thickBot="1" x14ac:dyDescent="0.3">
      <c r="A14" s="5" t="s">
        <v>150</v>
      </c>
      <c r="B14" s="6">
        <v>43831</v>
      </c>
      <c r="C14" s="6">
        <v>43862</v>
      </c>
      <c r="D14" s="6">
        <v>43891</v>
      </c>
      <c r="E14" s="6">
        <v>43922</v>
      </c>
      <c r="F14" s="6">
        <v>43952</v>
      </c>
      <c r="G14" s="6">
        <v>43983</v>
      </c>
      <c r="H14" s="6">
        <v>44013</v>
      </c>
      <c r="I14" s="6">
        <v>44044</v>
      </c>
      <c r="J14" s="6">
        <v>44075</v>
      </c>
      <c r="K14" s="6">
        <v>44105</v>
      </c>
      <c r="L14" s="6">
        <v>44136</v>
      </c>
      <c r="M14" s="6">
        <v>44166</v>
      </c>
      <c r="N14" s="7">
        <v>2020</v>
      </c>
      <c r="O14" s="6">
        <v>44197</v>
      </c>
      <c r="P14" s="6">
        <v>44228</v>
      </c>
      <c r="Q14" s="6">
        <v>44256</v>
      </c>
      <c r="R14" s="6">
        <v>44287</v>
      </c>
      <c r="S14" s="6">
        <v>44317</v>
      </c>
      <c r="T14" s="6">
        <v>44348</v>
      </c>
      <c r="U14" s="6">
        <v>44378</v>
      </c>
      <c r="V14" s="6">
        <v>44409</v>
      </c>
      <c r="W14" s="6">
        <v>44440</v>
      </c>
      <c r="X14" s="6">
        <v>44470</v>
      </c>
      <c r="Y14" s="6">
        <v>44501</v>
      </c>
      <c r="Z14" s="6">
        <v>44531</v>
      </c>
      <c r="AA14" s="7" t="s">
        <v>165</v>
      </c>
    </row>
    <row r="15" spans="1:27" s="15" customFormat="1" x14ac:dyDescent="0.2">
      <c r="A15" s="15" t="s">
        <v>155</v>
      </c>
      <c r="B15" s="15">
        <v>998</v>
      </c>
      <c r="C15" s="15">
        <v>895</v>
      </c>
      <c r="D15" s="15">
        <v>746</v>
      </c>
      <c r="E15" s="15">
        <v>729</v>
      </c>
      <c r="F15" s="15">
        <v>751</v>
      </c>
      <c r="G15" s="15">
        <v>865</v>
      </c>
      <c r="H15" s="15">
        <v>956</v>
      </c>
      <c r="I15" s="15">
        <v>1027</v>
      </c>
      <c r="J15" s="15">
        <v>1061</v>
      </c>
      <c r="K15" s="15">
        <v>1035</v>
      </c>
      <c r="L15" s="15">
        <v>964</v>
      </c>
      <c r="M15" s="15">
        <v>903</v>
      </c>
      <c r="N15" s="28">
        <f>SUMPRODUCT(B15:M15,$B$13:$M$13)/SUM($B$13:$M$13)</f>
        <v>910.98633879781426</v>
      </c>
      <c r="O15" s="16">
        <v>1121.0004157688172</v>
      </c>
      <c r="P15" s="16">
        <v>906.35145667113102</v>
      </c>
      <c r="Q15" s="16">
        <v>763.84576636559132</v>
      </c>
      <c r="R15" s="16">
        <v>633.36119990972225</v>
      </c>
      <c r="S15" s="16">
        <v>625.83728772446227</v>
      </c>
      <c r="T15" s="16">
        <v>857.64701990416665</v>
      </c>
      <c r="U15" s="16">
        <v>987.42964924731189</v>
      </c>
      <c r="V15" s="16">
        <v>1049.1779952540323</v>
      </c>
      <c r="W15" s="16">
        <v>1063.6674473308753</v>
      </c>
      <c r="X15" s="16">
        <v>1045.6233711738207</v>
      </c>
      <c r="Y15" s="16">
        <v>994.83482878314192</v>
      </c>
      <c r="Z15" s="16">
        <v>829.36692658460402</v>
      </c>
      <c r="AA15" s="28">
        <f>SUMPRODUCT(O15:Z15,$O$13:$Z$13)/SUM($O$13:$Z$13)</f>
        <v>906.7229573707034</v>
      </c>
    </row>
    <row r="16" spans="1:27" s="15" customFormat="1" x14ac:dyDescent="0.2"/>
    <row r="17" spans="1:27" s="15" customFormat="1" x14ac:dyDescent="0.2">
      <c r="A17" s="15" t="s">
        <v>162</v>
      </c>
      <c r="B17" s="17" t="s">
        <v>6</v>
      </c>
      <c r="C17" s="20">
        <f>SUMPRODUCT(B15:D15,B13:D13)/SUM(B13:D13)</f>
        <v>879.32967032967031</v>
      </c>
      <c r="E17" s="17" t="s">
        <v>7</v>
      </c>
      <c r="F17" s="20">
        <f>SUMPRODUCT(E15:G15,E13:G13)/SUM(E13:G13)</f>
        <v>781.32967032967031</v>
      </c>
      <c r="H17" s="17" t="s">
        <v>8</v>
      </c>
      <c r="I17" s="20">
        <f>SUMPRODUCT(H15:J15,H13:J13)/SUM(H13:J13)</f>
        <v>1014.1630434782609</v>
      </c>
      <c r="K17" s="17" t="s">
        <v>9</v>
      </c>
      <c r="L17" s="20">
        <f>SUMPRODUCT(K15:M15,K13:M13)/SUM(K13:M13)</f>
        <v>967.36956521739125</v>
      </c>
      <c r="O17" s="17" t="s">
        <v>133</v>
      </c>
      <c r="P17" s="20">
        <f>SUMPRODUCT(O15:Q15,O13:Q13)/SUM(O13:Q13)</f>
        <v>931.20080481064804</v>
      </c>
      <c r="R17" s="17" t="s">
        <v>151</v>
      </c>
      <c r="S17" s="20">
        <f>SUMPRODUCT(R15:T15,R13:T13)/SUM(R13:T13)</f>
        <v>704.73848916346151</v>
      </c>
      <c r="U17" s="17" t="s">
        <v>152</v>
      </c>
      <c r="V17" s="20">
        <f>SUMPRODUCT(U15:W15,U13:W13)/SUM(U13:W13)</f>
        <v>1033.0963086898687</v>
      </c>
      <c r="X17" s="17" t="s">
        <v>153</v>
      </c>
      <c r="Y17" s="20">
        <f>SUMPRODUCT(X15:Z15,X13:Z13)/SUM(X13:Z13)</f>
        <v>956.19287058701559</v>
      </c>
    </row>
    <row r="18" spans="1:27" s="15" customFormat="1" x14ac:dyDescent="0.2">
      <c r="A18" s="15" t="s">
        <v>163</v>
      </c>
      <c r="C18" s="21">
        <f>SUM(B15:D15)/SUM($B$15:$M$15)</f>
        <v>0.24144556267154621</v>
      </c>
      <c r="F18" s="21">
        <f>SUM(E15:G15)/SUM($B$15:$M$15)</f>
        <v>0.21454711802378773</v>
      </c>
      <c r="I18" s="21">
        <f>SUM(H15:J15)/SUM($B$15:$M$15)</f>
        <v>0.27849954254345838</v>
      </c>
      <c r="L18" s="21">
        <f>SUM(K15:M15)/SUM($B$15:$M$15)</f>
        <v>0.26550777676120768</v>
      </c>
      <c r="P18" s="21">
        <f>SUM(O15:Q15)/SUM($O$15:$Z$15)</f>
        <v>0.2565876864482729</v>
      </c>
      <c r="S18" s="21">
        <f>SUM(R15:T15)/SUM($O$15:$Z$15)</f>
        <v>0.19459621339466415</v>
      </c>
      <c r="V18" s="21">
        <f>SUM(U15:W15)/SUM($O$15:$Z$15)</f>
        <v>0.28500038911857839</v>
      </c>
      <c r="Y18" s="21">
        <f>SUM(X15:Z15)/SUM($O$15:$Z$15)</f>
        <v>0.26381571103848456</v>
      </c>
    </row>
    <row r="19" spans="1:27" x14ac:dyDescent="0.2"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7" s="11" customFormat="1" ht="13.5" thickBot="1" x14ac:dyDescent="0.3">
      <c r="A20" s="5" t="s">
        <v>154</v>
      </c>
      <c r="B20" s="6">
        <v>43831</v>
      </c>
      <c r="C20" s="6">
        <v>43862</v>
      </c>
      <c r="D20" s="6">
        <v>43891</v>
      </c>
      <c r="E20" s="6">
        <v>43922</v>
      </c>
      <c r="F20" s="6">
        <v>43952</v>
      </c>
      <c r="G20" s="6">
        <v>43983</v>
      </c>
      <c r="H20" s="6">
        <v>44013</v>
      </c>
      <c r="I20" s="6">
        <v>44044</v>
      </c>
      <c r="J20" s="6">
        <v>44075</v>
      </c>
      <c r="K20" s="6">
        <v>44105</v>
      </c>
      <c r="L20" s="6">
        <v>44136</v>
      </c>
      <c r="M20" s="6">
        <v>44166</v>
      </c>
      <c r="N20" s="7">
        <v>2020</v>
      </c>
      <c r="O20" s="6">
        <v>44197</v>
      </c>
      <c r="P20" s="6">
        <v>44228</v>
      </c>
      <c r="Q20" s="6">
        <v>44256</v>
      </c>
      <c r="R20" s="6">
        <v>44287</v>
      </c>
      <c r="S20" s="6">
        <v>44317</v>
      </c>
      <c r="T20" s="6">
        <v>44348</v>
      </c>
      <c r="U20" s="6">
        <v>44378</v>
      </c>
      <c r="V20" s="6">
        <v>44409</v>
      </c>
      <c r="W20" s="6">
        <v>44440</v>
      </c>
      <c r="X20" s="6">
        <v>44470</v>
      </c>
      <c r="Y20" s="6">
        <v>44501</v>
      </c>
      <c r="Z20" s="6">
        <v>44531</v>
      </c>
      <c r="AA20" s="7" t="s">
        <v>165</v>
      </c>
    </row>
    <row r="21" spans="1:27" s="15" customFormat="1" x14ac:dyDescent="0.2">
      <c r="A21" s="15" t="s">
        <v>117</v>
      </c>
      <c r="B21" s="24">
        <v>0.86</v>
      </c>
      <c r="C21" s="24">
        <v>1.05</v>
      </c>
      <c r="D21" s="24">
        <v>1.24</v>
      </c>
      <c r="E21" s="24">
        <v>1.04</v>
      </c>
      <c r="F21" s="24">
        <v>0.96</v>
      </c>
      <c r="G21" s="24">
        <v>0.76</v>
      </c>
      <c r="H21" s="24">
        <v>0.69</v>
      </c>
      <c r="I21" s="24">
        <v>0.63</v>
      </c>
      <c r="J21" s="24">
        <v>0.66</v>
      </c>
      <c r="K21" s="24">
        <v>0.64</v>
      </c>
      <c r="L21" s="24">
        <v>0.63</v>
      </c>
      <c r="M21" s="24">
        <v>0.8</v>
      </c>
      <c r="N21" s="29">
        <f>SUMPRODUCT(B21:M21,$B$15:$M$15)/SUM($B$15:$M$15)</f>
        <v>0.81048673376029268</v>
      </c>
      <c r="O21" s="25">
        <v>0.67295971048678083</v>
      </c>
      <c r="P21" s="25">
        <v>0.87083427945081926</v>
      </c>
      <c r="Q21" s="25">
        <v>1.114576059248215</v>
      </c>
      <c r="R21" s="25">
        <v>1.1894864175939341</v>
      </c>
      <c r="S21" s="25">
        <v>1.1115362796589328</v>
      </c>
      <c r="T21" s="25">
        <v>0.70066085075216344</v>
      </c>
      <c r="U21" s="25">
        <v>0.53767935148145996</v>
      </c>
      <c r="V21" s="25">
        <v>0.48337639667301913</v>
      </c>
      <c r="W21" s="25">
        <v>0.51300000000000001</v>
      </c>
      <c r="X21" s="25">
        <v>0.51700000000000013</v>
      </c>
      <c r="Y21" s="25">
        <v>0.6</v>
      </c>
      <c r="Z21" s="25">
        <v>0.999</v>
      </c>
      <c r="AA21" s="29">
        <f>SUMPRODUCT(O21:Z21,$O$15:$Z$15)/SUM($O$15:$Z$15)</f>
        <v>0.73493468576584853</v>
      </c>
    </row>
    <row r="22" spans="1:27" s="15" customFormat="1" x14ac:dyDescent="0.2"/>
    <row r="23" spans="1:27" s="15" customFormat="1" x14ac:dyDescent="0.2">
      <c r="A23" s="15" t="s">
        <v>161</v>
      </c>
      <c r="B23" s="17" t="s">
        <v>6</v>
      </c>
      <c r="C23" s="22">
        <f>SUMPRODUCT(B21:D21,B15:D15)/SUM(B15:D15)</f>
        <v>1.0318567639257292</v>
      </c>
      <c r="E23" s="17" t="s">
        <v>7</v>
      </c>
      <c r="F23" s="22">
        <f>SUMPRODUCT(E21:G21,E15:G15)/SUM(E15:G15)</f>
        <v>0.91109594882729206</v>
      </c>
      <c r="H23" s="17" t="s">
        <v>8</v>
      </c>
      <c r="I23" s="22">
        <f>SUMPRODUCT(H21:J21,H15:J15)/SUM(H15:J15)</f>
        <v>0.65930026281208942</v>
      </c>
      <c r="K23" s="17" t="s">
        <v>9</v>
      </c>
      <c r="L23" s="22">
        <f>SUMPRODUCT(K21:M21,K15:M15)/SUM(K15:M15)</f>
        <v>0.68646450723638874</v>
      </c>
      <c r="O23" s="17" t="s">
        <v>133</v>
      </c>
      <c r="P23" s="22">
        <f>SUMPRODUCT(O21:Q21,O15:Q15)/SUM(O15:Q15)</f>
        <v>0.85806687559569206</v>
      </c>
      <c r="R23" s="17" t="s">
        <v>151</v>
      </c>
      <c r="S23" s="22">
        <f>SUMPRODUCT(R21:T21,R15:T15)/SUM(R15:T15)</f>
        <v>0.96839144779519026</v>
      </c>
      <c r="U23" s="17" t="s">
        <v>152</v>
      </c>
      <c r="V23" s="22">
        <f>SUMPRODUCT(U21:W21,U15:W15)/SUM(U15:W15)</f>
        <v>0.51083525359040094</v>
      </c>
      <c r="X23" s="17" t="s">
        <v>153</v>
      </c>
      <c r="Y23" s="22">
        <f>SUMPRODUCT(X21:Z21,X15:Z15)/SUM(X15:Z15)</f>
        <v>0.68506813242451203</v>
      </c>
    </row>
    <row r="24" spans="1:27" s="15" customFormat="1" x14ac:dyDescent="0.2"/>
    <row r="25" spans="1:27" s="11" customFormat="1" ht="13.5" thickBot="1" x14ac:dyDescent="0.3">
      <c r="A25" s="5" t="s">
        <v>166</v>
      </c>
      <c r="B25" s="6">
        <v>43831</v>
      </c>
      <c r="C25" s="6">
        <v>43862</v>
      </c>
      <c r="D25" s="6">
        <v>43891</v>
      </c>
      <c r="E25" s="6">
        <v>43922</v>
      </c>
      <c r="F25" s="6">
        <v>43952</v>
      </c>
      <c r="G25" s="6">
        <v>43983</v>
      </c>
      <c r="H25" s="6">
        <v>44013</v>
      </c>
      <c r="I25" s="6">
        <v>44044</v>
      </c>
      <c r="J25" s="6">
        <v>44075</v>
      </c>
      <c r="K25" s="6">
        <v>44105</v>
      </c>
      <c r="L25" s="6">
        <v>44136</v>
      </c>
      <c r="M25" s="6">
        <v>44166</v>
      </c>
      <c r="N25" s="7">
        <v>2020</v>
      </c>
      <c r="O25" s="6">
        <v>44197</v>
      </c>
      <c r="P25" s="6">
        <v>44228</v>
      </c>
      <c r="Q25" s="6">
        <v>44256</v>
      </c>
      <c r="R25" s="6">
        <v>44287</v>
      </c>
      <c r="S25" s="6">
        <v>44317</v>
      </c>
      <c r="T25" s="6">
        <v>44348</v>
      </c>
      <c r="U25" s="6">
        <v>44378</v>
      </c>
      <c r="V25" s="6">
        <v>44409</v>
      </c>
      <c r="W25" s="6">
        <v>44440</v>
      </c>
      <c r="X25" s="6">
        <v>44470</v>
      </c>
      <c r="Y25" s="6">
        <v>44501</v>
      </c>
      <c r="Z25" s="6">
        <v>44531</v>
      </c>
      <c r="AA25" s="7" t="s">
        <v>165</v>
      </c>
    </row>
    <row r="26" spans="1:27" s="15" customFormat="1" x14ac:dyDescent="0.2">
      <c r="A26" s="15" t="s">
        <v>167</v>
      </c>
      <c r="B26" s="15">
        <v>887</v>
      </c>
      <c r="C26" s="15">
        <v>950</v>
      </c>
      <c r="D26" s="15">
        <v>932</v>
      </c>
      <c r="E26" s="15">
        <v>812</v>
      </c>
      <c r="F26" s="15">
        <v>783</v>
      </c>
      <c r="G26" s="15">
        <v>725</v>
      </c>
      <c r="H26" s="15">
        <v>715</v>
      </c>
      <c r="I26" s="15">
        <v>703</v>
      </c>
      <c r="J26" s="15">
        <v>746</v>
      </c>
      <c r="K26" s="15">
        <v>715</v>
      </c>
      <c r="L26" s="15">
        <v>675</v>
      </c>
      <c r="M26" s="15">
        <v>778</v>
      </c>
      <c r="N26" s="28">
        <f>SUMPRODUCT(B26:M26,$B$13:$M$13)/SUM($B$13:$M$13)</f>
        <v>784.68032786885249</v>
      </c>
      <c r="O26" s="16">
        <v>798</v>
      </c>
      <c r="P26" s="16">
        <v>809</v>
      </c>
      <c r="Q26" s="16">
        <v>865</v>
      </c>
      <c r="R26" s="16">
        <v>791</v>
      </c>
      <c r="S26" s="16">
        <v>748</v>
      </c>
      <c r="T26" s="16">
        <v>679</v>
      </c>
      <c r="U26" s="16">
        <v>627</v>
      </c>
      <c r="V26" s="16">
        <v>609</v>
      </c>
      <c r="W26" s="16">
        <v>638</v>
      </c>
      <c r="X26" s="16">
        <v>634</v>
      </c>
      <c r="Y26" s="16">
        <v>676</v>
      </c>
      <c r="Z26" s="16">
        <v>849</v>
      </c>
      <c r="AA26" s="28">
        <f>SUMPRODUCT(O26:Z26,$O$13:$Z$13)/SUM($O$13:$Z$13)</f>
        <v>726.58082191780818</v>
      </c>
    </row>
    <row r="27" spans="1:27" s="15" customFormat="1" x14ac:dyDescent="0.2"/>
    <row r="28" spans="1:27" s="15" customFormat="1" x14ac:dyDescent="0.2">
      <c r="A28" s="15" t="s">
        <v>162</v>
      </c>
      <c r="B28" s="17" t="s">
        <v>6</v>
      </c>
      <c r="C28" s="20">
        <f>SUMPRODUCT(B26:D26,B13:D13)/SUM(B13:D13)</f>
        <v>922.4065934065934</v>
      </c>
      <c r="E28" s="17" t="s">
        <v>7</v>
      </c>
      <c r="F28" s="20">
        <f>SUMPRODUCT(E26:G26,E13:G13)/SUM(E13:G13)</f>
        <v>773.43956043956041</v>
      </c>
      <c r="H28" s="17" t="s">
        <v>8</v>
      </c>
      <c r="I28" s="20">
        <f>SUMPRODUCT(H26:J26,H13:J13)/SUM(H13:J13)</f>
        <v>721.06521739130437</v>
      </c>
      <c r="K28" s="17" t="s">
        <v>9</v>
      </c>
      <c r="L28" s="20">
        <f>SUMPRODUCT(K26:M26,K13:M13)/SUM(K13:M13)</f>
        <v>723.18478260869563</v>
      </c>
      <c r="O28" s="17" t="s">
        <v>133</v>
      </c>
      <c r="P28" s="20">
        <f>SUMPRODUCT(O26:Q26,O13:Q13)/SUM(O13:Q13)</f>
        <v>824.5</v>
      </c>
      <c r="R28" s="17" t="s">
        <v>151</v>
      </c>
      <c r="S28" s="20">
        <f>SUMPRODUCT(R26:T26,R13:T13)/SUM(R13:T13)</f>
        <v>739.42857142857144</v>
      </c>
      <c r="U28" s="17" t="s">
        <v>152</v>
      </c>
      <c r="V28" s="20">
        <f>SUMPRODUCT(U26:W26,U13:W13)/SUM(U13:W13)</f>
        <v>624.52173913043475</v>
      </c>
      <c r="X28" s="17" t="s">
        <v>153</v>
      </c>
      <c r="Y28" s="20">
        <f>SUMPRODUCT(X26:Z26,X13:Z13)/SUM(X13:Z13)</f>
        <v>720.14130434782612</v>
      </c>
    </row>
    <row r="29" spans="1:27" s="15" customFormat="1" x14ac:dyDescent="0.2">
      <c r="A29" s="15" t="s">
        <v>163</v>
      </c>
      <c r="C29" s="21">
        <f>SUM(B26:D26)/SUM($B$26:$M$26)</f>
        <v>0.29391784311644198</v>
      </c>
      <c r="F29" s="21">
        <f>SUM(E26:G26)/SUM($B$26:$M$26)</f>
        <v>0.24625835898524573</v>
      </c>
      <c r="I29" s="21">
        <f>SUM(H26:J26)/SUM($B$26:$M$26)</f>
        <v>0.22969960726037575</v>
      </c>
      <c r="L29" s="21">
        <f>SUM(K26:M26)/SUM($B$26:$M$26)</f>
        <v>0.23012419063793652</v>
      </c>
      <c r="P29" s="21">
        <f>SUM(O26:Q26)/SUM($O$26:$Z$26)</f>
        <v>0.28338874240513584</v>
      </c>
      <c r="S29" s="21">
        <f>SUM(R26:T26)/SUM($O$26:$Z$26)</f>
        <v>0.25427031984409032</v>
      </c>
      <c r="V29" s="21">
        <f>SUM(U26:W26)/SUM($O$26:$Z$26)</f>
        <v>0.21483434598188697</v>
      </c>
      <c r="Y29" s="21">
        <f>SUM(X26:Z26)/SUM($O$26:$Z$26)</f>
        <v>0.24750659176888684</v>
      </c>
    </row>
    <row r="30" spans="1:27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AA30" s="15"/>
    </row>
    <row r="31" spans="1:27" ht="13.5" thickBot="1" x14ac:dyDescent="0.25">
      <c r="A31" s="5" t="s">
        <v>156</v>
      </c>
      <c r="B31" s="6">
        <v>43831</v>
      </c>
      <c r="C31" s="6">
        <v>43862</v>
      </c>
      <c r="D31" s="6">
        <v>43891</v>
      </c>
      <c r="E31" s="6">
        <v>43922</v>
      </c>
      <c r="F31" s="6">
        <v>43952</v>
      </c>
      <c r="G31" s="6">
        <v>43983</v>
      </c>
      <c r="H31" s="6">
        <v>44013</v>
      </c>
      <c r="I31" s="6">
        <v>44044</v>
      </c>
      <c r="J31" s="6">
        <v>44075</v>
      </c>
      <c r="K31" s="6">
        <v>44105</v>
      </c>
      <c r="L31" s="6">
        <v>44136</v>
      </c>
      <c r="M31" s="6">
        <v>44166</v>
      </c>
      <c r="N31" s="7">
        <v>2020</v>
      </c>
      <c r="O31" s="6">
        <v>44197</v>
      </c>
      <c r="P31" s="6">
        <v>44228</v>
      </c>
      <c r="Q31" s="6">
        <v>44256</v>
      </c>
      <c r="R31" s="6">
        <v>44287</v>
      </c>
      <c r="S31" s="6">
        <v>44317</v>
      </c>
      <c r="T31" s="6">
        <v>44348</v>
      </c>
      <c r="U31" s="6">
        <v>44378</v>
      </c>
      <c r="V31" s="6">
        <v>44409</v>
      </c>
      <c r="W31" s="6">
        <v>44440</v>
      </c>
      <c r="X31" s="6">
        <v>44470</v>
      </c>
      <c r="Y31" s="6">
        <v>44501</v>
      </c>
      <c r="Z31" s="6">
        <v>44531</v>
      </c>
      <c r="AA31" s="7" t="s">
        <v>165</v>
      </c>
    </row>
    <row r="32" spans="1:27" s="15" customFormat="1" x14ac:dyDescent="0.2">
      <c r="A32" s="15" t="s">
        <v>157</v>
      </c>
      <c r="B32" s="15">
        <v>1090</v>
      </c>
      <c r="C32" s="15">
        <v>1096</v>
      </c>
      <c r="D32" s="15">
        <v>1102</v>
      </c>
      <c r="E32" s="15">
        <v>1097</v>
      </c>
      <c r="F32" s="15">
        <v>1151</v>
      </c>
      <c r="G32" s="15">
        <v>1171</v>
      </c>
      <c r="H32" s="15">
        <v>1177</v>
      </c>
      <c r="I32" s="15">
        <v>1018</v>
      </c>
      <c r="J32" s="15">
        <v>1045</v>
      </c>
      <c r="K32" s="15">
        <v>1068</v>
      </c>
      <c r="L32" s="15">
        <v>1067</v>
      </c>
      <c r="M32" s="15">
        <v>1137</v>
      </c>
      <c r="N32" s="28">
        <f>SUMPRODUCT(B32:M32,$B$13:$M$13)/SUM($B$13:$M$13)</f>
        <v>1101.6857923497269</v>
      </c>
      <c r="O32" s="16">
        <v>1200.4426801075269</v>
      </c>
      <c r="P32" s="16">
        <v>1152.1521830357142</v>
      </c>
      <c r="Q32" s="16">
        <v>1207.5444959677418</v>
      </c>
      <c r="R32" s="16">
        <v>1090.7320097222221</v>
      </c>
      <c r="S32" s="16">
        <v>1036.9409758064514</v>
      </c>
      <c r="T32" s="16">
        <v>1007.5013722222224</v>
      </c>
      <c r="U32" s="16">
        <v>1073.1393091397847</v>
      </c>
      <c r="V32" s="16">
        <v>1073.2796720430106</v>
      </c>
      <c r="W32" s="16">
        <v>1089.5978416666667</v>
      </c>
      <c r="X32" s="16">
        <v>1112</v>
      </c>
      <c r="Y32" s="16">
        <v>1104</v>
      </c>
      <c r="Z32" s="16">
        <v>1126</v>
      </c>
      <c r="AA32" s="28">
        <f>SUMPRODUCT(O32:Z32,$O$13:$Z$13)/SUM($O$13:$Z$13)</f>
        <v>1106.0957779680364</v>
      </c>
    </row>
    <row r="33" spans="1:29" s="15" customFormat="1" x14ac:dyDescent="0.2"/>
    <row r="34" spans="1:29" s="15" customFormat="1" x14ac:dyDescent="0.2">
      <c r="A34" s="15" t="s">
        <v>162</v>
      </c>
      <c r="B34" s="17" t="s">
        <v>6</v>
      </c>
      <c r="C34" s="20">
        <f>SUMPRODUCT(B32:D32,B13:D13)/SUM(B13:D13)</f>
        <v>1096</v>
      </c>
      <c r="E34" s="17" t="s">
        <v>7</v>
      </c>
      <c r="F34" s="20">
        <f>SUMPRODUCT(E32:G32,E13:G13)/SUM(E13:G13)</f>
        <v>1139.7912087912089</v>
      </c>
      <c r="H34" s="17" t="s">
        <v>8</v>
      </c>
      <c r="I34" s="20">
        <f>SUMPRODUCT(H32:J32,H13:J13)/SUM(H13:J13)</f>
        <v>1080.3804347826087</v>
      </c>
      <c r="K34" s="17" t="s">
        <v>9</v>
      </c>
      <c r="L34" s="20">
        <f>SUMPRODUCT(K32:M32,K13:M13)/SUM(K13:M13)</f>
        <v>1090.9239130434783</v>
      </c>
      <c r="O34" s="17" t="s">
        <v>133</v>
      </c>
      <c r="P34" s="20">
        <f>SUMPRODUCT(O32:Q32,O13:Q13)/SUM(O13:Q13)</f>
        <v>1187.8651509259257</v>
      </c>
      <c r="R34" s="17" t="s">
        <v>151</v>
      </c>
      <c r="S34" s="20">
        <f>SUMPRODUCT(R32:T32,R13:T13)/SUM(R13:T13)</f>
        <v>1044.9689198717949</v>
      </c>
      <c r="U34" s="17" t="s">
        <v>152</v>
      </c>
      <c r="V34" s="20">
        <f>SUMPRODUCT(U32:W32,U13:W13)/SUM(U13:W13)</f>
        <v>1078.5535181159419</v>
      </c>
      <c r="X34" s="17" t="s">
        <v>153</v>
      </c>
      <c r="Y34" s="20">
        <f>SUMPRODUCT(X32:Z32,X13:Z13)/SUM(X13:Z13)</f>
        <v>1114.108695652174</v>
      </c>
    </row>
    <row r="35" spans="1:29" s="15" customFormat="1" x14ac:dyDescent="0.2">
      <c r="A35" s="15" t="s">
        <v>163</v>
      </c>
      <c r="C35" s="21">
        <f>SUM(B32:D32)/SUM($B$32:$M$32)</f>
        <v>0.24873288448445419</v>
      </c>
      <c r="F35" s="21">
        <f>SUM(E32:G32)/SUM($B$32:$M$32)</f>
        <v>0.25864286254633484</v>
      </c>
      <c r="I35" s="21">
        <f>SUM(H32:J32)/SUM($B$32:$M$32)</f>
        <v>0.24510174748468114</v>
      </c>
      <c r="L35" s="21">
        <f>SUM(K32:M32)/SUM($B$32:$M$32)</f>
        <v>0.24752250548452984</v>
      </c>
      <c r="P35" s="21">
        <f>SUM(O32:Q32)/SUM($O$32:$Z$32)</f>
        <v>0.26821748682139024</v>
      </c>
      <c r="S35" s="21">
        <f>SUM(R32:T32)/SUM($O$32:$Z$32)</f>
        <v>0.23620103095986622</v>
      </c>
      <c r="V35" s="21">
        <f>SUM(U32:W32)/SUM($O$32:$Z$32)</f>
        <v>0.24379840562004396</v>
      </c>
      <c r="Y35" s="21">
        <f>SUM(X32:Z32)/SUM($O$32:$Z$32)</f>
        <v>0.2517830765986997</v>
      </c>
    </row>
    <row r="36" spans="1:29" x14ac:dyDescent="0.2"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9" s="11" customFormat="1" ht="13.5" thickBot="1" x14ac:dyDescent="0.3">
      <c r="A37" s="5" t="s">
        <v>160</v>
      </c>
      <c r="B37" s="6">
        <v>43831</v>
      </c>
      <c r="C37" s="6">
        <v>43862</v>
      </c>
      <c r="D37" s="6">
        <v>43891</v>
      </c>
      <c r="E37" s="6">
        <v>43922</v>
      </c>
      <c r="F37" s="6">
        <v>43952</v>
      </c>
      <c r="G37" s="6">
        <v>43983</v>
      </c>
      <c r="H37" s="6">
        <v>44013</v>
      </c>
      <c r="I37" s="6">
        <v>44044</v>
      </c>
      <c r="J37" s="6">
        <v>44075</v>
      </c>
      <c r="K37" s="6">
        <v>44105</v>
      </c>
      <c r="L37" s="6">
        <v>44136</v>
      </c>
      <c r="M37" s="6">
        <v>44166</v>
      </c>
      <c r="N37" s="7">
        <v>2020</v>
      </c>
      <c r="O37" s="6">
        <v>44197</v>
      </c>
      <c r="P37" s="6">
        <v>44228</v>
      </c>
      <c r="Q37" s="6">
        <v>44256</v>
      </c>
      <c r="R37" s="6">
        <v>44287</v>
      </c>
      <c r="S37" s="6">
        <v>44317</v>
      </c>
      <c r="T37" s="6">
        <v>44348</v>
      </c>
      <c r="U37" s="6">
        <v>44378</v>
      </c>
      <c r="V37" s="6">
        <v>44409</v>
      </c>
      <c r="W37" s="6">
        <v>44440</v>
      </c>
      <c r="X37" s="6">
        <v>44470</v>
      </c>
      <c r="Y37" s="6">
        <v>44501</v>
      </c>
      <c r="Z37" s="6">
        <v>44531</v>
      </c>
      <c r="AA37" s="7" t="s">
        <v>165</v>
      </c>
    </row>
    <row r="38" spans="1:29" s="15" customFormat="1" x14ac:dyDescent="0.2">
      <c r="A38" s="15" t="s">
        <v>158</v>
      </c>
      <c r="B38" s="15">
        <v>209</v>
      </c>
      <c r="C38" s="15">
        <v>153</v>
      </c>
      <c r="D38" s="15">
        <v>170</v>
      </c>
      <c r="E38" s="257">
        <v>284.7</v>
      </c>
      <c r="F38" s="15">
        <v>368</v>
      </c>
      <c r="G38" s="15">
        <v>447</v>
      </c>
      <c r="H38" s="257">
        <v>462.19685215053801</v>
      </c>
      <c r="I38" s="257">
        <v>353.19685215053761</v>
      </c>
      <c r="J38" s="257">
        <v>358.19685138888889</v>
      </c>
      <c r="K38" s="257">
        <v>352.19685215053801</v>
      </c>
      <c r="L38" s="257">
        <v>389.19685138888883</v>
      </c>
      <c r="M38" s="257">
        <v>317.5</v>
      </c>
      <c r="N38" s="28">
        <v>317</v>
      </c>
      <c r="O38" s="257">
        <v>407.49999999999989</v>
      </c>
      <c r="P38" s="257">
        <v>345.4</v>
      </c>
      <c r="Q38" s="257">
        <v>327.4592352150537</v>
      </c>
      <c r="R38" s="257">
        <v>292.2852972222222</v>
      </c>
      <c r="S38" s="257">
        <v>288.28272177419359</v>
      </c>
      <c r="T38" s="257">
        <v>310.3061208333333</v>
      </c>
      <c r="U38" s="257">
        <v>429.98563709677421</v>
      </c>
      <c r="V38" s="257">
        <v>436.10623924731169</v>
      </c>
      <c r="W38" s="257">
        <v>485.55001805555565</v>
      </c>
      <c r="X38" s="257">
        <v>446.05001747311815</v>
      </c>
      <c r="Y38" s="257">
        <v>377.0500180555556</v>
      </c>
      <c r="Z38" s="257">
        <v>377.05001747311803</v>
      </c>
      <c r="AA38" s="28">
        <f>SUMPRODUCT(O38:Z38,$O$13:$Z$13)/SUM($O$13:$Z$13)</f>
        <v>377.29422888127851</v>
      </c>
      <c r="AB38" s="24"/>
      <c r="AC38" s="258"/>
    </row>
    <row r="39" spans="1:29" s="15" customFormat="1" x14ac:dyDescent="0.2">
      <c r="A39" s="15" t="s">
        <v>159</v>
      </c>
      <c r="B39" s="257">
        <v>235.47430622009577</v>
      </c>
      <c r="C39" s="257">
        <v>211.45679738562097</v>
      </c>
      <c r="D39" s="257">
        <v>213</v>
      </c>
      <c r="E39" s="257">
        <v>166</v>
      </c>
      <c r="F39" s="257">
        <v>151</v>
      </c>
      <c r="G39" s="257">
        <v>166</v>
      </c>
      <c r="H39" s="257">
        <v>185</v>
      </c>
      <c r="I39" s="257">
        <v>213</v>
      </c>
      <c r="J39" s="257">
        <v>210</v>
      </c>
      <c r="K39" s="257">
        <v>226</v>
      </c>
      <c r="L39" s="257">
        <v>269</v>
      </c>
      <c r="M39" s="257">
        <v>224</v>
      </c>
      <c r="N39" s="32">
        <v>204</v>
      </c>
      <c r="O39" s="257">
        <v>215.42336196319025</v>
      </c>
      <c r="P39" s="257">
        <v>201.62472495657207</v>
      </c>
      <c r="Q39" s="257">
        <v>204.6941440478324</v>
      </c>
      <c r="R39" s="257">
        <v>180.26271591739226</v>
      </c>
      <c r="S39" s="257">
        <v>190.41210804553609</v>
      </c>
      <c r="T39" s="257">
        <v>207.08337372243707</v>
      </c>
      <c r="U39" s="257">
        <v>262.46373483205309</v>
      </c>
      <c r="V39" s="257">
        <v>282.12911842206074</v>
      </c>
      <c r="W39" s="257">
        <v>304.25538165390901</v>
      </c>
      <c r="X39" s="257">
        <v>287.50073025255904</v>
      </c>
      <c r="Y39" s="257">
        <v>250.65562002341622</v>
      </c>
      <c r="Z39" s="257">
        <v>248.42779846672835</v>
      </c>
      <c r="AA39" s="32">
        <f>SUMPRODUCT(O39:Z39,O38:Z38,O13:Z13)/SUMPRODUCT(O38:Z38,O13:Z13)</f>
        <v>242.66811534810893</v>
      </c>
      <c r="AB39" s="24"/>
      <c r="AC39" s="259"/>
    </row>
    <row r="40" spans="1:29" s="15" customFormat="1" x14ac:dyDescent="0.2"/>
    <row r="41" spans="1:29" s="15" customFormat="1" x14ac:dyDescent="0.2">
      <c r="A41" s="15" t="s">
        <v>162</v>
      </c>
      <c r="B41" s="17" t="s">
        <v>6</v>
      </c>
      <c r="C41" s="23">
        <f>SUMPRODUCT(B38:D38,B13:D13)/SUM(B13:D13)</f>
        <v>177.86813186813185</v>
      </c>
      <c r="E41" s="17" t="s">
        <v>7</v>
      </c>
      <c r="F41" s="23">
        <f>SUMPRODUCT(E38:G38,E13:G13)/SUM(E13:G13)</f>
        <v>366.58241758241758</v>
      </c>
      <c r="H41" s="17" t="s">
        <v>8</v>
      </c>
      <c r="I41" s="23">
        <f>SUMPRODUCT(H38:J38,H13:J13)/SUM(H13:J13)</f>
        <v>391.55554755434792</v>
      </c>
      <c r="K41" s="17" t="s">
        <v>9</v>
      </c>
      <c r="L41" s="23">
        <f>SUMPRODUCT(K38:M38,K13:M13)/SUM(K13:M13)</f>
        <v>352.57073867753633</v>
      </c>
      <c r="O41" s="17" t="s">
        <v>133</v>
      </c>
      <c r="P41" s="23">
        <f>SUMPRODUCT(O38:Q38,O13:Q13)/SUM(O13:Q13)</f>
        <v>360.61040324074071</v>
      </c>
      <c r="R41" s="17" t="s">
        <v>151</v>
      </c>
      <c r="S41" s="23">
        <f>SUMPRODUCT(R38:T38,R13:T13)/SUM(R13:T13)</f>
        <v>296.86271336996333</v>
      </c>
      <c r="U41" s="17" t="s">
        <v>152</v>
      </c>
      <c r="V41" s="23">
        <f>SUMPRODUCT(U38:W38,U13:W13)/SUM(U13:W13)</f>
        <v>450.16683378623185</v>
      </c>
      <c r="X41" s="17" t="s">
        <v>153</v>
      </c>
      <c r="Y41" s="23">
        <f>SUMPRODUCT(X38:Z38,X13:Z13)/SUM(X13:Z13)</f>
        <v>400.30001766304338</v>
      </c>
      <c r="AC41" s="24"/>
    </row>
    <row r="42" spans="1:29" s="15" customFormat="1" x14ac:dyDescent="0.2">
      <c r="A42" s="15" t="s">
        <v>164</v>
      </c>
      <c r="C42" s="23">
        <f>SUMPRODUCT(B39:D39,B38:D38,B13:D13)/SUMPRODUCT(B38:D38,B13:D13)</f>
        <v>221.57307796861491</v>
      </c>
      <c r="F42" s="23">
        <f>SUMPRODUCT(E39:G39,E38:G38,E13:G13)/SUMPRODUCT(E38:G38,E13:G13)</f>
        <v>160.8703498306304</v>
      </c>
      <c r="I42" s="23">
        <f>SUMPRODUCT(H39:J39,H38:J38,H13:J13)/SUMPRODUCT(H38:J38,H13:J13)</f>
        <v>200.96815211735679</v>
      </c>
      <c r="L42" s="23">
        <f>SUMPRODUCT(K39:M39,K38:M38,K13:M13)/SUMPRODUCT(K38:M38,K13:M13)</f>
        <v>240.87148181645546</v>
      </c>
      <c r="P42" s="23">
        <f>SUMPRODUCT(O39:Q39,O38:Q38,O13:Q13)/SUMPRODUCT(O38:Q38,O13:Q13)</f>
        <v>207.95564727338456</v>
      </c>
      <c r="S42" s="23">
        <f>SUMPRODUCT(R39:T39,R38:T38,R13:T13)/SUMPRODUCT(R38:T38,R13:T13)</f>
        <v>192.8626554794634</v>
      </c>
      <c r="V42" s="23">
        <f>SUMPRODUCT(U39:W39,U38:W38,U13:W13)/SUMPRODUCT(U38:W38,U13:W13)</f>
        <v>283.58199567616225</v>
      </c>
      <c r="Y42" s="23">
        <f>SUMPRODUCT(X39:Z39,X38:Z38,X13:Z13)/SUMPRODUCT(X38:Z38,X13:Z13)</f>
        <v>263.78266598112572</v>
      </c>
      <c r="AA42" s="24"/>
    </row>
    <row r="43" spans="1:29" s="15" customFormat="1" x14ac:dyDescent="0.2">
      <c r="AA43" s="24"/>
    </row>
    <row r="44" spans="1:29" s="15" customFormat="1" x14ac:dyDescent="0.2">
      <c r="A44" s="15" t="s">
        <v>170</v>
      </c>
      <c r="C44" s="33">
        <f>((C42*C41)*SUM(B13:D13))/1000</f>
        <v>86073.164160000015</v>
      </c>
      <c r="F44" s="33">
        <f>((F42*F41)*SUM(E13:G13))/1000</f>
        <v>128795.37599999999</v>
      </c>
      <c r="I44" s="33">
        <f>((I42*I41)*SUM(H13:J13))/1000</f>
        <v>173747.95021400004</v>
      </c>
      <c r="L44" s="33">
        <f>((L42*L41)*SUM(K13:M13))/1000</f>
        <v>187512.71368500002</v>
      </c>
      <c r="P44" s="33">
        <f>((P42*P41)*SUM(O13:Q13))/1000</f>
        <v>161980.49481</v>
      </c>
      <c r="S44" s="33">
        <f>((S42*S41)*SUM(R13:T13))/1000</f>
        <v>125042.14896999992</v>
      </c>
      <c r="V44" s="33">
        <f>((V42*V41)*SUM(U13:W13))/1000</f>
        <v>281871.53372000001</v>
      </c>
      <c r="Y44" s="33">
        <f>((Y42*Y41)*SUM(X13:Z13))/1000</f>
        <v>233147.59052000003</v>
      </c>
    </row>
    <row r="46" spans="1:29" x14ac:dyDescent="0.2">
      <c r="S46" s="260"/>
    </row>
    <row r="47" spans="1:29" ht="12.75" customHeight="1" x14ac:dyDescent="0.2">
      <c r="A47" s="280" t="s">
        <v>323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S47" s="260"/>
    </row>
    <row r="48" spans="1:29" x14ac:dyDescent="0.2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</row>
    <row r="49" spans="1:11" x14ac:dyDescent="0.2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</row>
    <row r="50" spans="1:11" x14ac:dyDescent="0.2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</row>
    <row r="51" spans="1:11" x14ac:dyDescent="0.2">
      <c r="A51" s="280"/>
      <c r="B51" s="280"/>
      <c r="C51" s="280"/>
      <c r="D51" s="280"/>
      <c r="E51" s="280"/>
      <c r="F51" s="280"/>
      <c r="G51" s="280"/>
      <c r="H51" s="280"/>
      <c r="I51" s="280"/>
      <c r="J51" s="280"/>
      <c r="K51" s="280"/>
    </row>
    <row r="52" spans="1:11" x14ac:dyDescent="0.2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</row>
    <row r="53" spans="1:11" x14ac:dyDescent="0.2">
      <c r="A53" s="280"/>
      <c r="B53" s="280"/>
      <c r="C53" s="280"/>
      <c r="D53" s="280"/>
      <c r="E53" s="280"/>
      <c r="F53" s="280"/>
      <c r="G53" s="280"/>
      <c r="H53" s="280"/>
      <c r="I53" s="280"/>
      <c r="J53" s="280"/>
      <c r="K53" s="280"/>
    </row>
    <row r="54" spans="1:11" x14ac:dyDescent="0.2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</row>
    <row r="55" spans="1:11" x14ac:dyDescent="0.2">
      <c r="A55" s="280"/>
      <c r="B55" s="280"/>
      <c r="C55" s="280"/>
      <c r="D55" s="280"/>
      <c r="E55" s="280"/>
      <c r="F55" s="280"/>
      <c r="G55" s="280"/>
      <c r="H55" s="280"/>
      <c r="I55" s="280"/>
      <c r="J55" s="280"/>
      <c r="K55" s="280"/>
    </row>
    <row r="56" spans="1:11" x14ac:dyDescent="0.2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</row>
  </sheetData>
  <mergeCells count="2">
    <mergeCell ref="B1:AA1"/>
    <mergeCell ref="A47:K5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A3 N13:AA14 Z31:AA31 Z17:AA19 Z37:AA37 N16:AA16 Z20:AA20 AA25 Z22:AA24 AA21 AA15 Z33:AA36 AA32" numberStoredAsText="1"/>
    <ignoredError sqref="N20:O20 N33:O36 N22:O24 N37:O37 N17:O19 N31:O31" numberStoredAsText="1" formulaRange="1"/>
    <ignoredError sqref="B20:M20 B32:N32 B31:M31 P31:Y31 B17:M19 P17:Y19 B40:Y41 B37:M37 P37:Y37 B25:Y25 B22:M24 P22:Y24 B21:N21 B33:M36 P33:Y36 P20:Y20 B27:Y30 B26:S26 AA38:AA39 B43:Y44 B42 W42:X42 T42:U42 Q42:R42 M42:O42 J42:K42 G42:H42 D42:E42 C42 F42 I42 L42 P42 S42 V42 Y4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F4FA-9821-4EE6-8138-A44D72B8AA38}">
  <sheetPr codeName="Planilha13"/>
  <dimension ref="A1:S32"/>
  <sheetViews>
    <sheetView showGridLines="0" zoomScale="85" zoomScaleNormal="85" workbookViewId="0">
      <pane xSplit="1" ySplit="3" topLeftCell="B4" activePane="bottomRight" state="frozen"/>
      <selection activeCell="M13" sqref="M13:M14"/>
      <selection pane="topRight" activeCell="M13" sqref="M13:M14"/>
      <selection pane="bottomLeft" activeCell="M13" sqref="M13:M14"/>
      <selection pane="bottomRight" activeCell="H30" sqref="H30"/>
    </sheetView>
  </sheetViews>
  <sheetFormatPr defaultColWidth="9.140625" defaultRowHeight="12" x14ac:dyDescent="0.2"/>
  <cols>
    <col min="1" max="1" width="59.7109375" style="59" bestFit="1" customWidth="1"/>
    <col min="2" max="2" width="16.5703125" style="59" customWidth="1"/>
    <col min="3" max="3" width="12.7109375" style="59" customWidth="1"/>
    <col min="4" max="4" width="14.5703125" style="59" bestFit="1" customWidth="1"/>
    <col min="5" max="5" width="11.42578125" style="59" customWidth="1"/>
    <col min="6" max="6" width="10.42578125" style="59" customWidth="1"/>
    <col min="7" max="16384" width="9.140625" style="59"/>
  </cols>
  <sheetData>
    <row r="1" spans="1:19" s="9" customFormat="1" ht="54.75" customHeight="1" x14ac:dyDescent="0.2">
      <c r="A1" s="8"/>
      <c r="B1" s="278" t="s">
        <v>325</v>
      </c>
      <c r="C1" s="278"/>
      <c r="D1" s="278"/>
      <c r="E1" s="278"/>
      <c r="F1" s="278"/>
      <c r="G1" s="113"/>
      <c r="H1" s="113"/>
      <c r="I1" s="59"/>
      <c r="J1" s="113"/>
      <c r="K1" s="113"/>
      <c r="L1" s="113"/>
      <c r="M1" s="113"/>
      <c r="N1" s="113"/>
      <c r="O1" s="113"/>
      <c r="P1" s="113"/>
      <c r="Q1" s="113"/>
      <c r="R1" s="113"/>
      <c r="S1" s="61"/>
    </row>
    <row r="2" spans="1:19" ht="8.25" customHeight="1" x14ac:dyDescent="0.2"/>
    <row r="3" spans="1:19" s="110" customFormat="1" ht="12.75" thickBot="1" x14ac:dyDescent="0.3">
      <c r="A3" s="111" t="s">
        <v>308</v>
      </c>
      <c r="B3" s="122">
        <v>2021</v>
      </c>
      <c r="C3" s="122">
        <v>2022</v>
      </c>
      <c r="D3" s="122">
        <v>2023</v>
      </c>
      <c r="E3" s="122">
        <v>2024</v>
      </c>
      <c r="F3" s="122">
        <v>2025</v>
      </c>
    </row>
    <row r="4" spans="1:19" x14ac:dyDescent="0.2">
      <c r="A4" s="114" t="s">
        <v>305</v>
      </c>
      <c r="B4" s="127">
        <f>887+48</f>
        <v>935</v>
      </c>
      <c r="C4" s="127">
        <f>887+24</f>
        <v>911</v>
      </c>
      <c r="D4" s="127">
        <v>887</v>
      </c>
      <c r="E4" s="127">
        <f>D4</f>
        <v>887</v>
      </c>
      <c r="F4" s="127">
        <f>E4</f>
        <v>887</v>
      </c>
    </row>
    <row r="5" spans="1:19" ht="12.75" thickBot="1" x14ac:dyDescent="0.25">
      <c r="A5" s="115" t="s">
        <v>306</v>
      </c>
      <c r="B5" s="128">
        <f>B4*0.97</f>
        <v>906.94999999999993</v>
      </c>
      <c r="C5" s="128">
        <f>C4*0.97</f>
        <v>883.67</v>
      </c>
      <c r="D5" s="128">
        <f>D4*0.97</f>
        <v>860.39</v>
      </c>
      <c r="E5" s="128">
        <f>E4*0.97</f>
        <v>860.39</v>
      </c>
      <c r="F5" s="128">
        <f>F4*0.97</f>
        <v>860.39</v>
      </c>
    </row>
    <row r="6" spans="1:19" x14ac:dyDescent="0.2">
      <c r="A6" s="179" t="s">
        <v>316</v>
      </c>
      <c r="B6" s="178"/>
      <c r="C6" s="178"/>
      <c r="D6" s="178"/>
      <c r="E6" s="178"/>
      <c r="F6" s="178"/>
    </row>
    <row r="7" spans="1:19" x14ac:dyDescent="0.2">
      <c r="A7" s="142"/>
      <c r="B7" s="173"/>
      <c r="C7" s="173"/>
      <c r="D7" s="173"/>
      <c r="E7" s="173"/>
      <c r="F7" s="173"/>
    </row>
    <row r="8" spans="1:19" ht="12.75" thickBot="1" x14ac:dyDescent="0.25">
      <c r="A8" s="172" t="s">
        <v>309</v>
      </c>
      <c r="B8" s="122">
        <v>2021</v>
      </c>
      <c r="C8" s="122">
        <v>2022</v>
      </c>
      <c r="D8" s="122">
        <v>2023</v>
      </c>
      <c r="E8" s="122">
        <v>2024</v>
      </c>
      <c r="F8" s="122">
        <v>2025</v>
      </c>
    </row>
    <row r="9" spans="1:19" s="150" customFormat="1" x14ac:dyDescent="0.2">
      <c r="A9" s="170" t="s">
        <v>310</v>
      </c>
      <c r="B9" s="171">
        <v>230</v>
      </c>
      <c r="C9" s="171">
        <v>230</v>
      </c>
      <c r="D9" s="171">
        <v>230</v>
      </c>
      <c r="E9" s="171">
        <v>230</v>
      </c>
      <c r="F9" s="171">
        <v>230</v>
      </c>
    </row>
    <row r="10" spans="1:19" ht="12.75" thickBot="1" x14ac:dyDescent="0.25">
      <c r="A10" s="115" t="s">
        <v>313</v>
      </c>
      <c r="B10" s="128">
        <v>829.75038827302274</v>
      </c>
      <c r="C10" s="128">
        <v>654</v>
      </c>
      <c r="D10" s="128">
        <v>488.25599999999991</v>
      </c>
      <c r="E10" s="128">
        <v>338.93899999999991</v>
      </c>
      <c r="F10" s="128">
        <v>267.75720547945213</v>
      </c>
    </row>
    <row r="11" spans="1:19" ht="12.75" thickBot="1" x14ac:dyDescent="0.25">
      <c r="A11" s="169" t="s">
        <v>106</v>
      </c>
      <c r="B11" s="174">
        <f>SUM(B9:B10)</f>
        <v>1059.7503882730227</v>
      </c>
      <c r="C11" s="174">
        <f t="shared" ref="C11" si="0">SUM(C9:C10)</f>
        <v>884</v>
      </c>
      <c r="D11" s="174">
        <f t="shared" ref="D11" si="1">SUM(D9:D10)</f>
        <v>718.25599999999986</v>
      </c>
      <c r="E11" s="174">
        <f t="shared" ref="E11" si="2">SUM(E9:E10)</f>
        <v>568.93899999999985</v>
      </c>
      <c r="F11" s="174">
        <f t="shared" ref="F11" si="3">SUM(F9:F10)</f>
        <v>497.75720547945213</v>
      </c>
    </row>
    <row r="12" spans="1:19" ht="12.75" thickBot="1" x14ac:dyDescent="0.25">
      <c r="B12" s="130"/>
      <c r="C12" s="130"/>
      <c r="D12" s="130"/>
      <c r="E12" s="130"/>
      <c r="F12" s="130"/>
    </row>
    <row r="13" spans="1:19" ht="12.75" thickBot="1" x14ac:dyDescent="0.25">
      <c r="A13" s="169" t="s">
        <v>311</v>
      </c>
      <c r="B13" s="175">
        <f>B11/B4</f>
        <v>1.1334228751583131</v>
      </c>
      <c r="C13" s="175">
        <f>C11/C4</f>
        <v>0.97036223929747534</v>
      </c>
      <c r="D13" s="175">
        <f>D11/D4</f>
        <v>0.80975873731679804</v>
      </c>
      <c r="E13" s="175">
        <f>E11/E4</f>
        <v>0.64141939120631319</v>
      </c>
      <c r="F13" s="175">
        <f>F11/F4</f>
        <v>0.56116934101403848</v>
      </c>
    </row>
    <row r="14" spans="1:19" x14ac:dyDescent="0.2">
      <c r="B14" s="130"/>
      <c r="C14" s="130"/>
      <c r="D14" s="130"/>
      <c r="E14" s="130"/>
      <c r="F14" s="130"/>
    </row>
    <row r="15" spans="1:19" ht="12.75" thickBot="1" x14ac:dyDescent="0.25">
      <c r="A15" s="172" t="s">
        <v>312</v>
      </c>
      <c r="B15" s="122">
        <v>2021</v>
      </c>
      <c r="C15" s="122">
        <v>2022</v>
      </c>
      <c r="D15" s="122">
        <v>2023</v>
      </c>
      <c r="E15" s="122">
        <v>2024</v>
      </c>
      <c r="F15" s="122">
        <v>2025</v>
      </c>
    </row>
    <row r="16" spans="1:19" x14ac:dyDescent="0.2">
      <c r="A16" s="170" t="s">
        <v>310</v>
      </c>
      <c r="B16" s="171">
        <v>263</v>
      </c>
      <c r="C16" s="171">
        <v>263</v>
      </c>
      <c r="D16" s="171">
        <v>263</v>
      </c>
      <c r="E16" s="171">
        <v>263</v>
      </c>
      <c r="F16" s="171">
        <v>263</v>
      </c>
    </row>
    <row r="17" spans="1:6" ht="12.75" thickBot="1" x14ac:dyDescent="0.25">
      <c r="A17" s="115" t="s">
        <v>313</v>
      </c>
      <c r="B17" s="128">
        <v>231.5099917187342</v>
      </c>
      <c r="C17" s="128">
        <v>250.53687213047908</v>
      </c>
      <c r="D17" s="128">
        <v>217.09583557044488</v>
      </c>
      <c r="E17" s="128">
        <v>187.97224373417163</v>
      </c>
      <c r="F17" s="128">
        <v>191.19295295635845</v>
      </c>
    </row>
    <row r="18" spans="1:6" ht="12.75" thickBot="1" x14ac:dyDescent="0.25">
      <c r="A18" s="169" t="s">
        <v>314</v>
      </c>
      <c r="B18" s="174">
        <v>238</v>
      </c>
      <c r="C18" s="174">
        <v>254</v>
      </c>
      <c r="D18" s="174">
        <v>232</v>
      </c>
      <c r="E18" s="174">
        <v>218</v>
      </c>
      <c r="F18" s="174">
        <v>224</v>
      </c>
    </row>
    <row r="19" spans="1:6" x14ac:dyDescent="0.2">
      <c r="B19" s="130"/>
      <c r="C19" s="130"/>
      <c r="D19" s="130"/>
      <c r="E19" s="130"/>
      <c r="F19" s="130"/>
    </row>
    <row r="20" spans="1:6" ht="12.75" thickBot="1" x14ac:dyDescent="0.25">
      <c r="A20" s="172" t="s">
        <v>317</v>
      </c>
      <c r="B20" s="122">
        <v>2021</v>
      </c>
      <c r="C20" s="122">
        <v>2022</v>
      </c>
      <c r="D20" s="122">
        <v>2023</v>
      </c>
      <c r="E20" s="122">
        <v>2024</v>
      </c>
      <c r="F20" s="122">
        <v>2025</v>
      </c>
    </row>
    <row r="21" spans="1:6" x14ac:dyDescent="0.2">
      <c r="A21" s="170" t="s">
        <v>288</v>
      </c>
      <c r="B21" s="176">
        <v>0.56444336983913446</v>
      </c>
      <c r="C21" s="176">
        <v>0.72477064220183485</v>
      </c>
      <c r="D21" s="176">
        <v>0.63134093590247731</v>
      </c>
      <c r="E21" s="176">
        <v>0.58694632367476141</v>
      </c>
      <c r="F21" s="176">
        <v>0.47713825385459629</v>
      </c>
    </row>
    <row r="22" spans="1:6" ht="12.75" thickBot="1" x14ac:dyDescent="0.25">
      <c r="A22" s="115" t="s">
        <v>315</v>
      </c>
      <c r="B22" s="177">
        <v>0.4355566301608656</v>
      </c>
      <c r="C22" s="177">
        <v>0.27522935779816515</v>
      </c>
      <c r="D22" s="177">
        <v>0.36865906409752269</v>
      </c>
      <c r="E22" s="177">
        <v>0.41305367632523859</v>
      </c>
      <c r="F22" s="177">
        <v>0.52286174614540371</v>
      </c>
    </row>
    <row r="23" spans="1:6" ht="12.75" thickBot="1" x14ac:dyDescent="0.25">
      <c r="A23" s="169" t="s">
        <v>106</v>
      </c>
      <c r="B23" s="175">
        <f>SUM(B21:B22)</f>
        <v>1</v>
      </c>
      <c r="C23" s="175">
        <f t="shared" ref="C23:F23" si="4">SUM(C21:C22)</f>
        <v>1</v>
      </c>
      <c r="D23" s="175">
        <f t="shared" si="4"/>
        <v>1</v>
      </c>
      <c r="E23" s="175">
        <f t="shared" si="4"/>
        <v>1</v>
      </c>
      <c r="F23" s="175">
        <f t="shared" si="4"/>
        <v>1</v>
      </c>
    </row>
    <row r="25" spans="1:6" ht="12.75" thickBot="1" x14ac:dyDescent="0.25">
      <c r="A25" s="172" t="s">
        <v>318</v>
      </c>
      <c r="B25" s="122" t="s">
        <v>342</v>
      </c>
      <c r="C25" s="247"/>
      <c r="D25" s="247"/>
      <c r="E25" s="247"/>
      <c r="F25" s="247"/>
    </row>
    <row r="26" spans="1:6" x14ac:dyDescent="0.2">
      <c r="A26" s="170" t="s">
        <v>336</v>
      </c>
      <c r="B26" s="176">
        <v>0.21306625046353153</v>
      </c>
      <c r="C26" s="271"/>
      <c r="D26" s="272"/>
      <c r="E26" s="273"/>
      <c r="F26" s="273"/>
    </row>
    <row r="27" spans="1:6" x14ac:dyDescent="0.2">
      <c r="A27" s="115" t="s">
        <v>337</v>
      </c>
      <c r="B27" s="177">
        <v>0.18299847030570018</v>
      </c>
      <c r="C27" s="271"/>
      <c r="D27" s="272"/>
      <c r="E27" s="272"/>
      <c r="F27" s="272"/>
    </row>
    <row r="28" spans="1:6" x14ac:dyDescent="0.2">
      <c r="A28" s="117" t="s">
        <v>338</v>
      </c>
      <c r="B28" s="261">
        <v>0.23092091066426174</v>
      </c>
      <c r="C28" s="271"/>
      <c r="D28" s="271"/>
      <c r="E28" s="271"/>
      <c r="F28" s="271"/>
    </row>
    <row r="29" spans="1:6" x14ac:dyDescent="0.2">
      <c r="A29" s="115" t="s">
        <v>339</v>
      </c>
      <c r="B29" s="177">
        <v>8.5001733560312223E-2</v>
      </c>
      <c r="C29" s="271"/>
      <c r="D29" s="272"/>
      <c r="E29" s="273"/>
      <c r="F29" s="272"/>
    </row>
    <row r="30" spans="1:6" x14ac:dyDescent="0.2">
      <c r="A30" s="117" t="s">
        <v>340</v>
      </c>
      <c r="B30" s="261">
        <v>0.20711637893899301</v>
      </c>
      <c r="C30" s="271"/>
      <c r="D30" s="271"/>
      <c r="E30" s="271"/>
      <c r="F30" s="271"/>
    </row>
    <row r="31" spans="1:6" ht="12.75" thickBot="1" x14ac:dyDescent="0.25">
      <c r="A31" s="115" t="s">
        <v>341</v>
      </c>
      <c r="B31" s="177">
        <v>8.0896256067201258E-2</v>
      </c>
      <c r="C31" s="272"/>
      <c r="D31" s="271"/>
      <c r="E31" s="271"/>
      <c r="F31" s="272"/>
    </row>
    <row r="32" spans="1:6" ht="12.75" thickBot="1" x14ac:dyDescent="0.25">
      <c r="A32" s="169" t="s">
        <v>106</v>
      </c>
      <c r="B32" s="175">
        <f>SUM(B26:B31)</f>
        <v>1</v>
      </c>
      <c r="C32" s="274"/>
      <c r="D32" s="274"/>
      <c r="E32" s="274"/>
      <c r="F32" s="274"/>
    </row>
  </sheetData>
  <mergeCells count="1">
    <mergeCell ref="B1:F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1:F11 B23:F23 B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Home</vt:lpstr>
      <vt:lpstr>Resultados</vt:lpstr>
      <vt:lpstr>Fluxo de Caixa</vt:lpstr>
      <vt:lpstr>Balanço Patrimonial</vt:lpstr>
      <vt:lpstr>Custos e Despesas</vt:lpstr>
      <vt:lpstr>Endividamento</vt:lpstr>
      <vt:lpstr>Operação</vt:lpstr>
      <vt:lpstr>Balanço Energético</vt:lpstr>
      <vt:lpstr>Portfólio de Energia</vt:lpstr>
      <vt:lpstr>Contencioso Passivo</vt:lpstr>
      <vt:lpstr>Dividendos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De Luiz Cesari</dc:creator>
  <cp:lastModifiedBy>Ana Vitoria Weiss Madureira</cp:lastModifiedBy>
  <dcterms:created xsi:type="dcterms:W3CDTF">2021-02-23T14:20:39Z</dcterms:created>
  <dcterms:modified xsi:type="dcterms:W3CDTF">2021-12-03T19:10:30Z</dcterms:modified>
</cp:coreProperties>
</file>