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EstaPastaDeTrabalho" defaultThemeVersion="166925"/>
  <mc:AlternateContent xmlns:mc="http://schemas.openxmlformats.org/markup-compatibility/2006">
    <mc:Choice Requires="x15">
      <x15ac:absPath xmlns:x15ac="http://schemas.microsoft.com/office/spreadsheetml/2010/11/ac" url="Z:\8. Divulgação de Resultados\2021\2T21\10. Planilha Interativa Website\"/>
    </mc:Choice>
  </mc:AlternateContent>
  <xr:revisionPtr revIDLastSave="0" documentId="13_ncr:1_{05A42E77-5F2D-4895-B993-A501A27AB713}" xr6:coauthVersionLast="47" xr6:coauthVersionMax="47" xr10:uidLastSave="{00000000-0000-0000-0000-000000000000}"/>
  <bookViews>
    <workbookView xWindow="-120" yWindow="-120" windowWidth="29040" windowHeight="15840" tabRatio="1000" xr2:uid="{C989D257-D0D6-4F8E-BB50-1BB580E4F9C6}"/>
  </bookViews>
  <sheets>
    <sheet name="Home" sheetId="1" r:id="rId1"/>
    <sheet name="Results" sheetId="2" r:id="rId2"/>
    <sheet name="Cash Flow" sheetId="7" r:id="rId3"/>
    <sheet name="Balance Sheet" sheetId="4" r:id="rId4"/>
    <sheet name="Costs and Expenses" sheetId="5" r:id="rId5"/>
    <sheet name="Indebtedness" sheetId="16" r:id="rId6"/>
    <sheet name="Operation" sheetId="6" r:id="rId7"/>
    <sheet name="Energy Balance" sheetId="9" r:id="rId8"/>
    <sheet name="Energy Portfolio" sheetId="18" r:id="rId9"/>
    <sheet name="Contingent Liability" sheetId="15" r:id="rId10"/>
    <sheet name="Dividends" sheetId="14" r:id="rId11"/>
  </sheets>
  <definedNames>
    <definedName name="_xlnm._FilterDatabase" localSheetId="9" hidden="1">'Contingent Liability'!$A$3:$H$4</definedName>
    <definedName name="_xlnm._FilterDatabase" localSheetId="4" hidden="1">'Costs and Expenses'!$A$3:$J$29</definedName>
    <definedName name="_xlnm._FilterDatabase" localSheetId="8" hidden="1">'Energy Portfolio'!$A$3:$F$4</definedName>
    <definedName name="_xlnm._FilterDatabase" localSheetId="5" hidden="1">Indebtedness!$A$3:$H$4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2" i="9" l="1"/>
  <c r="V42" i="9"/>
  <c r="S42" i="9"/>
  <c r="P42" i="9"/>
  <c r="L42" i="9"/>
  <c r="I42" i="9"/>
  <c r="F42" i="9"/>
  <c r="C42" i="9"/>
  <c r="AA39" i="9" l="1"/>
  <c r="H8" i="15"/>
  <c r="G8" i="15"/>
  <c r="C8" i="15"/>
  <c r="D8" i="15"/>
  <c r="E8" i="15"/>
  <c r="B8" i="15"/>
  <c r="N8" i="7"/>
  <c r="N10" i="7" s="1"/>
  <c r="L53" i="4" l="1"/>
  <c r="L40" i="4"/>
  <c r="L51" i="4" s="1"/>
  <c r="L27" i="4"/>
  <c r="L12" i="4"/>
  <c r="L4" i="4"/>
  <c r="N18" i="7"/>
  <c r="L60" i="4" l="1"/>
  <c r="L25" i="4"/>
  <c r="O15" i="6" l="1"/>
  <c r="O14" i="6"/>
  <c r="O11" i="6"/>
  <c r="O10" i="6"/>
  <c r="N29" i="5" l="1"/>
  <c r="N27" i="2"/>
  <c r="N11" i="2"/>
  <c r="N4" i="2"/>
  <c r="N19" i="2" l="1"/>
  <c r="N21" i="2" s="1"/>
  <c r="N23" i="2" s="1"/>
  <c r="N28" i="2" s="1"/>
  <c r="N30" i="2" s="1"/>
  <c r="F36" i="18"/>
  <c r="E36" i="18"/>
  <c r="D36" i="18"/>
  <c r="C36" i="18"/>
  <c r="B36" i="18"/>
  <c r="D5" i="18" l="1"/>
  <c r="E4" i="18"/>
  <c r="F4" i="18" s="1"/>
  <c r="F5" i="18" s="1"/>
  <c r="C4" i="18"/>
  <c r="C5" i="18" s="1"/>
  <c r="B4" i="18"/>
  <c r="B5" i="18" s="1"/>
  <c r="E5" i="18" l="1"/>
  <c r="F23" i="18"/>
  <c r="E23" i="18"/>
  <c r="D23" i="18"/>
  <c r="C23" i="18"/>
  <c r="B23" i="18"/>
  <c r="F11" i="18"/>
  <c r="F13" i="18" s="1"/>
  <c r="E11" i="18"/>
  <c r="E13" i="18" s="1"/>
  <c r="D11" i="18"/>
  <c r="D13" i="18" s="1"/>
  <c r="C11" i="18"/>
  <c r="C13" i="18" s="1"/>
  <c r="B11" i="18"/>
  <c r="B13" i="18" s="1"/>
  <c r="F19" i="16" l="1"/>
  <c r="D29" i="16" l="1"/>
  <c r="F16" i="16"/>
  <c r="F15" i="16"/>
  <c r="C17" i="16"/>
  <c r="D17" i="16"/>
  <c r="E17" i="16"/>
  <c r="G17" i="16"/>
  <c r="H17" i="16"/>
  <c r="B17" i="16"/>
  <c r="F9" i="16"/>
  <c r="F8" i="16"/>
  <c r="F6" i="16"/>
  <c r="F5" i="16"/>
  <c r="F4" i="16"/>
  <c r="H7" i="16"/>
  <c r="H11" i="16" s="1"/>
  <c r="G7" i="16"/>
  <c r="G10" i="16" s="1"/>
  <c r="E7" i="16"/>
  <c r="E11" i="16" s="1"/>
  <c r="D7" i="16"/>
  <c r="D11" i="16" s="1"/>
  <c r="C7" i="16"/>
  <c r="C10" i="16" s="1"/>
  <c r="B7" i="16"/>
  <c r="B10" i="16" s="1"/>
  <c r="F17" i="16" l="1"/>
  <c r="F7" i="16"/>
  <c r="F10" i="16" s="1"/>
  <c r="H10" i="16"/>
  <c r="D10" i="16"/>
  <c r="G11" i="16"/>
  <c r="E10" i="16"/>
  <c r="C11" i="16"/>
  <c r="B11" i="16"/>
  <c r="F11" i="16" l="1"/>
  <c r="F8" i="15" l="1"/>
  <c r="I8" i="15"/>
  <c r="I12" i="15" l="1"/>
  <c r="I11" i="15"/>
  <c r="I4" i="15"/>
  <c r="I21" i="15"/>
  <c r="I20" i="15"/>
  <c r="I19" i="15"/>
  <c r="I18" i="15"/>
  <c r="I17" i="15"/>
  <c r="I16" i="15"/>
  <c r="I6" i="15"/>
  <c r="I5" i="15"/>
  <c r="F21" i="15"/>
  <c r="F20" i="15"/>
  <c r="F19" i="15"/>
  <c r="F18" i="15"/>
  <c r="F17" i="15"/>
  <c r="F16" i="15"/>
  <c r="F12" i="15"/>
  <c r="F11" i="15"/>
  <c r="F6" i="15"/>
  <c r="F5" i="15"/>
  <c r="F4" i="15"/>
  <c r="F13" i="15" l="1"/>
  <c r="H13" i="15"/>
  <c r="G13" i="15"/>
  <c r="I13" i="15" s="1"/>
  <c r="E13" i="15"/>
  <c r="D13" i="15"/>
  <c r="C13" i="15"/>
  <c r="B13" i="15"/>
  <c r="H22" i="15" l="1"/>
  <c r="G22" i="15"/>
  <c r="G30" i="15" s="1"/>
  <c r="E22" i="15"/>
  <c r="D22" i="15"/>
  <c r="D29" i="15" s="1"/>
  <c r="C22" i="15"/>
  <c r="C30" i="15" s="1"/>
  <c r="B22" i="15"/>
  <c r="B26" i="15" s="1"/>
  <c r="H7" i="15"/>
  <c r="I7" i="15" s="1"/>
  <c r="G7" i="15"/>
  <c r="E7" i="15"/>
  <c r="F7" i="15" s="1"/>
  <c r="D7" i="15"/>
  <c r="C7" i="15"/>
  <c r="B7" i="15"/>
  <c r="H29" i="15" l="1"/>
  <c r="I22" i="15"/>
  <c r="E30" i="15"/>
  <c r="F22" i="15"/>
  <c r="E28" i="15"/>
  <c r="E29" i="15"/>
  <c r="D30" i="15"/>
  <c r="D25" i="15"/>
  <c r="G27" i="15"/>
  <c r="C26" i="15"/>
  <c r="B29" i="15"/>
  <c r="G29" i="15"/>
  <c r="C29" i="15"/>
  <c r="B30" i="15"/>
  <c r="H26" i="15"/>
  <c r="H30" i="15"/>
  <c r="B28" i="15"/>
  <c r="E26" i="15"/>
  <c r="E25" i="15"/>
  <c r="G28" i="15"/>
  <c r="G25" i="15"/>
  <c r="B27" i="15"/>
  <c r="D26" i="15"/>
  <c r="C27" i="15"/>
  <c r="D27" i="15"/>
  <c r="H28" i="15"/>
  <c r="B25" i="15"/>
  <c r="B31" i="15" s="1"/>
  <c r="C25" i="15"/>
  <c r="H25" i="15"/>
  <c r="G26" i="15"/>
  <c r="E27" i="15"/>
  <c r="D28" i="15"/>
  <c r="H27" i="15"/>
  <c r="C28" i="15"/>
  <c r="I31" i="15" l="1"/>
  <c r="I28" i="15"/>
  <c r="I26" i="15"/>
  <c r="I29" i="15"/>
  <c r="I30" i="15"/>
  <c r="I25" i="15"/>
  <c r="I27" i="15"/>
  <c r="C31" i="15"/>
  <c r="D31" i="15"/>
  <c r="E31" i="15"/>
  <c r="F25" i="15"/>
  <c r="F31" i="15"/>
  <c r="F27" i="15"/>
  <c r="F29" i="15"/>
  <c r="F30" i="15"/>
  <c r="F26" i="15"/>
  <c r="F28" i="15"/>
  <c r="G31" i="15"/>
  <c r="H31" i="15"/>
  <c r="H11" i="14" l="1"/>
  <c r="G11" i="14"/>
  <c r="F11" i="14"/>
  <c r="F14" i="14"/>
  <c r="H24" i="14"/>
  <c r="G24" i="14"/>
  <c r="F24" i="14"/>
  <c r="E24" i="14"/>
  <c r="H7" i="14"/>
  <c r="G7" i="14"/>
  <c r="F7" i="14"/>
  <c r="H62" i="14" l="1"/>
  <c r="G62" i="14"/>
  <c r="F62" i="14"/>
  <c r="E62" i="14"/>
  <c r="E7" i="14" l="1"/>
  <c r="E11" i="14"/>
  <c r="H58" i="14"/>
  <c r="G58" i="14"/>
  <c r="F58" i="14"/>
  <c r="E58" i="14"/>
  <c r="M54" i="14" s="1"/>
  <c r="H52" i="14"/>
  <c r="G52" i="14"/>
  <c r="F52" i="14"/>
  <c r="E52" i="14"/>
  <c r="M48" i="14" s="1"/>
  <c r="H46" i="14"/>
  <c r="G46" i="14"/>
  <c r="F46" i="14"/>
  <c r="E46" i="14"/>
  <c r="M42" i="14" s="1"/>
  <c r="H40" i="14"/>
  <c r="G40" i="14"/>
  <c r="F40" i="14"/>
  <c r="E40" i="14"/>
  <c r="M37" i="14" s="1"/>
  <c r="H35" i="14"/>
  <c r="G35" i="14"/>
  <c r="F35" i="14"/>
  <c r="E35" i="14"/>
  <c r="H29" i="14"/>
  <c r="G29" i="14"/>
  <c r="F29" i="14"/>
  <c r="E29" i="14"/>
  <c r="M26" i="14" s="1"/>
  <c r="H21" i="14"/>
  <c r="G21" i="14"/>
  <c r="F21" i="14"/>
  <c r="E21" i="14"/>
  <c r="M19" i="14" s="1"/>
  <c r="H17" i="14"/>
  <c r="G17" i="14"/>
  <c r="F17" i="14"/>
  <c r="E17" i="14"/>
  <c r="H14" i="14"/>
  <c r="G14" i="14"/>
  <c r="E14" i="14"/>
  <c r="M13" i="14" s="1"/>
  <c r="O23" i="6" l="1"/>
  <c r="N23" i="6"/>
  <c r="M23" i="6"/>
  <c r="L23" i="6"/>
  <c r="K23" i="6"/>
  <c r="J23" i="6"/>
  <c r="I23" i="6"/>
  <c r="H23" i="6"/>
  <c r="G23" i="6"/>
  <c r="F23" i="6"/>
  <c r="E23" i="6"/>
  <c r="D23" i="6"/>
  <c r="C23" i="6"/>
  <c r="B23" i="6"/>
  <c r="B10" i="9"/>
  <c r="C10" i="9"/>
  <c r="D10" i="9"/>
  <c r="E10" i="9"/>
  <c r="F10" i="9"/>
  <c r="G10" i="9"/>
  <c r="H10" i="9"/>
  <c r="I10" i="9"/>
  <c r="J10" i="9"/>
  <c r="K10" i="9"/>
  <c r="L10" i="9"/>
  <c r="M10" i="9"/>
  <c r="M8" i="9"/>
  <c r="M9" i="9" s="1"/>
  <c r="L8" i="9"/>
  <c r="K8" i="9"/>
  <c r="K9" i="9" s="1"/>
  <c r="J8" i="9"/>
  <c r="J9" i="9" s="1"/>
  <c r="I8" i="9"/>
  <c r="I9" i="9" s="1"/>
  <c r="H8" i="9"/>
  <c r="G8" i="9"/>
  <c r="G9" i="9" s="1"/>
  <c r="F8" i="9"/>
  <c r="F9" i="9" s="1"/>
  <c r="E8" i="9"/>
  <c r="E9" i="9" s="1"/>
  <c r="D8" i="9"/>
  <c r="C8" i="9"/>
  <c r="C9" i="9" s="1"/>
  <c r="B8" i="9"/>
  <c r="B9" i="9" s="1"/>
  <c r="M6" i="9"/>
  <c r="M11" i="9" s="1"/>
  <c r="M12" i="9" s="1"/>
  <c r="L6" i="9"/>
  <c r="L11" i="9" s="1"/>
  <c r="L12" i="9" s="1"/>
  <c r="K6" i="9"/>
  <c r="J6" i="9"/>
  <c r="I6" i="9"/>
  <c r="I11" i="9" s="1"/>
  <c r="I12" i="9" s="1"/>
  <c r="H6" i="9"/>
  <c r="H9" i="9" s="1"/>
  <c r="G6" i="9"/>
  <c r="F6" i="9"/>
  <c r="E6" i="9"/>
  <c r="D6" i="9"/>
  <c r="D9" i="9" s="1"/>
  <c r="C6" i="9"/>
  <c r="B6" i="9"/>
  <c r="M5" i="9"/>
  <c r="M7" i="9" s="1"/>
  <c r="L5" i="9"/>
  <c r="L7" i="9" s="1"/>
  <c r="K5" i="9"/>
  <c r="K7" i="9" s="1"/>
  <c r="J5" i="9"/>
  <c r="J7" i="9" s="1"/>
  <c r="I5" i="9"/>
  <c r="I7" i="9" s="1"/>
  <c r="H5" i="9"/>
  <c r="H7" i="9" s="1"/>
  <c r="G5" i="9"/>
  <c r="G7" i="9" s="1"/>
  <c r="F5" i="9"/>
  <c r="F7" i="9" s="1"/>
  <c r="E5" i="9"/>
  <c r="E7" i="9" s="1"/>
  <c r="D5" i="9"/>
  <c r="D7" i="9" s="1"/>
  <c r="C5" i="9"/>
  <c r="C7" i="9" s="1"/>
  <c r="B5" i="9"/>
  <c r="B7" i="9" s="1"/>
  <c r="B4" i="9"/>
  <c r="M4" i="9"/>
  <c r="L4" i="9"/>
  <c r="K4" i="9"/>
  <c r="J4" i="9"/>
  <c r="I4" i="9"/>
  <c r="H4" i="9"/>
  <c r="G4" i="9"/>
  <c r="F4" i="9"/>
  <c r="E4" i="9"/>
  <c r="D4" i="9"/>
  <c r="C4" i="9"/>
  <c r="L41" i="9"/>
  <c r="I41" i="9"/>
  <c r="F41" i="9"/>
  <c r="C41" i="9"/>
  <c r="N10" i="9"/>
  <c r="L35" i="9"/>
  <c r="I35" i="9"/>
  <c r="F35" i="9"/>
  <c r="C35" i="9"/>
  <c r="L34" i="9"/>
  <c r="I34" i="9"/>
  <c r="F34" i="9"/>
  <c r="C34" i="9"/>
  <c r="N26" i="9"/>
  <c r="N6" i="9" s="1"/>
  <c r="N32" i="9"/>
  <c r="N8" i="9" s="1"/>
  <c r="L18" i="9"/>
  <c r="I18" i="9"/>
  <c r="F18" i="9"/>
  <c r="C18" i="9"/>
  <c r="L29" i="9"/>
  <c r="I29" i="9"/>
  <c r="F29" i="9"/>
  <c r="C29" i="9"/>
  <c r="L28" i="9"/>
  <c r="I28" i="9"/>
  <c r="F28" i="9"/>
  <c r="C28" i="9"/>
  <c r="L23" i="9"/>
  <c r="I23" i="9"/>
  <c r="F23" i="9"/>
  <c r="C23" i="9"/>
  <c r="N21" i="9"/>
  <c r="N4" i="9" s="1"/>
  <c r="N15" i="9"/>
  <c r="N5" i="9" s="1"/>
  <c r="L17" i="9"/>
  <c r="I17" i="9"/>
  <c r="F17" i="9"/>
  <c r="C17" i="9"/>
  <c r="P10" i="9"/>
  <c r="Q10" i="9"/>
  <c r="R10" i="9"/>
  <c r="S10" i="9"/>
  <c r="T10" i="9"/>
  <c r="U10" i="9"/>
  <c r="V10" i="9"/>
  <c r="W10" i="9"/>
  <c r="X10" i="9"/>
  <c r="Y10" i="9"/>
  <c r="Z10" i="9"/>
  <c r="O10" i="9"/>
  <c r="P8" i="9"/>
  <c r="Q8" i="9"/>
  <c r="R8" i="9"/>
  <c r="S8" i="9"/>
  <c r="T8" i="9"/>
  <c r="U8" i="9"/>
  <c r="V8" i="9"/>
  <c r="W8" i="9"/>
  <c r="X8" i="9"/>
  <c r="Y8" i="9"/>
  <c r="Z8" i="9"/>
  <c r="O8" i="9"/>
  <c r="P6" i="9"/>
  <c r="P11" i="9" s="1"/>
  <c r="P12" i="9" s="1"/>
  <c r="Q6" i="9"/>
  <c r="R6" i="9"/>
  <c r="S6" i="9"/>
  <c r="T6" i="9"/>
  <c r="T11" i="9" s="1"/>
  <c r="T12" i="9" s="1"/>
  <c r="U6" i="9"/>
  <c r="V6" i="9"/>
  <c r="W6" i="9"/>
  <c r="X6" i="9"/>
  <c r="X11" i="9" s="1"/>
  <c r="X12" i="9" s="1"/>
  <c r="Y6" i="9"/>
  <c r="Z6" i="9"/>
  <c r="O6" i="9"/>
  <c r="Y28" i="9"/>
  <c r="V28" i="9"/>
  <c r="S28" i="9"/>
  <c r="P28" i="9"/>
  <c r="Y29" i="9"/>
  <c r="V29" i="9"/>
  <c r="S29" i="9"/>
  <c r="P29" i="9"/>
  <c r="AA26" i="9"/>
  <c r="AA6" i="9" s="1"/>
  <c r="P5" i="9"/>
  <c r="Q5" i="9"/>
  <c r="R5" i="9"/>
  <c r="S5" i="9"/>
  <c r="T5" i="9"/>
  <c r="U5" i="9"/>
  <c r="V5" i="9"/>
  <c r="W5" i="9"/>
  <c r="X5" i="9"/>
  <c r="Y5" i="9"/>
  <c r="Z5" i="9"/>
  <c r="O5" i="9"/>
  <c r="P4" i="9"/>
  <c r="Q4" i="9"/>
  <c r="R4" i="9"/>
  <c r="S4" i="9"/>
  <c r="T4" i="9"/>
  <c r="U4" i="9"/>
  <c r="V4" i="9"/>
  <c r="W4" i="9"/>
  <c r="X4" i="9"/>
  <c r="Y4" i="9"/>
  <c r="Z4" i="9"/>
  <c r="O4" i="9"/>
  <c r="AA15" i="9"/>
  <c r="AA5" i="9" s="1"/>
  <c r="AA21" i="9"/>
  <c r="AA4" i="9" s="1"/>
  <c r="Y23" i="9"/>
  <c r="V23" i="9"/>
  <c r="S23" i="9"/>
  <c r="P23" i="9"/>
  <c r="AA32" i="9"/>
  <c r="AA8" i="9" s="1"/>
  <c r="AA38" i="9"/>
  <c r="AA10" i="9" s="1"/>
  <c r="Y41" i="9"/>
  <c r="V41" i="9"/>
  <c r="S41" i="9"/>
  <c r="P41" i="9"/>
  <c r="Y34" i="9"/>
  <c r="V34" i="9"/>
  <c r="S34" i="9"/>
  <c r="P34" i="9"/>
  <c r="Y35" i="9"/>
  <c r="V35" i="9"/>
  <c r="S35" i="9"/>
  <c r="P35" i="9"/>
  <c r="Y18" i="9"/>
  <c r="Y17" i="9"/>
  <c r="V18" i="9"/>
  <c r="V17" i="9"/>
  <c r="S18" i="9"/>
  <c r="S17" i="9"/>
  <c r="P18" i="9"/>
  <c r="P17" i="9"/>
  <c r="B11" i="9" l="1"/>
  <c r="B12" i="9" s="1"/>
  <c r="C11" i="9"/>
  <c r="C12" i="9" s="1"/>
  <c r="K11" i="9"/>
  <c r="K12" i="9" s="1"/>
  <c r="G11" i="9"/>
  <c r="G12" i="9" s="1"/>
  <c r="F11" i="9"/>
  <c r="F12" i="9" s="1"/>
  <c r="E11" i="9"/>
  <c r="E12" i="9" s="1"/>
  <c r="N9" i="9"/>
  <c r="N7" i="9"/>
  <c r="N11" i="9"/>
  <c r="N12" i="9" s="1"/>
  <c r="F44" i="9"/>
  <c r="S44" i="9"/>
  <c r="D11" i="9"/>
  <c r="D12" i="9" s="1"/>
  <c r="J11" i="9"/>
  <c r="J12" i="9" s="1"/>
  <c r="V44" i="9"/>
  <c r="H11" i="9"/>
  <c r="H12" i="9" s="1"/>
  <c r="Y44" i="9"/>
  <c r="L9" i="9"/>
  <c r="P44" i="9"/>
  <c r="I44" i="9"/>
  <c r="L44" i="9"/>
  <c r="C44" i="9"/>
  <c r="Y11" i="9"/>
  <c r="Y12" i="9" s="1"/>
  <c r="U11" i="9"/>
  <c r="U12" i="9" s="1"/>
  <c r="Q11" i="9"/>
  <c r="Q12" i="9" s="1"/>
  <c r="Z9" i="9"/>
  <c r="V9" i="9"/>
  <c r="R9" i="9"/>
  <c r="Z7" i="9"/>
  <c r="V7" i="9"/>
  <c r="R7" i="9"/>
  <c r="O11" i="9"/>
  <c r="O12" i="9" s="1"/>
  <c r="Y7" i="9"/>
  <c r="U7" i="9"/>
  <c r="Q7" i="9"/>
  <c r="AA11" i="9"/>
  <c r="AA12" i="9" s="1"/>
  <c r="W11" i="9"/>
  <c r="W12" i="9" s="1"/>
  <c r="S11" i="9"/>
  <c r="S12" i="9" s="1"/>
  <c r="Z11" i="9"/>
  <c r="Z12" i="9" s="1"/>
  <c r="V11" i="9"/>
  <c r="V12" i="9" s="1"/>
  <c r="R11" i="9"/>
  <c r="R12" i="9" s="1"/>
  <c r="X7" i="9"/>
  <c r="T7" i="9"/>
  <c r="P7" i="9"/>
  <c r="Y9" i="9"/>
  <c r="Q9" i="9"/>
  <c r="O7" i="9"/>
  <c r="X9" i="9"/>
  <c r="T9" i="9"/>
  <c r="P9" i="9"/>
  <c r="AA7" i="9"/>
  <c r="W9" i="9"/>
  <c r="S9" i="9"/>
  <c r="W7" i="9"/>
  <c r="S7" i="9"/>
  <c r="U9" i="9"/>
  <c r="AA9" i="9"/>
  <c r="O9" i="9" l="1"/>
  <c r="B20" i="7"/>
  <c r="L19" i="7"/>
  <c r="G19" i="7"/>
  <c r="L17" i="7"/>
  <c r="G17" i="7"/>
  <c r="L16" i="7"/>
  <c r="G16" i="7"/>
  <c r="L15" i="7"/>
  <c r="G15" i="7"/>
  <c r="L14" i="7"/>
  <c r="G14" i="7"/>
  <c r="L13" i="7"/>
  <c r="G13" i="7"/>
  <c r="L12" i="7"/>
  <c r="G12" i="7"/>
  <c r="L11" i="7"/>
  <c r="L9" i="7"/>
  <c r="G9" i="7"/>
  <c r="M8" i="7"/>
  <c r="M10" i="7" s="1"/>
  <c r="M18" i="7" s="1"/>
  <c r="K8" i="7"/>
  <c r="K10" i="7" s="1"/>
  <c r="K18" i="7" s="1"/>
  <c r="J8" i="7"/>
  <c r="J10" i="7" s="1"/>
  <c r="J18" i="7" s="1"/>
  <c r="I8" i="7"/>
  <c r="I10" i="7" s="1"/>
  <c r="I18" i="7" s="1"/>
  <c r="H8" i="7"/>
  <c r="H10" i="7" s="1"/>
  <c r="F8" i="7"/>
  <c r="F10" i="7" s="1"/>
  <c r="F18" i="7" s="1"/>
  <c r="F20" i="7" s="1"/>
  <c r="E8" i="7"/>
  <c r="E10" i="7" s="1"/>
  <c r="E18" i="7" s="1"/>
  <c r="D8" i="7"/>
  <c r="D10" i="7" s="1"/>
  <c r="D18" i="7" s="1"/>
  <c r="C8" i="7"/>
  <c r="L7" i="7"/>
  <c r="G7" i="7"/>
  <c r="L6" i="7"/>
  <c r="G6" i="7"/>
  <c r="L5" i="7"/>
  <c r="L4" i="7"/>
  <c r="G4" i="7"/>
  <c r="G8" i="7" l="1"/>
  <c r="G10" i="7" s="1"/>
  <c r="C10" i="7"/>
  <c r="L8" i="7"/>
  <c r="L10" i="7" s="1"/>
  <c r="M20" i="7"/>
  <c r="D20" i="7"/>
  <c r="H18" i="7"/>
  <c r="I20" i="7"/>
  <c r="E20" i="7"/>
  <c r="K20" i="7"/>
  <c r="J20" i="7"/>
  <c r="L18" i="7" l="1"/>
  <c r="H20" i="7"/>
  <c r="L20" i="7" l="1"/>
  <c r="J26" i="5" l="1"/>
  <c r="K26" i="5"/>
  <c r="B26" i="5"/>
  <c r="F26" i="5"/>
  <c r="D26" i="5"/>
  <c r="C26" i="5"/>
  <c r="E26" i="5"/>
  <c r="M29" i="5"/>
  <c r="K40" i="4"/>
  <c r="J40" i="4"/>
  <c r="I40" i="4"/>
  <c r="H40" i="4"/>
  <c r="G40" i="4"/>
  <c r="F40" i="4"/>
  <c r="E40" i="4"/>
  <c r="D40" i="4"/>
  <c r="C40" i="4"/>
  <c r="B40" i="4"/>
  <c r="K53" i="4"/>
  <c r="J53" i="4"/>
  <c r="I53" i="4"/>
  <c r="H53" i="4"/>
  <c r="G53" i="4"/>
  <c r="F53" i="4"/>
  <c r="F60" i="4" s="1"/>
  <c r="E53" i="4"/>
  <c r="D53" i="4"/>
  <c r="C53" i="4"/>
  <c r="B53" i="4"/>
  <c r="K27" i="4"/>
  <c r="J27" i="4"/>
  <c r="J51" i="4" s="1"/>
  <c r="I27" i="4"/>
  <c r="H27" i="4"/>
  <c r="G27" i="4"/>
  <c r="F27" i="4"/>
  <c r="F51" i="4" s="1"/>
  <c r="E27" i="4"/>
  <c r="E51" i="4" s="1"/>
  <c r="D27" i="4"/>
  <c r="C27" i="4"/>
  <c r="B27" i="4"/>
  <c r="K12" i="4"/>
  <c r="K25" i="4" s="1"/>
  <c r="J12" i="4"/>
  <c r="I12" i="4"/>
  <c r="H12" i="4"/>
  <c r="G12" i="4"/>
  <c r="G25" i="4" s="1"/>
  <c r="F12" i="4"/>
  <c r="E12" i="4"/>
  <c r="D12" i="4"/>
  <c r="C12" i="4"/>
  <c r="C25" i="4" s="1"/>
  <c r="B12" i="4"/>
  <c r="K4" i="4"/>
  <c r="J4" i="4"/>
  <c r="I4" i="4"/>
  <c r="H4" i="4"/>
  <c r="G4" i="4"/>
  <c r="F4" i="4"/>
  <c r="E4" i="4"/>
  <c r="E25" i="4" s="1"/>
  <c r="D4" i="4"/>
  <c r="C4" i="4"/>
  <c r="B4" i="4"/>
  <c r="G29" i="2"/>
  <c r="B51" i="4" l="1"/>
  <c r="J25" i="4"/>
  <c r="B25" i="4"/>
  <c r="H25" i="4"/>
  <c r="D25" i="4"/>
  <c r="I25" i="4"/>
  <c r="I51" i="4"/>
  <c r="I60" i="4" s="1"/>
  <c r="E60" i="4"/>
  <c r="C51" i="4"/>
  <c r="G51" i="4"/>
  <c r="G60" i="4" s="1"/>
  <c r="K51" i="4"/>
  <c r="K60" i="4" s="1"/>
  <c r="B60" i="4"/>
  <c r="D51" i="4"/>
  <c r="D60" i="4" s="1"/>
  <c r="H51" i="4"/>
  <c r="H60" i="4" s="1"/>
  <c r="C60" i="4"/>
  <c r="J60" i="4"/>
  <c r="F25" i="4"/>
  <c r="L10" i="2" l="1"/>
  <c r="L4" i="2" s="1"/>
  <c r="L19" i="2" s="1"/>
  <c r="L21" i="2" s="1"/>
  <c r="L23" i="2" s="1"/>
  <c r="L28" i="2" s="1"/>
  <c r="L30" i="2" s="1"/>
  <c r="L4" i="14" s="1"/>
  <c r="M4" i="14" s="1"/>
  <c r="J4" i="2"/>
  <c r="I4" i="2"/>
  <c r="M27" i="2"/>
  <c r="L27" i="2"/>
  <c r="K27" i="2"/>
  <c r="J27" i="2"/>
  <c r="I27" i="2"/>
  <c r="H27" i="2"/>
  <c r="F27" i="2"/>
  <c r="E27" i="2"/>
  <c r="D27" i="2"/>
  <c r="C27" i="2"/>
  <c r="M11" i="2"/>
  <c r="L11" i="2"/>
  <c r="K11" i="2"/>
  <c r="J11" i="2"/>
  <c r="I11" i="2"/>
  <c r="H11" i="2"/>
  <c r="G11" i="2"/>
  <c r="F11" i="2"/>
  <c r="E11" i="2"/>
  <c r="D11" i="2"/>
  <c r="C11" i="2"/>
  <c r="B11" i="2"/>
  <c r="M4" i="2"/>
  <c r="H4" i="2"/>
  <c r="H19" i="2" s="1"/>
  <c r="H21" i="2" s="1"/>
  <c r="H23" i="2" s="1"/>
  <c r="G4" i="2"/>
  <c r="G19" i="2" s="1"/>
  <c r="G21" i="2" s="1"/>
  <c r="G23" i="2" s="1"/>
  <c r="F4" i="2"/>
  <c r="E4" i="2"/>
  <c r="D4" i="2"/>
  <c r="D19" i="2" s="1"/>
  <c r="D21" i="2" s="1"/>
  <c r="D23" i="2" s="1"/>
  <c r="C4" i="2"/>
  <c r="C19" i="2" s="1"/>
  <c r="C21" i="2" s="1"/>
  <c r="C23" i="2" s="1"/>
  <c r="B4" i="2"/>
  <c r="B27" i="2"/>
  <c r="M19" i="2" l="1"/>
  <c r="M21" i="2" s="1"/>
  <c r="M23" i="2" s="1"/>
  <c r="M28" i="2" s="1"/>
  <c r="M30" i="2" s="1"/>
  <c r="F19" i="2"/>
  <c r="F21" i="2" s="1"/>
  <c r="F23" i="2" s="1"/>
  <c r="F28" i="2" s="1"/>
  <c r="F30" i="2" s="1"/>
  <c r="H28" i="2"/>
  <c r="H30" i="2" s="1"/>
  <c r="B19" i="2"/>
  <c r="B21" i="2" s="1"/>
  <c r="B23" i="2" s="1"/>
  <c r="B28" i="2" s="1"/>
  <c r="B30" i="2" s="1"/>
  <c r="E19" i="2"/>
  <c r="E21" i="2" s="1"/>
  <c r="E23" i="2" s="1"/>
  <c r="E28" i="2" s="1"/>
  <c r="E30" i="2" s="1"/>
  <c r="J19" i="2"/>
  <c r="J21" i="2" s="1"/>
  <c r="J23" i="2" s="1"/>
  <c r="J28" i="2" s="1"/>
  <c r="J30" i="2" s="1"/>
  <c r="K4" i="2"/>
  <c r="K19" i="2" s="1"/>
  <c r="K21" i="2" s="1"/>
  <c r="K23" i="2" s="1"/>
  <c r="K28" i="2" s="1"/>
  <c r="K30" i="2" s="1"/>
  <c r="I19" i="2"/>
  <c r="I21" i="2" s="1"/>
  <c r="I23" i="2" s="1"/>
  <c r="I28" i="2" s="1"/>
  <c r="I30" i="2" s="1"/>
  <c r="D28" i="2"/>
  <c r="D30" i="2" s="1"/>
  <c r="C28" i="2"/>
  <c r="C30" i="2" s="1"/>
  <c r="G26" i="2" l="1"/>
  <c r="G27" i="2" l="1"/>
  <c r="G28" i="2" s="1"/>
  <c r="G30" i="2" s="1"/>
  <c r="L9" i="14" s="1"/>
  <c r="M9" i="14" s="1"/>
  <c r="N11" i="6"/>
  <c r="N10" i="6"/>
  <c r="N15" i="6"/>
  <c r="N14" i="6"/>
  <c r="L29" i="5" l="1"/>
  <c r="K29" i="5"/>
  <c r="J29" i="5"/>
  <c r="I29" i="5"/>
  <c r="H29" i="5"/>
  <c r="G29" i="5"/>
  <c r="F29" i="5"/>
  <c r="E29" i="5"/>
  <c r="D29" i="5"/>
  <c r="C29" i="5"/>
  <c r="B29" i="5"/>
  <c r="C18" i="7" l="1"/>
  <c r="G11" i="7"/>
  <c r="G18" i="7" s="1"/>
  <c r="G20" i="7" l="1"/>
  <c r="C20" i="7"/>
</calcChain>
</file>

<file path=xl/sharedStrings.xml><?xml version="1.0" encoding="utf-8"?>
<sst xmlns="http://schemas.openxmlformats.org/spreadsheetml/2006/main" count="688" uniqueCount="374">
  <si>
    <t/>
  </si>
  <si>
    <t>1T19</t>
  </si>
  <si>
    <t>2T19</t>
  </si>
  <si>
    <t>3T19</t>
  </si>
  <si>
    <t>4T19</t>
  </si>
  <si>
    <t>1T20</t>
  </si>
  <si>
    <t>2T20</t>
  </si>
  <si>
    <t>3T20</t>
  </si>
  <si>
    <t>4T20</t>
  </si>
  <si>
    <t>CAPEX</t>
  </si>
  <si>
    <t>Pagamento da outorga</t>
  </si>
  <si>
    <t>Lucros (prejuízos) acumulados</t>
  </si>
  <si>
    <t>Total</t>
  </si>
  <si>
    <t>Porto Primavera</t>
  </si>
  <si>
    <t>Paraibuna</t>
  </si>
  <si>
    <t>Jaguari</t>
  </si>
  <si>
    <t>GSF</t>
  </si>
  <si>
    <t>1T21</t>
  </si>
  <si>
    <t xml:space="preserve"> - </t>
  </si>
  <si>
    <t>Usina entregue em 31/12/2020</t>
  </si>
  <si>
    <t>Extensão de concessão concedida em mar/2021</t>
  </si>
  <si>
    <t>Rosana (SP)</t>
  </si>
  <si>
    <t>Paraibuna (SP)</t>
  </si>
  <si>
    <t>São José dos Campos (SP)</t>
  </si>
  <si>
    <t>2T21</t>
  </si>
  <si>
    <t>GSF (%) - CCEE</t>
  </si>
  <si>
    <t>2021</t>
  </si>
  <si>
    <t>Balanço Energético</t>
  </si>
  <si>
    <t>Payout</t>
  </si>
  <si>
    <t>TOTAL</t>
  </si>
  <si>
    <t>Prescrito</t>
  </si>
  <si>
    <t>Record Date</t>
  </si>
  <si>
    <t>Dividend Yield</t>
  </si>
  <si>
    <t>CESP3 = 1,4%
CESP5 = 14,9%
CESP6 = 1,0%</t>
  </si>
  <si>
    <t>CESP3 = 2,1%
CESP5 = 6,7%
CESP6 = 1,7%</t>
  </si>
  <si>
    <t>CESP3 = 3,2%
CESP5 = 7,6%
CESP6 = 2,6%</t>
  </si>
  <si>
    <t>CESP3 = 5,2%
CESP5 = 5,4%
CESP6 = 4,3%</t>
  </si>
  <si>
    <t>CESP3 = 7,0%
CESP5 = 9,8%
CESP6 = 6,0%</t>
  </si>
  <si>
    <t>CESP3 = 16,0%
CESP5 = 14,4%
CESP6 = 14,2%</t>
  </si>
  <si>
    <t>CESP3 = 24,2%
CESP5 = 21,5%
CESP6 = 20,2%</t>
  </si>
  <si>
    <t>CESP3 = 0,9%
CESP5 = 0,6%
CESP6 = 20,2%</t>
  </si>
  <si>
    <t>CESP3 = 7,0%
CESP5 = 9,5%
CESP6 = 6,5%</t>
  </si>
  <si>
    <t>CESP3 = 0,3%
CESP5 = 9,1%
CESP6 = 0,3%</t>
  </si>
  <si>
    <t>CESP3 = 4,2%
CESP5 = 9,1%
CESP6 = 4,1%</t>
  </si>
  <si>
    <t>CESP3 = 5,7%
CESP5 = 5,8%
CESP6 = 5,8%</t>
  </si>
  <si>
    <t>CESP3 = 9,3%
CESP5 = 7,3%
CESP6 = 9,0%</t>
  </si>
  <si>
    <t xml:space="preserve">EBITDA LTM </t>
  </si>
  <si>
    <t>IPCA</t>
  </si>
  <si>
    <t>CDI</t>
  </si>
  <si>
    <t>11ª Emissão de Debêntures - 1ª série</t>
  </si>
  <si>
    <t>12ª Emissão de Debêntures - 1ª série</t>
  </si>
  <si>
    <t>12ª Emissão de Debêntures - 2ª série</t>
  </si>
  <si>
    <t>12ª Emissão de Debêntures - 3ª série</t>
  </si>
  <si>
    <t>11ª Emissão de Debêntures - 2ª série</t>
  </si>
  <si>
    <t>11ª Emissão de Debêntures - 4ª série</t>
  </si>
  <si>
    <t>11ª Emissão de Debêntures - 3ª série</t>
  </si>
  <si>
    <t>Shareholder Remuneration History</t>
  </si>
  <si>
    <t>Fiscal Year</t>
  </si>
  <si>
    <t>Earnings</t>
  </si>
  <si>
    <t>Event-Date</t>
  </si>
  <si>
    <t>Notice</t>
  </si>
  <si>
    <t>Amount
(R$)</t>
  </si>
  <si>
    <t>ON - CESP3
(R$/share)</t>
  </si>
  <si>
    <t>PNA - CESP5
(R$/share)</t>
  </si>
  <si>
    <t>PNB - CESP6
(R$/share)</t>
  </si>
  <si>
    <t>Payment Date</t>
  </si>
  <si>
    <t>ex-Date</t>
  </si>
  <si>
    <t>Net Income
(R$ thousand)</t>
  </si>
  <si>
    <t>Prescrption</t>
  </si>
  <si>
    <t>08/08/2012 and 22/10/2012</t>
  </si>
  <si>
    <t>12/16/2020 and 02/19/2020</t>
  </si>
  <si>
    <t>02/19/2020</t>
  </si>
  <si>
    <t>OEGM 03/29/2021</t>
  </si>
  <si>
    <t>OEGM
03/30/2020</t>
  </si>
  <si>
    <t>02/17/2020</t>
  </si>
  <si>
    <t>Board Meeting 
07/08/2012</t>
  </si>
  <si>
    <t>Board Meeting
05/05/2011</t>
  </si>
  <si>
    <t>Board Meeting
08/08/2008</t>
  </si>
  <si>
    <t>08/12/2008 and 09/02/2008</t>
  </si>
  <si>
    <t>Board Meeting
05/09/2008</t>
  </si>
  <si>
    <t>05/13/2008</t>
  </si>
  <si>
    <t>04/30/2010 and 06/22/2010</t>
  </si>
  <si>
    <t>OEGM
04/30/2010</t>
  </si>
  <si>
    <t>11/11/2009 and 12/28/2009</t>
  </si>
  <si>
    <t>Board Meeting 
11/10/2009</t>
  </si>
  <si>
    <t>Board Meeting 
08/11/2009</t>
  </si>
  <si>
    <t>08/13/2009 and 10/02/2009</t>
  </si>
  <si>
    <t>Board Meeting
05/12/2009</t>
  </si>
  <si>
    <t>05/14/2009 and 06/09/2009</t>
  </si>
  <si>
    <t>05/02/2011 and 09/20/2011</t>
  </si>
  <si>
    <t>OEGM
04/29/2011</t>
  </si>
  <si>
    <t>Board Meeting 
11/12/2010</t>
  </si>
  <si>
    <t>11/16/2010 and 12/10/2010</t>
  </si>
  <si>
    <t>Board Meeting 
08/10/2010</t>
  </si>
  <si>
    <t>08/12/2010 and 10/01/2010</t>
  </si>
  <si>
    <t>Board Meeting
05/11/2010</t>
  </si>
  <si>
    <t>05/11/2010 and 06/30/2010</t>
  </si>
  <si>
    <t xml:space="preserve">04/25/2012 and 06/19/2012 and 09/19/2012 </t>
  </si>
  <si>
    <t>OEGM
04/24/2012</t>
  </si>
  <si>
    <t>Board Meeting 
08/04/2011</t>
  </si>
  <si>
    <t>08/08/2011 and 10/18/2011</t>
  </si>
  <si>
    <t>05/06/2011 and 07/12/2011</t>
  </si>
  <si>
    <t>04/24/2013 and 11/22/2013</t>
  </si>
  <si>
    <t>OEGM
04/24/2013</t>
  </si>
  <si>
    <t>05/09/2012 and 07/13/2012</t>
  </si>
  <si>
    <t>Board Meeting
05/08/2012</t>
  </si>
  <si>
    <t>Board Meeting
05/07/2013</t>
  </si>
  <si>
    <t>Board Meeting
08/13/2013</t>
  </si>
  <si>
    <t>OEGM
04/25/2014</t>
  </si>
  <si>
    <t>05/09/2013 and 07/19/2013</t>
  </si>
  <si>
    <t>08/14/2013 and 10/23/2013</t>
  </si>
  <si>
    <t>04/25/2014 and 06/24/2014</t>
  </si>
  <si>
    <t>04/25/2014 and 11/19/2014</t>
  </si>
  <si>
    <t>Board Meeting
08/12/2014</t>
  </si>
  <si>
    <t>Board Meeting
04/27/2015</t>
  </si>
  <si>
    <t>08/15/2014 and 09/24/2014</t>
  </si>
  <si>
    <t>04/27/2015 and 05/21/2015</t>
  </si>
  <si>
    <t>04/27/2015 and 09/21/2015</t>
  </si>
  <si>
    <t>OEGM
04/26/2016</t>
  </si>
  <si>
    <t>04/26/2016 and 06/22/2016</t>
  </si>
  <si>
    <t>04/26/2017 and 06/21/2017</t>
  </si>
  <si>
    <t>11/11/2016 and 11/24/2016</t>
  </si>
  <si>
    <t>Board Meeting 11/08/2016</t>
  </si>
  <si>
    <t>OEGM
04/26/2017</t>
  </si>
  <si>
    <t>OEGM
04/24/2018</t>
  </si>
  <si>
    <t>04/24/2018 and 06/12/2018</t>
  </si>
  <si>
    <t>04/29/2019</t>
  </si>
  <si>
    <t>OEGM
04/29/2019</t>
  </si>
  <si>
    <t>Dividends</t>
  </si>
  <si>
    <t>Interest on Capital</t>
  </si>
  <si>
    <t>Contingent Liability</t>
  </si>
  <si>
    <t>1Q20</t>
  </si>
  <si>
    <t>2Q20</t>
  </si>
  <si>
    <t>3Q20</t>
  </si>
  <si>
    <t>4Q20</t>
  </si>
  <si>
    <t>1Q21</t>
  </si>
  <si>
    <t>2Q21</t>
  </si>
  <si>
    <t>1H21</t>
  </si>
  <si>
    <t>Classification (R$ million)</t>
  </si>
  <si>
    <t>Probable</t>
  </si>
  <si>
    <t>Possible</t>
  </si>
  <si>
    <t>Remote</t>
  </si>
  <si>
    <t>Provision</t>
  </si>
  <si>
    <t>Quarter Variations (R$ million)</t>
  </si>
  <si>
    <t>Movements, judgments and settlements</t>
  </si>
  <si>
    <t>Monetary correction</t>
  </si>
  <si>
    <t>Nature (R$ million)</t>
  </si>
  <si>
    <t>Civil - General</t>
  </si>
  <si>
    <t>Civil - Fisherman</t>
  </si>
  <si>
    <t>Civil - Tile Companies</t>
  </si>
  <si>
    <t>Environmental</t>
  </si>
  <si>
    <t>Labor</t>
  </si>
  <si>
    <t>Tax</t>
  </si>
  <si>
    <t>Nature (%)</t>
  </si>
  <si>
    <t>Note: do not consider proforma presented in the earnings release</t>
  </si>
  <si>
    <t>2Q21 Energy Portfolio</t>
  </si>
  <si>
    <t>Energy Available for Sales (MWavg)</t>
  </si>
  <si>
    <t>Gross Physical Guarantee</t>
  </si>
  <si>
    <t>Net Physical Guarantee (internal loss of 2.5%)</t>
  </si>
  <si>
    <t>Energy Sold (MWavg)</t>
  </si>
  <si>
    <t>Regulated Market</t>
  </si>
  <si>
    <t>Free Market</t>
  </si>
  <si>
    <t>Contracting Level</t>
  </si>
  <si>
    <t>Average Price (R$/MWh)</t>
  </si>
  <si>
    <t>Portfolio</t>
  </si>
  <si>
    <t>Indexes (% Total of Free Market)</t>
  </si>
  <si>
    <t>US Dolars</t>
  </si>
  <si>
    <t>Client Portfolio (% Total of Free Market)</t>
  </si>
  <si>
    <t>Commoditties - Industrial and Minera</t>
  </si>
  <si>
    <t>Cyclical consumption</t>
  </si>
  <si>
    <t>Utilities</t>
  </si>
  <si>
    <t>Hospital Equipments</t>
  </si>
  <si>
    <t>Banks</t>
  </si>
  <si>
    <t>Oil and gas</t>
  </si>
  <si>
    <t>Material, Machines and Equipments</t>
  </si>
  <si>
    <t>Automotive</t>
  </si>
  <si>
    <t>Non-cyclical consumption</t>
  </si>
  <si>
    <t>Agribusiness and food commoditties</t>
  </si>
  <si>
    <t>Note: Physical Guarantee composition -  2021 (Porto Primavera + Paraibuna), 2022 (Porto Primavera + Paraibuna until june), 2023 onwards (Porto Primavera)</t>
  </si>
  <si>
    <t>Energy balance (MW average)</t>
  </si>
  <si>
    <t>feb/20</t>
  </si>
  <si>
    <t>apr/20</t>
  </si>
  <si>
    <t>may/20</t>
  </si>
  <si>
    <t>aug/20</t>
  </si>
  <si>
    <t>sep/20</t>
  </si>
  <si>
    <t>oct/20</t>
  </si>
  <si>
    <t>dec/20</t>
  </si>
  <si>
    <t>feb/21</t>
  </si>
  <si>
    <t>apr/21</t>
  </si>
  <si>
    <t>may/21</t>
  </si>
  <si>
    <t>aug/21</t>
  </si>
  <si>
    <t>sep/21</t>
  </si>
  <si>
    <t>oct/21</t>
  </si>
  <si>
    <t>dec/21</t>
  </si>
  <si>
    <t>3Q21</t>
  </si>
  <si>
    <t>4Q21</t>
  </si>
  <si>
    <t>Physical Guarantee Allocation</t>
  </si>
  <si>
    <t>Physical Guaranty Seasonality (MWavg)</t>
  </si>
  <si>
    <t>Quarterly Analysis - GSF</t>
  </si>
  <si>
    <t>Quarterly Analysis - Volume (MWavg)</t>
  </si>
  <si>
    <t>Quarterly Analysis - Allocation (%)</t>
  </si>
  <si>
    <t>Quarterly Analysis - Price (R$/MWh)</t>
  </si>
  <si>
    <t>Adjusted Physical Guarantee (MWavg)</t>
  </si>
  <si>
    <t>Physical Guarantee after GSF (MWavg)</t>
  </si>
  <si>
    <t>Energy Sold</t>
  </si>
  <si>
    <t>Contracts (MWavg)</t>
  </si>
  <si>
    <t>Energy Purchase</t>
  </si>
  <si>
    <t>Energy Purchase (MWm)</t>
  </si>
  <si>
    <t>Price (R$/MWh)</t>
  </si>
  <si>
    <t>Energy Purchase Cost (R$ thousand)</t>
  </si>
  <si>
    <r>
      <rPr>
        <b/>
        <sz val="9"/>
        <color theme="1" tint="0.249977111117893"/>
        <rFont val="Arial"/>
        <family val="2"/>
      </rPr>
      <t xml:space="preserve">Notes: </t>
    </r>
    <r>
      <rPr>
        <sz val="9"/>
        <color theme="1" tint="0.249977111117893"/>
        <rFont val="Arial"/>
        <family val="2"/>
      </rPr>
      <t xml:space="preserve">
</t>
    </r>
    <r>
      <rPr>
        <b/>
        <u/>
        <sz val="9"/>
        <color theme="1" tint="0.249977111117893"/>
        <rFont val="Arial"/>
        <family val="2"/>
      </rPr>
      <t>2020</t>
    </r>
    <r>
      <rPr>
        <sz val="9"/>
        <color theme="1" tint="0.249977111117893"/>
        <rFont val="Arial"/>
        <family val="2"/>
      </rPr>
      <t xml:space="preserve"> - balance published at 4Q20 earnings
</t>
    </r>
    <r>
      <rPr>
        <b/>
        <u/>
        <sz val="9"/>
        <color theme="1" tint="0.249977111117893"/>
        <rFont val="Arial"/>
        <family val="2"/>
      </rPr>
      <t>2021</t>
    </r>
    <r>
      <rPr>
        <sz val="9"/>
        <color theme="1" tint="0.249977111117893"/>
        <rFont val="Arial"/>
        <family val="2"/>
      </rPr>
      <t xml:space="preserve"> - balance published at 2Q21 earnings
GSF weighted by Company's allocation since in 2020 and 2021, we followed the MRE
Energy Puchase Cost considers only the data presented in the energy balance, considering the average price for the period and do not reflect the official data reported in the explanatory notes of the Company's Financial Statement</t>
    </r>
  </si>
  <si>
    <t>Operational Costs &amp; Expenses</t>
  </si>
  <si>
    <t xml:space="preserve">Nature - R$ thousand </t>
  </si>
  <si>
    <t>Purchased energy</t>
  </si>
  <si>
    <t>VDP - voluntary dismissal program</t>
  </si>
  <si>
    <t>Administrators</t>
  </si>
  <si>
    <t>Insurance</t>
  </si>
  <si>
    <t>Rents</t>
  </si>
  <si>
    <t>Operational Data</t>
  </si>
  <si>
    <t>General data</t>
  </si>
  <si>
    <t>Reservoir area (km2)</t>
  </si>
  <si>
    <t>Location</t>
  </si>
  <si>
    <t>Concession</t>
  </si>
  <si>
    <t>Extension of dam (km)</t>
  </si>
  <si>
    <t>Generating units</t>
  </si>
  <si>
    <t>Start-up of operations</t>
  </si>
  <si>
    <t>Other info</t>
  </si>
  <si>
    <t>1Q18</t>
  </si>
  <si>
    <t>2Q18</t>
  </si>
  <si>
    <t>3Q18</t>
  </si>
  <si>
    <t>4Q18</t>
  </si>
  <si>
    <t>1Q19</t>
  </si>
  <si>
    <t>2Q19</t>
  </si>
  <si>
    <t>3Q19</t>
  </si>
  <si>
    <t>4Q19</t>
  </si>
  <si>
    <t>Capacity (MW)</t>
  </si>
  <si>
    <t>Avalability Index (%)</t>
  </si>
  <si>
    <t>Generation Scaling Factor (GSF)</t>
  </si>
  <si>
    <t xml:space="preserve">Physical Guarantee </t>
  </si>
  <si>
    <t xml:space="preserve">Adj. Physical Guarantee </t>
  </si>
  <si>
    <t>Energy purchased</t>
  </si>
  <si>
    <t>Total resource</t>
  </si>
  <si>
    <t>Balance (long or short)</t>
  </si>
  <si>
    <t>Deficit/ Surplus</t>
  </si>
  <si>
    <t>Capacity / PG / Availability</t>
  </si>
  <si>
    <t>Generation (MWavg)</t>
  </si>
  <si>
    <t>Physical Guarantee (MWavg)</t>
  </si>
  <si>
    <t>Indebtedness</t>
  </si>
  <si>
    <t>Indebtedness (R$ thousand)</t>
  </si>
  <si>
    <t>Gross Debt</t>
  </si>
  <si>
    <t>Cash and Cash Equivalents</t>
  </si>
  <si>
    <t>Derivatives</t>
  </si>
  <si>
    <t>Net Debt</t>
  </si>
  <si>
    <t>EBITDA LTM Adjusted</t>
  </si>
  <si>
    <t>Leverage EBITDA</t>
  </si>
  <si>
    <t>Leverage EBITDA Adjusted</t>
  </si>
  <si>
    <t>Note: Gross Debt considers commercial lease</t>
  </si>
  <si>
    <t>Gross Debt by indexer (%)</t>
  </si>
  <si>
    <t>Average term (years)</t>
  </si>
  <si>
    <t>2Q21 Portfolio</t>
  </si>
  <si>
    <t>Charges</t>
  </si>
  <si>
    <t>Term</t>
  </si>
  <si>
    <t>Principal - R$ million</t>
  </si>
  <si>
    <t>CDI + 1,64% per year</t>
  </si>
  <si>
    <t>IPCA + 4,30% per year</t>
  </si>
  <si>
    <t>Balance Sheet - R$ thousand</t>
  </si>
  <si>
    <t>Consolidated Balance Sheet</t>
  </si>
  <si>
    <t>Regulatory charges</t>
  </si>
  <si>
    <t>Personnel</t>
  </si>
  <si>
    <t>Social security entity</t>
  </si>
  <si>
    <t>Material</t>
  </si>
  <si>
    <t>Third-party services</t>
  </si>
  <si>
    <t>Depreciation/amortization</t>
  </si>
  <si>
    <t>MP- MS Agreement Implementation</t>
  </si>
  <si>
    <t>Provision for social and environmental commitments</t>
  </si>
  <si>
    <t xml:space="preserve">Reversal of quota difference RGR 2018 and 2017 </t>
  </si>
  <si>
    <t>Provision of ad exitum fees</t>
  </si>
  <si>
    <t>Provision for reduction of warehouse</t>
  </si>
  <si>
    <t>Provision (reversion) for litigation</t>
  </si>
  <si>
    <t>Expenses with judicial deposits</t>
  </si>
  <si>
    <t xml:space="preserve">Reversal of impairment </t>
  </si>
  <si>
    <t>Adjustment for Jupiá and Ilha Solteira</t>
  </si>
  <si>
    <t>Provision of PIS/COFINS for update of judicial deposits</t>
  </si>
  <si>
    <t>Mark-to-market future energy contracts</t>
  </si>
  <si>
    <t>Other (expenses) or income</t>
  </si>
  <si>
    <t>Taxes and contributions</t>
  </si>
  <si>
    <t>Maintenance and conservation</t>
  </si>
  <si>
    <t>Current</t>
  </si>
  <si>
    <t>Cash and cash equivalents</t>
  </si>
  <si>
    <t>Derivative Financial Instruments</t>
  </si>
  <si>
    <t>Receivables</t>
  </si>
  <si>
    <t>Taxes and contributions for offset</t>
  </si>
  <si>
    <t>Contracts of future energy</t>
  </si>
  <si>
    <t>Prepaid expenses</t>
  </si>
  <si>
    <t>Other credits</t>
  </si>
  <si>
    <t>Non-current</t>
  </si>
  <si>
    <t>Pledges and restricted deposits</t>
  </si>
  <si>
    <t>Deferred IR/CSLL</t>
  </si>
  <si>
    <t>Warehouse</t>
  </si>
  <si>
    <t>Assets available for reversal</t>
  </si>
  <si>
    <t>Investments</t>
  </si>
  <si>
    <t>Intangible</t>
  </si>
  <si>
    <t>Immobilized</t>
  </si>
  <si>
    <t>Right of use over lease agreements</t>
  </si>
  <si>
    <t>Fixed assets</t>
  </si>
  <si>
    <t>Liabilities current</t>
  </si>
  <si>
    <t>Loans, financing and debentures</t>
  </si>
  <si>
    <t>Suppliers</t>
  </si>
  <si>
    <t>Lease</t>
  </si>
  <si>
    <t>Future energy contracts</t>
  </si>
  <si>
    <t>Estimated liabilities and payroll</t>
  </si>
  <si>
    <t>Taxes and social contributions</t>
  </si>
  <si>
    <t>Dividends and interest on capital</t>
  </si>
  <si>
    <t>Use of public asset tax (UBP)</t>
  </si>
  <si>
    <t>Social and environmental obligations</t>
  </si>
  <si>
    <t>Other obligations</t>
  </si>
  <si>
    <t>Use of public asset tax</t>
  </si>
  <si>
    <t>Provision for litigation</t>
  </si>
  <si>
    <t>Employees pension</t>
  </si>
  <si>
    <t xml:space="preserve">Total Liabilities </t>
  </si>
  <si>
    <t>Shareholders' Equity</t>
  </si>
  <si>
    <t>Capital stock</t>
  </si>
  <si>
    <t>Capital reserves</t>
  </si>
  <si>
    <t>Profit reserves</t>
  </si>
  <si>
    <t>Equity valuation adjustments</t>
  </si>
  <si>
    <t>Other comprehensive income</t>
  </si>
  <si>
    <t>Total Liabilities and Shareholders 'Equity</t>
  </si>
  <si>
    <t>Cash Flow - R$ thousand</t>
  </si>
  <si>
    <t xml:space="preserve"> Managerial Cash Flow</t>
  </si>
  <si>
    <t>Adjusted EBITDA</t>
  </si>
  <si>
    <t>Cash IR/CSLL</t>
  </si>
  <si>
    <t xml:space="preserve">Working capital </t>
  </si>
  <si>
    <t>Operating cash flow</t>
  </si>
  <si>
    <t>Net debt service</t>
  </si>
  <si>
    <t>Operating cash flow after debt service</t>
  </si>
  <si>
    <t>Payment of litigation</t>
  </si>
  <si>
    <t>Judicial release</t>
  </si>
  <si>
    <t>Funding</t>
  </si>
  <si>
    <t>Amortization</t>
  </si>
  <si>
    <t>Share buyback - ADR Program</t>
  </si>
  <si>
    <t>Free cash flow</t>
  </si>
  <si>
    <t>Initial cash balance</t>
  </si>
  <si>
    <t>Final cash balance</t>
  </si>
  <si>
    <t>Gross revenue</t>
  </si>
  <si>
    <t>Free Market - Bilateral Contracts</t>
  </si>
  <si>
    <t>Trading</t>
  </si>
  <si>
    <t>Regulated Market - Energy Auctions</t>
  </si>
  <si>
    <t>Short-term energy</t>
  </si>
  <si>
    <t>Derivative financial instruments</t>
  </si>
  <si>
    <t>Other revenue</t>
  </si>
  <si>
    <t>Deductions from operating revenues</t>
  </si>
  <si>
    <t>Quota for the reversal of global reserves - RGR</t>
  </si>
  <si>
    <t>Research and development - R&amp;D</t>
  </si>
  <si>
    <t>Taxes on services - ISS</t>
  </si>
  <si>
    <t>COFINS on operating revenues</t>
  </si>
  <si>
    <t>PIS on operating revenues</t>
  </si>
  <si>
    <t>Financial compensation for use of water resources</t>
  </si>
  <si>
    <t>Inspection fee of electricity services - TFSE</t>
  </si>
  <si>
    <t>Net operating revenue</t>
  </si>
  <si>
    <t>Cost of energy service</t>
  </si>
  <si>
    <t>Gross operating profit</t>
  </si>
  <si>
    <t>Operating expenses</t>
  </si>
  <si>
    <t>Result before financial result</t>
  </si>
  <si>
    <t>Financial income</t>
  </si>
  <si>
    <t>Financial expenses</t>
  </si>
  <si>
    <t>Exchange variation</t>
  </si>
  <si>
    <t>Financial result</t>
  </si>
  <si>
    <t>Income (loss) before tax and social contribution</t>
  </si>
  <si>
    <t>Net IR/CSLL</t>
  </si>
  <si>
    <t>Net income (loss)</t>
  </si>
  <si>
    <t>Income Statement (R$ thousand)</t>
  </si>
  <si>
    <t>Note: As from 2Q19, the monetary restatement expenses on provision for litigation were reclassified from “Other Operating Expenses” to “Financial Expenses”. Comparative periods changed to reflect reclassification.</t>
  </si>
  <si>
    <t>Notes: 
2019 numbers were reclassified to be comparable to 2020 ("Judicial Blocking" was reclassified to "Working Capital" and "Debt Services" now excludes financial revenue, which are also consider in the "Working Capital" line.
"Liability Payment" represents the sum of litigation and judicial settlements.
1Q21: "IR/CSLL" considers R$16 million of deduction at source IR due to the interest on equity distribution.</t>
  </si>
  <si>
    <t>Income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</si>
</sst>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_-* #,##0_-;\-* #,##0_-;_-* &quot;-&quot;??_-;_-@_-"/>
    <numFmt numFmtId="166" formatCode="#,##0.0"/>
    <numFmt numFmtId="167" formatCode="0.0%"/>
    <numFmt numFmtId="168" formatCode="0.0"/>
    <numFmt numFmtId="169" formatCode="_-* #,##0.0000000000_-;\-* #,##0.0000000000_-;_-* &quot;-&quot;??_-;_-@_-"/>
    <numFmt numFmtId="170" formatCode="dd/mm/yy;@"/>
    <numFmt numFmtId="171" formatCode="_-* #,##0.00000000_-;\-* #,##0.00000000_-;_-* &quot;-&quot;??_-;_-@_-"/>
    <numFmt numFmtId="172" formatCode="_-* #,##0.000000000_-;\-* #,##0.000000000_-;_-* &quot;-&quot;??_-;_-@_-"/>
    <numFmt numFmtId="173" formatCode="_-* #,##0.0_-;\-* #,##0.0_-;_-* &quot;-&quot;??_-;_-@_-"/>
    <numFmt numFmtId="174" formatCode="0.0\x"/>
    <numFmt numFmtId="175" formatCode="m/d/yy;@"/>
  </numFmts>
  <fonts count="26" x14ac:knownFonts="1">
    <font>
      <sz val="11"/>
      <color theme="1"/>
      <name val="Calibri"/>
      <family val="2"/>
      <scheme val="minor"/>
    </font>
    <font>
      <sz val="11"/>
      <color theme="1"/>
      <name val="Calibri"/>
      <family val="2"/>
      <scheme val="minor"/>
    </font>
    <font>
      <sz val="11"/>
      <color theme="1"/>
      <name val="Arial"/>
      <family val="2"/>
    </font>
    <font>
      <b/>
      <sz val="10"/>
      <color rgb="FF2174B9"/>
      <name val="Arial"/>
      <family val="2"/>
    </font>
    <font>
      <sz val="10"/>
      <color theme="1"/>
      <name val="Arial"/>
      <family val="2"/>
    </font>
    <font>
      <b/>
      <sz val="10"/>
      <color rgb="FF595959"/>
      <name val="Arial"/>
      <family val="2"/>
    </font>
    <font>
      <sz val="10"/>
      <color rgb="FF595959"/>
      <name val="Arial"/>
      <family val="2"/>
    </font>
    <font>
      <sz val="10"/>
      <color theme="1" tint="0.249977111117893"/>
      <name val="Arial"/>
      <family val="2"/>
    </font>
    <font>
      <sz val="10"/>
      <color theme="0"/>
      <name val="Arial"/>
      <family val="2"/>
    </font>
    <font>
      <b/>
      <sz val="10"/>
      <color theme="1" tint="0.249977111117893"/>
      <name val="Arial"/>
      <family val="2"/>
    </font>
    <font>
      <sz val="18"/>
      <color theme="0"/>
      <name val="Arial Black"/>
      <family val="2"/>
    </font>
    <font>
      <b/>
      <sz val="10"/>
      <color theme="1"/>
      <name val="Arial"/>
      <family val="2"/>
    </font>
    <font>
      <sz val="9"/>
      <color theme="1" tint="0.249977111117893"/>
      <name val="Arial"/>
      <family val="2"/>
    </font>
    <font>
      <b/>
      <sz val="9"/>
      <color theme="1" tint="0.249977111117893"/>
      <name val="Arial"/>
      <family val="2"/>
    </font>
    <font>
      <b/>
      <u/>
      <sz val="9"/>
      <color theme="1" tint="0.249977111117893"/>
      <name val="Arial"/>
      <family val="2"/>
    </font>
    <font>
      <b/>
      <sz val="9"/>
      <color rgb="FF2174B9"/>
      <name val="Arial"/>
      <family val="2"/>
    </font>
    <font>
      <sz val="10"/>
      <color rgb="FF2174B9"/>
      <name val="Arial"/>
      <family val="2"/>
    </font>
    <font>
      <b/>
      <sz val="10"/>
      <color theme="0"/>
      <name val="Arial"/>
      <family val="2"/>
    </font>
    <font>
      <b/>
      <sz val="18"/>
      <color theme="0"/>
      <name val="Arial Black"/>
      <family val="2"/>
    </font>
    <font>
      <sz val="9"/>
      <color theme="1"/>
      <name val="Arial"/>
      <family val="2"/>
    </font>
    <font>
      <sz val="10"/>
      <color rgb="FFC00000"/>
      <name val="Arial"/>
      <family val="2"/>
    </font>
    <font>
      <sz val="9"/>
      <color rgb="FF2174B9"/>
      <name val="Arial"/>
      <family val="2"/>
    </font>
    <font>
      <b/>
      <sz val="9"/>
      <color theme="1"/>
      <name val="Arial"/>
      <family val="2"/>
    </font>
    <font>
      <sz val="11"/>
      <color theme="1" tint="0.249977111117893"/>
      <name val="Arial"/>
      <family val="2"/>
    </font>
    <font>
      <sz val="10"/>
      <name val="Arial"/>
      <family val="2"/>
    </font>
    <font>
      <sz val="8"/>
      <name val="Calibri"/>
      <family val="2"/>
      <scheme val="minor"/>
    </font>
  </fonts>
  <fills count="7">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2174B9"/>
        <bgColor indexed="64"/>
      </patternFill>
    </fill>
    <fill>
      <patternFill patternType="solid">
        <fgColor theme="0" tint="-0.14999847407452621"/>
        <bgColor indexed="64"/>
      </patternFill>
    </fill>
  </fills>
  <borders count="26">
    <border>
      <left/>
      <right/>
      <top/>
      <bottom/>
      <diagonal/>
    </border>
    <border>
      <left/>
      <right/>
      <top/>
      <bottom style="medium">
        <color rgb="FFBFBFBF"/>
      </bottom>
      <diagonal/>
    </border>
    <border>
      <left/>
      <right/>
      <top style="medium">
        <color rgb="FFBFBFBF"/>
      </top>
      <bottom style="medium">
        <color rgb="FFBFBFBF"/>
      </bottom>
      <diagonal/>
    </border>
    <border>
      <left style="thin">
        <color rgb="FF2174B9"/>
      </left>
      <right style="thin">
        <color rgb="FF2174B9"/>
      </right>
      <top style="thin">
        <color rgb="FF2174B9"/>
      </top>
      <bottom style="thin">
        <color rgb="FF2174B9"/>
      </bottom>
      <diagonal/>
    </border>
    <border>
      <left style="thin">
        <color rgb="FF2174B9"/>
      </left>
      <right/>
      <top style="thin">
        <color rgb="FF2174B9"/>
      </top>
      <bottom style="thin">
        <color rgb="FF2174B9"/>
      </bottom>
      <diagonal/>
    </border>
    <border>
      <left style="thin">
        <color rgb="FF2174B9"/>
      </left>
      <right style="thin">
        <color rgb="FF2174B9"/>
      </right>
      <top style="thin">
        <color rgb="FF2174B9"/>
      </top>
      <bottom style="medium">
        <color rgb="FFBFBFBF"/>
      </bottom>
      <diagonal/>
    </border>
    <border>
      <left style="thin">
        <color rgb="FF2174B9"/>
      </left>
      <right style="thin">
        <color rgb="FF2174B9"/>
      </right>
      <top/>
      <bottom/>
      <diagonal/>
    </border>
    <border>
      <left style="thin">
        <color rgb="FF2174B9"/>
      </left>
      <right style="thin">
        <color rgb="FF2174B9"/>
      </right>
      <top/>
      <bottom style="thin">
        <color rgb="FF2174B9"/>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right style="thin">
        <color theme="0" tint="-0.14999847407452621"/>
      </right>
      <top/>
      <bottom/>
      <diagonal/>
    </border>
    <border>
      <left/>
      <right/>
      <top style="medium">
        <color theme="0" tint="-0.249977111117893"/>
      </top>
      <bottom style="medium">
        <color theme="0" tint="-0.249977111117893"/>
      </bottom>
      <diagonal/>
    </border>
    <border>
      <left/>
      <right/>
      <top style="medium">
        <color rgb="FFBFBFBF"/>
      </top>
      <bottom style="medium">
        <color theme="0" tint="-0.249977111117893"/>
      </bottom>
      <diagonal/>
    </border>
    <border>
      <left/>
      <right/>
      <top style="medium">
        <color theme="0" tint="-0.249977111117893"/>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cellStyleXfs>
  <cellXfs count="325">
    <xf numFmtId="0" fontId="0" fillId="0" borderId="0" xfId="0"/>
    <xf numFmtId="0" fontId="0" fillId="0" borderId="0" xfId="0" quotePrefix="1"/>
    <xf numFmtId="0" fontId="0" fillId="5" borderId="0" xfId="0" applyFill="1"/>
    <xf numFmtId="0" fontId="0" fillId="0" borderId="0" xfId="0" applyFill="1"/>
    <xf numFmtId="0" fontId="2" fillId="0" borderId="0" xfId="0" applyFont="1"/>
    <xf numFmtId="0" fontId="3" fillId="0" borderId="1" xfId="0" applyFont="1" applyBorder="1" applyAlignment="1">
      <alignment horizontal="left"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5" borderId="0" xfId="0" applyFont="1" applyFill="1"/>
    <xf numFmtId="0" fontId="4" fillId="0" borderId="0" xfId="0" applyFont="1"/>
    <xf numFmtId="0" fontId="4" fillId="0" borderId="0" xfId="0" applyFont="1" applyFill="1"/>
    <xf numFmtId="0" fontId="4" fillId="0" borderId="0" xfId="0" applyFont="1" applyAlignment="1">
      <alignment vertical="center"/>
    </xf>
    <xf numFmtId="0" fontId="6" fillId="0" borderId="0" xfId="0" applyFont="1" applyAlignment="1">
      <alignment horizontal="left" vertical="center" indent="1"/>
    </xf>
    <xf numFmtId="0" fontId="5" fillId="0" borderId="0" xfId="0" applyFont="1" applyAlignment="1">
      <alignment horizontal="left" vertical="center"/>
    </xf>
    <xf numFmtId="3" fontId="6"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xf numFmtId="165" fontId="7" fillId="0" borderId="0" xfId="1" applyNumberFormat="1" applyFont="1"/>
    <xf numFmtId="0" fontId="7" fillId="0" borderId="4" xfId="0" applyFont="1" applyBorder="1"/>
    <xf numFmtId="3" fontId="8" fillId="0" borderId="0" xfId="0" applyNumberFormat="1" applyFont="1" applyAlignment="1">
      <alignment horizontal="left" vertical="center"/>
    </xf>
    <xf numFmtId="0" fontId="8" fillId="0" borderId="0" xfId="0" applyFont="1" applyAlignment="1">
      <alignment vertical="center"/>
    </xf>
    <xf numFmtId="168" fontId="7" fillId="0" borderId="3" xfId="0" applyNumberFormat="1" applyFont="1" applyBorder="1"/>
    <xf numFmtId="9" fontId="7" fillId="0" borderId="3" xfId="2" applyNumberFormat="1" applyFont="1" applyBorder="1"/>
    <xf numFmtId="167" fontId="7" fillId="0" borderId="3" xfId="2" applyNumberFormat="1" applyFont="1" applyBorder="1" applyAlignment="1">
      <alignment horizontal="right"/>
    </xf>
    <xf numFmtId="1" fontId="7" fillId="0" borderId="3" xfId="0" applyNumberFormat="1" applyFont="1" applyBorder="1"/>
    <xf numFmtId="9" fontId="7" fillId="0" borderId="0" xfId="2" applyFont="1"/>
    <xf numFmtId="9" fontId="7" fillId="0" borderId="0" xfId="2" applyFont="1" applyAlignment="1">
      <alignment horizontal="right"/>
    </xf>
    <xf numFmtId="0" fontId="8" fillId="0" borderId="0" xfId="0" applyFont="1" applyAlignment="1">
      <alignment horizontal="left" vertical="center"/>
    </xf>
    <xf numFmtId="15" fontId="8" fillId="0" borderId="0" xfId="0" applyNumberFormat="1" applyFont="1" applyAlignment="1">
      <alignment horizontal="left" vertical="center"/>
    </xf>
    <xf numFmtId="165" fontId="9" fillId="0" borderId="0" xfId="1" applyNumberFormat="1" applyFont="1"/>
    <xf numFmtId="9" fontId="9" fillId="0" borderId="0" xfId="2" applyFont="1"/>
    <xf numFmtId="0" fontId="3" fillId="0" borderId="5" xfId="0" applyFont="1" applyBorder="1" applyAlignment="1">
      <alignment horizontal="center" vertical="center" wrapText="1"/>
    </xf>
    <xf numFmtId="0" fontId="11" fillId="0" borderId="0" xfId="0" applyFont="1" applyAlignment="1">
      <alignment vertical="center"/>
    </xf>
    <xf numFmtId="1" fontId="9" fillId="0" borderId="0" xfId="0" applyNumberFormat="1" applyFont="1"/>
    <xf numFmtId="165" fontId="7" fillId="0" borderId="3" xfId="1" applyNumberFormat="1" applyFont="1" applyBorder="1"/>
    <xf numFmtId="0" fontId="16" fillId="0" borderId="0" xfId="0" applyFont="1" applyAlignment="1">
      <alignment vertical="center"/>
    </xf>
    <xf numFmtId="0" fontId="4" fillId="3" borderId="0" xfId="0" applyFont="1" applyFill="1" applyAlignment="1">
      <alignment vertical="center"/>
    </xf>
    <xf numFmtId="0" fontId="4" fillId="0" borderId="0" xfId="0" applyFont="1" applyFill="1" applyAlignment="1">
      <alignment vertical="center"/>
    </xf>
    <xf numFmtId="164" fontId="6" fillId="3" borderId="0" xfId="0" applyNumberFormat="1" applyFont="1" applyFill="1" applyAlignment="1">
      <alignment horizontal="right" vertical="top" wrapText="1"/>
    </xf>
    <xf numFmtId="0" fontId="11" fillId="0" borderId="0" xfId="0" applyFont="1"/>
    <xf numFmtId="0" fontId="5" fillId="2" borderId="0" xfId="0" applyFont="1" applyFill="1" applyAlignment="1">
      <alignment horizontal="left" vertical="center"/>
    </xf>
    <xf numFmtId="165" fontId="5" fillId="2" borderId="0" xfId="1" applyNumberFormat="1" applyFont="1" applyFill="1" applyAlignment="1">
      <alignment horizontal="right" vertical="center"/>
    </xf>
    <xf numFmtId="0" fontId="6" fillId="2" borderId="0" xfId="0" applyFont="1" applyFill="1" applyAlignment="1">
      <alignment horizontal="left" vertical="center"/>
    </xf>
    <xf numFmtId="165" fontId="6" fillId="2" borderId="0" xfId="1" applyNumberFormat="1" applyFont="1" applyFill="1" applyAlignment="1">
      <alignment horizontal="right" vertical="center"/>
    </xf>
    <xf numFmtId="0" fontId="5" fillId="4" borderId="0" xfId="0" applyFont="1" applyFill="1" applyAlignment="1">
      <alignment horizontal="left" vertical="center"/>
    </xf>
    <xf numFmtId="165" fontId="5" fillId="4" borderId="0" xfId="1" applyNumberFormat="1" applyFont="1" applyFill="1" applyAlignment="1">
      <alignment horizontal="right" vertical="center"/>
    </xf>
    <xf numFmtId="0" fontId="6" fillId="3" borderId="0" xfId="0" applyFont="1" applyFill="1" applyAlignment="1">
      <alignment horizontal="left" vertical="center"/>
    </xf>
    <xf numFmtId="165" fontId="6" fillId="3" borderId="0" xfId="1" applyNumberFormat="1" applyFont="1" applyFill="1" applyAlignment="1">
      <alignment horizontal="right" vertical="center"/>
    </xf>
    <xf numFmtId="0" fontId="6" fillId="4" borderId="0" xfId="0" applyFont="1" applyFill="1" applyAlignment="1">
      <alignment horizontal="left" vertical="center"/>
    </xf>
    <xf numFmtId="165" fontId="6" fillId="4" borderId="0" xfId="1" applyNumberFormat="1" applyFont="1" applyFill="1" applyBorder="1" applyAlignment="1">
      <alignment horizontal="right" vertical="center"/>
    </xf>
    <xf numFmtId="0" fontId="5" fillId="3" borderId="0" xfId="0" applyFont="1" applyFill="1" applyAlignment="1">
      <alignment horizontal="left" vertical="center"/>
    </xf>
    <xf numFmtId="165" fontId="5" fillId="3" borderId="0" xfId="1" applyNumberFormat="1" applyFont="1" applyFill="1" applyAlignment="1">
      <alignment horizontal="right" vertical="center"/>
    </xf>
    <xf numFmtId="0" fontId="11" fillId="3" borderId="0" xfId="0" applyFont="1" applyFill="1" applyAlignment="1">
      <alignment vertical="center"/>
    </xf>
    <xf numFmtId="165" fontId="5" fillId="0" borderId="0" xfId="1" applyNumberFormat="1" applyFont="1" applyAlignment="1">
      <alignment horizontal="right" vertical="center"/>
    </xf>
    <xf numFmtId="0" fontId="6" fillId="0" borderId="0" xfId="0" applyFont="1" applyFill="1" applyAlignment="1">
      <alignment horizontal="left" vertical="center"/>
    </xf>
    <xf numFmtId="165" fontId="6" fillId="0" borderId="0" xfId="1" applyNumberFormat="1" applyFont="1" applyFill="1" applyAlignment="1">
      <alignment horizontal="right" vertical="center"/>
    </xf>
    <xf numFmtId="165" fontId="6" fillId="4" borderId="0" xfId="1" applyNumberFormat="1" applyFont="1" applyFill="1" applyAlignment="1">
      <alignment horizontal="right" vertical="center"/>
    </xf>
    <xf numFmtId="0" fontId="5" fillId="0" borderId="0" xfId="0" applyFont="1" applyFill="1" applyAlignment="1">
      <alignment horizontal="left" vertical="center"/>
    </xf>
    <xf numFmtId="165" fontId="5" fillId="0" borderId="0" xfId="1" applyNumberFormat="1" applyFont="1" applyFill="1" applyAlignment="1">
      <alignment horizontal="right" vertical="center"/>
    </xf>
    <xf numFmtId="3" fontId="5" fillId="0" borderId="0" xfId="0" applyNumberFormat="1" applyFont="1" applyFill="1" applyAlignment="1">
      <alignment horizontal="right" vertical="center"/>
    </xf>
    <xf numFmtId="3" fontId="5" fillId="3" borderId="0" xfId="0" applyNumberFormat="1" applyFont="1" applyFill="1" applyAlignment="1">
      <alignment horizontal="right" vertical="center"/>
    </xf>
    <xf numFmtId="0" fontId="4" fillId="0" borderId="0" xfId="0" applyFont="1" applyAlignment="1">
      <alignment horizontal="right"/>
    </xf>
    <xf numFmtId="0" fontId="3" fillId="0" borderId="1" xfId="0" applyFont="1" applyBorder="1" applyAlignment="1">
      <alignment horizontal="left" vertical="center" wrapText="1"/>
    </xf>
    <xf numFmtId="0" fontId="19" fillId="0" borderId="0" xfId="0" applyFont="1"/>
    <xf numFmtId="0" fontId="4" fillId="6" borderId="12" xfId="0" applyFont="1" applyFill="1" applyBorder="1"/>
    <xf numFmtId="0" fontId="4" fillId="3" borderId="0" xfId="0" applyFont="1" applyFill="1"/>
    <xf numFmtId="14" fontId="3" fillId="0" borderId="9" xfId="0" applyNumberFormat="1" applyFont="1" applyFill="1" applyBorder="1" applyAlignment="1">
      <alignment horizontal="center" vertical="center" wrapText="1"/>
    </xf>
    <xf numFmtId="0" fontId="7" fillId="6" borderId="12" xfId="0" applyFont="1" applyFill="1" applyBorder="1"/>
    <xf numFmtId="14" fontId="7" fillId="0" borderId="12" xfId="0" applyNumberFormat="1" applyFont="1" applyFill="1" applyBorder="1" applyAlignment="1">
      <alignment horizontal="center" vertical="center" wrapText="1"/>
    </xf>
    <xf numFmtId="43" fontId="9" fillId="0" borderId="16" xfId="0" applyNumberFormat="1" applyFont="1" applyFill="1" applyBorder="1" applyAlignment="1">
      <alignment horizontal="center" vertical="center" wrapText="1"/>
    </xf>
    <xf numFmtId="14" fontId="7" fillId="0" borderId="21"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172" fontId="9" fillId="0" borderId="1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3" fontId="7" fillId="0" borderId="10" xfId="1" applyFont="1" applyFill="1" applyBorder="1" applyAlignment="1">
      <alignment horizontal="left" vertical="center" wrapText="1" indent="1"/>
    </xf>
    <xf numFmtId="172" fontId="7" fillId="0" borderId="10" xfId="1" applyNumberFormat="1" applyFont="1" applyFill="1" applyBorder="1" applyAlignment="1">
      <alignment horizontal="left" vertical="center" wrapText="1" indent="1"/>
    </xf>
    <xf numFmtId="0" fontId="9" fillId="0" borderId="22" xfId="0" applyFont="1" applyFill="1" applyBorder="1" applyAlignment="1">
      <alignment horizontal="right" vertical="center" wrapText="1"/>
    </xf>
    <xf numFmtId="172" fontId="9" fillId="0" borderId="10" xfId="1" applyNumberFormat="1" applyFont="1" applyFill="1" applyBorder="1" applyAlignment="1">
      <alignment horizontal="left" vertical="center" wrapText="1" indent="1"/>
    </xf>
    <xf numFmtId="169" fontId="7" fillId="0" borderId="10" xfId="1" applyNumberFormat="1" applyFont="1" applyFill="1" applyBorder="1" applyAlignment="1">
      <alignment horizontal="left" vertical="center" wrapText="1" indent="1"/>
    </xf>
    <xf numFmtId="169" fontId="9" fillId="0" borderId="16"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14" xfId="0" applyFont="1" applyFill="1" applyBorder="1" applyAlignment="1">
      <alignment horizontal="right" vertical="center" wrapText="1"/>
    </xf>
    <xf numFmtId="43" fontId="9" fillId="0" borderId="12" xfId="1" applyFont="1" applyFill="1" applyBorder="1" applyAlignment="1">
      <alignment horizontal="left" vertical="center" wrapText="1" indent="1"/>
    </xf>
    <xf numFmtId="169" fontId="9" fillId="0" borderId="12" xfId="1" applyNumberFormat="1" applyFont="1" applyFill="1" applyBorder="1" applyAlignment="1">
      <alignment horizontal="left" vertical="center" wrapText="1" indent="1"/>
    </xf>
    <xf numFmtId="0" fontId="11" fillId="0" borderId="12" xfId="0" applyFont="1" applyFill="1" applyBorder="1"/>
    <xf numFmtId="43" fontId="7" fillId="0" borderId="12" xfId="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4"/>
    </xf>
    <xf numFmtId="170" fontId="20" fillId="0" borderId="12" xfId="0" applyNumberFormat="1" applyFont="1" applyFill="1" applyBorder="1" applyAlignment="1">
      <alignment horizontal="center" vertical="center" wrapText="1"/>
    </xf>
    <xf numFmtId="170" fontId="6" fillId="0" borderId="12" xfId="0" applyNumberFormat="1" applyFont="1" applyFill="1" applyBorder="1" applyAlignment="1">
      <alignment horizontal="center" vertical="center" wrapText="1"/>
    </xf>
    <xf numFmtId="169" fontId="7" fillId="0" borderId="12" xfId="1" applyNumberFormat="1" applyFont="1" applyFill="1" applyBorder="1" applyAlignment="1">
      <alignment horizontal="right" vertical="center" wrapText="1" indent="1"/>
    </xf>
    <xf numFmtId="169" fontId="9" fillId="0" borderId="12" xfId="1" applyNumberFormat="1" applyFont="1" applyFill="1" applyBorder="1" applyAlignment="1">
      <alignment horizontal="right" vertical="center" wrapText="1" indent="1"/>
    </xf>
    <xf numFmtId="0" fontId="11" fillId="0" borderId="0" xfId="0" applyFont="1" applyFill="1"/>
    <xf numFmtId="172" fontId="7" fillId="0" borderId="12" xfId="1" applyNumberFormat="1" applyFont="1" applyFill="1" applyBorder="1" applyAlignment="1">
      <alignment horizontal="right" vertical="center" wrapText="1" indent="1"/>
    </xf>
    <xf numFmtId="0" fontId="7" fillId="0" borderId="12" xfId="0" applyFont="1" applyFill="1" applyBorder="1"/>
    <xf numFmtId="0" fontId="4" fillId="0" borderId="12" xfId="0" applyFont="1" applyFill="1" applyBorder="1"/>
    <xf numFmtId="172" fontId="7" fillId="0" borderId="12" xfId="1" applyNumberFormat="1" applyFont="1" applyFill="1" applyBorder="1" applyAlignment="1">
      <alignment horizontal="left" vertical="center" wrapText="1" indent="1"/>
    </xf>
    <xf numFmtId="169" fontId="7" fillId="0" borderId="12" xfId="1" applyNumberFormat="1" applyFont="1" applyFill="1" applyBorder="1" applyAlignment="1">
      <alignment horizontal="left" vertical="center" wrapText="1" indent="3"/>
    </xf>
    <xf numFmtId="171" fontId="7" fillId="0" borderId="12" xfId="1" applyNumberFormat="1" applyFont="1" applyFill="1" applyBorder="1" applyAlignment="1">
      <alignment horizontal="left" vertical="center" wrapText="1" indent="1"/>
    </xf>
    <xf numFmtId="169" fontId="9" fillId="0" borderId="12" xfId="1" applyNumberFormat="1" applyFont="1" applyFill="1" applyBorder="1" applyAlignment="1">
      <alignment horizontal="left" vertical="center" wrapText="1" indent="2"/>
    </xf>
    <xf numFmtId="172" fontId="7" fillId="0" borderId="12" xfId="1" applyNumberFormat="1" applyFont="1" applyFill="1" applyBorder="1" applyAlignment="1">
      <alignment horizontal="left" vertical="center" wrapText="1" indent="3"/>
    </xf>
    <xf numFmtId="172" fontId="9" fillId="0" borderId="12" xfId="1" applyNumberFormat="1" applyFont="1" applyFill="1" applyBorder="1" applyAlignment="1">
      <alignment horizontal="left" vertical="center" wrapText="1" indent="1"/>
    </xf>
    <xf numFmtId="0" fontId="21" fillId="0" borderId="0" xfId="0" applyFont="1" applyAlignment="1">
      <alignment vertical="center"/>
    </xf>
    <xf numFmtId="0" fontId="15" fillId="0" borderId="1" xfId="0" applyFont="1" applyBorder="1" applyAlignment="1">
      <alignment horizontal="left" vertical="center"/>
    </xf>
    <xf numFmtId="0" fontId="15" fillId="0" borderId="1" xfId="0" applyFont="1" applyBorder="1" applyAlignment="1">
      <alignment horizontal="center" vertical="center" wrapText="1"/>
    </xf>
    <xf numFmtId="0" fontId="10" fillId="3" borderId="0" xfId="0" applyFont="1" applyFill="1" applyAlignment="1">
      <alignment vertical="center"/>
    </xf>
    <xf numFmtId="0" fontId="12" fillId="2" borderId="0" xfId="0" applyFont="1" applyFill="1" applyAlignment="1">
      <alignment horizontal="left" vertical="center" wrapText="1"/>
    </xf>
    <xf numFmtId="0" fontId="12" fillId="0" borderId="0" xfId="0" applyFont="1"/>
    <xf numFmtId="0" fontId="13" fillId="0" borderId="23" xfId="0" applyFont="1" applyBorder="1"/>
    <xf numFmtId="0" fontId="12" fillId="4" borderId="0" xfId="0" applyFont="1" applyFill="1"/>
    <xf numFmtId="164" fontId="13" fillId="0" borderId="23" xfId="0" applyNumberFormat="1" applyFont="1" applyBorder="1"/>
    <xf numFmtId="9" fontId="13" fillId="0" borderId="23" xfId="2" applyFont="1" applyBorder="1" applyAlignment="1">
      <alignment horizontal="center"/>
    </xf>
    <xf numFmtId="165" fontId="12" fillId="0" borderId="0" xfId="1" applyNumberFormat="1" applyFont="1"/>
    <xf numFmtId="165" fontId="12" fillId="4" borderId="0" xfId="1" applyNumberFormat="1" applyFont="1" applyFill="1"/>
    <xf numFmtId="0" fontId="15" fillId="0" borderId="1" xfId="0" applyFont="1" applyBorder="1" applyAlignment="1">
      <alignment horizontal="right" vertical="center" wrapText="1"/>
    </xf>
    <xf numFmtId="167" fontId="12" fillId="2" borderId="0" xfId="2" applyNumberFormat="1" applyFont="1" applyFill="1" applyAlignment="1">
      <alignment horizontal="right" vertical="top" wrapText="1"/>
    </xf>
    <xf numFmtId="167" fontId="12" fillId="0" borderId="0" xfId="2" applyNumberFormat="1" applyFont="1" applyAlignment="1">
      <alignment horizontal="right"/>
    </xf>
    <xf numFmtId="167" fontId="12" fillId="4" borderId="0" xfId="2" applyNumberFormat="1" applyFont="1" applyFill="1" applyAlignment="1">
      <alignment horizontal="right"/>
    </xf>
    <xf numFmtId="167" fontId="13" fillId="0" borderId="23" xfId="2" applyNumberFormat="1" applyFont="1" applyBorder="1" applyAlignment="1">
      <alignment horizontal="right"/>
    </xf>
    <xf numFmtId="165" fontId="12" fillId="4" borderId="0" xfId="1" applyNumberFormat="1" applyFont="1" applyFill="1" applyAlignment="1">
      <alignment horizontal="right"/>
    </xf>
    <xf numFmtId="165" fontId="12" fillId="0" borderId="0" xfId="1" applyNumberFormat="1" applyFont="1" applyAlignment="1">
      <alignment horizontal="right"/>
    </xf>
    <xf numFmtId="164" fontId="13" fillId="0" borderId="23" xfId="0" applyNumberFormat="1" applyFont="1" applyBorder="1" applyAlignment="1">
      <alignment horizontal="right"/>
    </xf>
    <xf numFmtId="0" fontId="19" fillId="0" borderId="0" xfId="0" applyFont="1" applyAlignment="1">
      <alignment horizontal="right"/>
    </xf>
    <xf numFmtId="0" fontId="12" fillId="3" borderId="0" xfId="0" applyFont="1" applyFill="1"/>
    <xf numFmtId="164" fontId="12" fillId="4" borderId="0" xfId="1" applyNumberFormat="1" applyFont="1" applyFill="1"/>
    <xf numFmtId="164" fontId="12" fillId="3" borderId="0" xfId="1" applyNumberFormat="1" applyFont="1" applyFill="1"/>
    <xf numFmtId="0" fontId="13" fillId="2" borderId="23" xfId="0" applyFont="1" applyFill="1" applyBorder="1" applyAlignment="1">
      <alignment horizontal="left" vertical="center" wrapText="1"/>
    </xf>
    <xf numFmtId="0" fontId="13" fillId="0" borderId="0" xfId="0" applyFont="1"/>
    <xf numFmtId="174" fontId="13" fillId="4" borderId="23" xfId="1" applyNumberFormat="1" applyFont="1" applyFill="1" applyBorder="1"/>
    <xf numFmtId="174" fontId="13" fillId="3" borderId="0" xfId="1" applyNumberFormat="1" applyFont="1" applyFill="1"/>
    <xf numFmtId="165" fontId="12" fillId="3" borderId="0" xfId="1" applyNumberFormat="1" applyFont="1" applyFill="1"/>
    <xf numFmtId="165" fontId="12" fillId="3" borderId="0" xfId="1" applyNumberFormat="1" applyFont="1" applyFill="1" applyAlignment="1">
      <alignment horizontal="right"/>
    </xf>
    <xf numFmtId="0" fontId="13" fillId="2" borderId="24" xfId="0" applyFont="1" applyFill="1" applyBorder="1" applyAlignment="1">
      <alignment horizontal="left" vertical="center" wrapText="1"/>
    </xf>
    <xf numFmtId="0" fontId="22" fillId="0" borderId="0" xfId="0" applyFont="1"/>
    <xf numFmtId="0" fontId="13" fillId="0" borderId="0" xfId="0" applyFont="1" applyBorder="1"/>
    <xf numFmtId="164" fontId="13" fillId="0" borderId="0" xfId="0" applyNumberFormat="1" applyFont="1" applyBorder="1"/>
    <xf numFmtId="9" fontId="12" fillId="4" borderId="0" xfId="2" applyFont="1" applyFill="1"/>
    <xf numFmtId="9" fontId="12" fillId="4" borderId="0" xfId="2" applyFont="1" applyFill="1" applyAlignment="1">
      <alignment horizontal="right"/>
    </xf>
    <xf numFmtId="9" fontId="12" fillId="0" borderId="0" xfId="2" applyFont="1"/>
    <xf numFmtId="9" fontId="12" fillId="0" borderId="0" xfId="2" applyFont="1" applyAlignment="1">
      <alignment horizontal="right"/>
    </xf>
    <xf numFmtId="173" fontId="13" fillId="2" borderId="24" xfId="1" applyNumberFormat="1" applyFont="1" applyFill="1" applyBorder="1" applyAlignment="1">
      <alignment horizontal="right" vertical="top" wrapText="1"/>
    </xf>
    <xf numFmtId="9" fontId="13" fillId="0" borderId="23" xfId="2" applyFont="1" applyBorder="1"/>
    <xf numFmtId="0" fontId="19" fillId="0" borderId="0" xfId="0" applyFont="1" applyBorder="1"/>
    <xf numFmtId="0" fontId="15" fillId="3" borderId="0" xfId="0" applyFont="1" applyFill="1" applyBorder="1" applyAlignment="1">
      <alignment horizontal="right" vertical="center" wrapText="1"/>
    </xf>
    <xf numFmtId="0" fontId="19" fillId="3" borderId="0" xfId="0" applyFont="1" applyFill="1" applyBorder="1"/>
    <xf numFmtId="9" fontId="12" fillId="3" borderId="0" xfId="2" applyFont="1" applyFill="1" applyBorder="1"/>
    <xf numFmtId="9" fontId="12" fillId="3" borderId="0" xfId="2" applyFont="1" applyFill="1" applyBorder="1" applyAlignment="1">
      <alignment horizontal="right"/>
    </xf>
    <xf numFmtId="9" fontId="13" fillId="3" borderId="0" xfId="2" applyFont="1" applyFill="1" applyBorder="1"/>
    <xf numFmtId="14" fontId="12" fillId="0" borderId="0" xfId="2" applyNumberFormat="1" applyFont="1"/>
    <xf numFmtId="14" fontId="12" fillId="4" borderId="0" xfId="2" applyNumberFormat="1" applyFont="1" applyFill="1"/>
    <xf numFmtId="165" fontId="12" fillId="3" borderId="0" xfId="1" applyNumberFormat="1" applyFont="1" applyFill="1" applyBorder="1"/>
    <xf numFmtId="165" fontId="13" fillId="0" borderId="23" xfId="2" applyNumberFormat="1" applyFont="1" applyBorder="1"/>
    <xf numFmtId="0" fontId="12" fillId="3" borderId="0" xfId="0" applyFont="1" applyFill="1" applyAlignment="1">
      <alignment horizontal="left" vertical="center" wrapText="1"/>
    </xf>
    <xf numFmtId="9" fontId="12" fillId="3" borderId="0" xfId="2" applyFont="1" applyFill="1"/>
    <xf numFmtId="14" fontId="12" fillId="3" borderId="0" xfId="2" applyNumberFormat="1" applyFont="1" applyFill="1"/>
    <xf numFmtId="165" fontId="12" fillId="4" borderId="0" xfId="1" applyNumberFormat="1" applyFont="1" applyFill="1" applyBorder="1"/>
    <xf numFmtId="165" fontId="12" fillId="4" borderId="25" xfId="1" applyNumberFormat="1" applyFont="1" applyFill="1" applyBorder="1"/>
    <xf numFmtId="0" fontId="12" fillId="0" borderId="0" xfId="0" applyFont="1" applyBorder="1"/>
    <xf numFmtId="165" fontId="13" fillId="3" borderId="0" xfId="1" applyNumberFormat="1" applyFont="1" applyFill="1" applyBorder="1"/>
    <xf numFmtId="165" fontId="19" fillId="3" borderId="0" xfId="0" applyNumberFormat="1" applyFont="1" applyFill="1" applyBorder="1"/>
    <xf numFmtId="0" fontId="15" fillId="3" borderId="0" xfId="0" applyFont="1" applyFill="1" applyBorder="1" applyAlignment="1">
      <alignment horizontal="center" vertical="center" wrapText="1"/>
    </xf>
    <xf numFmtId="0" fontId="13" fillId="4" borderId="23" xfId="0" applyFont="1" applyFill="1" applyBorder="1"/>
    <xf numFmtId="0" fontId="12" fillId="2" borderId="25" xfId="0" applyFont="1" applyFill="1" applyBorder="1" applyAlignment="1">
      <alignment horizontal="left" vertical="center" wrapText="1"/>
    </xf>
    <xf numFmtId="165" fontId="12" fillId="4" borderId="25" xfId="1" applyNumberFormat="1" applyFont="1" applyFill="1" applyBorder="1" applyAlignment="1">
      <alignment horizontal="right"/>
    </xf>
    <xf numFmtId="0" fontId="15" fillId="0" borderId="0" xfId="0" applyFont="1" applyBorder="1"/>
    <xf numFmtId="167" fontId="12" fillId="4" borderId="25" xfId="2" applyNumberFormat="1" applyFont="1" applyFill="1" applyBorder="1" applyAlignment="1">
      <alignment horizontal="right"/>
    </xf>
    <xf numFmtId="164" fontId="13" fillId="0" borderId="0" xfId="0" applyNumberFormat="1" applyFont="1" applyBorder="1" applyAlignment="1">
      <alignment horizontal="right"/>
    </xf>
    <xf numFmtId="164" fontId="13" fillId="4" borderId="23" xfId="0" applyNumberFormat="1" applyFont="1" applyFill="1" applyBorder="1" applyAlignment="1">
      <alignment horizontal="right"/>
    </xf>
    <xf numFmtId="9" fontId="13" fillId="4" borderId="23" xfId="2" applyNumberFormat="1" applyFont="1" applyFill="1" applyBorder="1" applyAlignment="1">
      <alignment horizontal="right"/>
    </xf>
    <xf numFmtId="9" fontId="12" fillId="4" borderId="25" xfId="2" applyNumberFormat="1" applyFont="1" applyFill="1" applyBorder="1" applyAlignment="1">
      <alignment horizontal="right"/>
    </xf>
    <xf numFmtId="9" fontId="12" fillId="0" borderId="0" xfId="2" applyNumberFormat="1" applyFont="1" applyAlignment="1">
      <alignment horizontal="right"/>
    </xf>
    <xf numFmtId="164" fontId="13" fillId="0" borderId="25" xfId="0" applyNumberFormat="1" applyFont="1" applyBorder="1" applyAlignment="1">
      <alignment horizontal="right"/>
    </xf>
    <xf numFmtId="0" fontId="12" fillId="0" borderId="25" xfId="0" applyFont="1" applyBorder="1"/>
    <xf numFmtId="0" fontId="10" fillId="0" borderId="0" xfId="0" applyFont="1" applyFill="1" applyAlignment="1">
      <alignment vertical="center"/>
    </xf>
    <xf numFmtId="0" fontId="7" fillId="2" borderId="0" xfId="0" applyFont="1" applyFill="1" applyAlignment="1">
      <alignment horizontal="left" vertical="center"/>
    </xf>
    <xf numFmtId="164" fontId="7" fillId="4" borderId="0" xfId="0" applyNumberFormat="1" applyFont="1" applyFill="1" applyAlignment="1">
      <alignment horizontal="right" vertical="top" wrapText="1"/>
    </xf>
    <xf numFmtId="0" fontId="7" fillId="0" borderId="0" xfId="0" applyFont="1" applyAlignment="1">
      <alignment horizontal="left" vertical="center"/>
    </xf>
    <xf numFmtId="164" fontId="7" fillId="3" borderId="0" xfId="0" applyNumberFormat="1" applyFont="1" applyFill="1" applyAlignment="1">
      <alignment horizontal="right" vertical="top" wrapText="1"/>
    </xf>
    <xf numFmtId="0" fontId="7" fillId="4" borderId="0" xfId="0" applyFont="1" applyFill="1" applyAlignment="1">
      <alignment horizontal="left" vertical="center"/>
    </xf>
    <xf numFmtId="0" fontId="7" fillId="3" borderId="0" xfId="0" applyFont="1" applyFill="1" applyAlignment="1">
      <alignment horizontal="left" vertical="center"/>
    </xf>
    <xf numFmtId="164" fontId="7" fillId="0" borderId="0" xfId="0" applyNumberFormat="1" applyFont="1" applyFill="1" applyAlignment="1">
      <alignment horizontal="right" vertical="top" wrapText="1"/>
    </xf>
    <xf numFmtId="0" fontId="9" fillId="4" borderId="0" xfId="0" applyFont="1" applyFill="1" applyAlignment="1">
      <alignment horizontal="left" vertical="center"/>
    </xf>
    <xf numFmtId="3" fontId="9" fillId="2" borderId="0" xfId="0" applyNumberFormat="1" applyFont="1" applyFill="1" applyAlignment="1">
      <alignment horizontal="right" vertical="center"/>
    </xf>
    <xf numFmtId="0" fontId="7" fillId="0" borderId="0" xfId="0" applyFont="1" applyFill="1" applyAlignment="1">
      <alignment horizontal="left" vertical="center"/>
    </xf>
    <xf numFmtId="164" fontId="9" fillId="4" borderId="0" xfId="0" applyNumberFormat="1" applyFont="1" applyFill="1" applyAlignment="1">
      <alignment horizontal="right" vertical="top" wrapText="1"/>
    </xf>
    <xf numFmtId="0" fontId="7" fillId="3" borderId="0" xfId="0" applyFont="1" applyFill="1" applyAlignment="1">
      <alignment vertical="center"/>
    </xf>
    <xf numFmtId="49" fontId="7" fillId="3" borderId="0" xfId="0" applyNumberFormat="1" applyFont="1" applyFill="1" applyAlignment="1">
      <alignment horizontal="left" vertical="center" wrapText="1" shrinkToFit="1"/>
    </xf>
    <xf numFmtId="164" fontId="7" fillId="3" borderId="0" xfId="0" applyNumberFormat="1" applyFont="1" applyFill="1" applyAlignment="1">
      <alignment vertical="top"/>
    </xf>
    <xf numFmtId="0" fontId="9" fillId="2" borderId="0" xfId="0" applyFont="1" applyFill="1" applyAlignment="1">
      <alignment horizontal="left" vertical="center"/>
    </xf>
    <xf numFmtId="0" fontId="7" fillId="0" borderId="0" xfId="0" applyFont="1" applyAlignment="1">
      <alignment horizontal="left" vertical="center" indent="1"/>
    </xf>
    <xf numFmtId="3" fontId="7" fillId="0" borderId="0" xfId="0" applyNumberFormat="1" applyFont="1" applyFill="1" applyAlignment="1">
      <alignment horizontal="right" vertical="center"/>
    </xf>
    <xf numFmtId="0" fontId="7" fillId="4" borderId="0" xfId="0" applyFont="1" applyFill="1" applyAlignment="1">
      <alignment horizontal="left" vertical="center" indent="1"/>
    </xf>
    <xf numFmtId="3" fontId="7" fillId="2" borderId="0" xfId="0" applyNumberFormat="1" applyFont="1" applyFill="1" applyAlignment="1">
      <alignment horizontal="right" vertical="center"/>
    </xf>
    <xf numFmtId="0" fontId="9" fillId="0" borderId="0" xfId="0" applyFont="1" applyAlignment="1">
      <alignment horizontal="left" vertical="center"/>
    </xf>
    <xf numFmtId="164" fontId="9" fillId="3" borderId="0" xfId="0" applyNumberFormat="1" applyFont="1" applyFill="1" applyAlignment="1">
      <alignment horizontal="right" vertical="top" wrapText="1"/>
    </xf>
    <xf numFmtId="0" fontId="7" fillId="2" borderId="0" xfId="0" applyFont="1" applyFill="1" applyAlignment="1">
      <alignment horizontal="left" vertical="center" indent="1"/>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16" fillId="0" borderId="0" xfId="0" applyFont="1" applyFill="1" applyAlignment="1">
      <alignment vertical="center"/>
    </xf>
    <xf numFmtId="0" fontId="7" fillId="2" borderId="0" xfId="0" applyFont="1" applyFill="1" applyAlignment="1">
      <alignment horizontal="left" vertical="center" wrapText="1"/>
    </xf>
    <xf numFmtId="164" fontId="7" fillId="2" borderId="0" xfId="0" applyNumberFormat="1" applyFont="1" applyFill="1" applyAlignment="1">
      <alignment horizontal="right" vertical="top" wrapText="1"/>
    </xf>
    <xf numFmtId="0" fontId="7" fillId="0" borderId="0" xfId="0" applyFont="1" applyAlignment="1">
      <alignment horizontal="left" vertical="center" wrapText="1"/>
    </xf>
    <xf numFmtId="0" fontId="7" fillId="4"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2" xfId="0" applyFont="1" applyFill="1" applyBorder="1" applyAlignment="1">
      <alignment horizontal="left" vertical="center" wrapText="1"/>
    </xf>
    <xf numFmtId="164" fontId="9" fillId="0" borderId="2" xfId="0" applyNumberFormat="1" applyFont="1" applyFill="1" applyBorder="1" applyAlignment="1">
      <alignment horizontal="right" vertical="center" wrapText="1"/>
    </xf>
    <xf numFmtId="3" fontId="7" fillId="0" borderId="0" xfId="0" applyNumberFormat="1" applyFont="1"/>
    <xf numFmtId="3" fontId="7" fillId="0" borderId="0" xfId="0" applyNumberFormat="1" applyFont="1" applyAlignment="1">
      <alignment horizontal="right" vertical="center" wrapText="1"/>
    </xf>
    <xf numFmtId="0" fontId="3" fillId="2" borderId="0" xfId="0" applyFont="1" applyFill="1" applyAlignment="1">
      <alignment horizontal="left" vertical="center"/>
    </xf>
    <xf numFmtId="3" fontId="6" fillId="2" borderId="0" xfId="0" applyNumberFormat="1" applyFont="1" applyFill="1" applyAlignment="1">
      <alignment horizontal="left" vertical="center"/>
    </xf>
    <xf numFmtId="15" fontId="6" fillId="0" borderId="0" xfId="0" applyNumberFormat="1" applyFont="1" applyAlignment="1">
      <alignment horizontal="left" vertical="center"/>
    </xf>
    <xf numFmtId="3" fontId="7" fillId="0" borderId="0" xfId="0" applyNumberFormat="1" applyFont="1" applyAlignment="1">
      <alignment horizontal="left" vertical="center"/>
    </xf>
    <xf numFmtId="15" fontId="7" fillId="0" borderId="0" xfId="0" applyNumberFormat="1" applyFont="1" applyAlignment="1">
      <alignment horizontal="left" vertical="center"/>
    </xf>
    <xf numFmtId="166" fontId="7" fillId="0" borderId="0" xfId="0" applyNumberFormat="1" applyFont="1" applyAlignment="1">
      <alignment horizontal="left" vertical="center"/>
    </xf>
    <xf numFmtId="3" fontId="7" fillId="2" borderId="0" xfId="0" applyNumberFormat="1" applyFont="1" applyFill="1" applyAlignment="1">
      <alignment horizontal="left" vertical="center"/>
    </xf>
    <xf numFmtId="15" fontId="7" fillId="2" borderId="0" xfId="0" applyNumberFormat="1" applyFont="1" applyFill="1" applyAlignment="1">
      <alignment horizontal="left" vertical="center"/>
    </xf>
    <xf numFmtId="166" fontId="7" fillId="2" borderId="0" xfId="0" applyNumberFormat="1" applyFont="1" applyFill="1" applyAlignment="1">
      <alignment horizontal="left" vertical="center"/>
    </xf>
    <xf numFmtId="0" fontId="7" fillId="0" borderId="0" xfId="0" applyFont="1" applyAlignment="1">
      <alignment vertical="center"/>
    </xf>
    <xf numFmtId="0" fontId="9" fillId="2" borderId="0" xfId="0" applyFont="1" applyFill="1" applyAlignment="1">
      <alignment horizontal="left" vertical="center" wrapText="1"/>
    </xf>
    <xf numFmtId="3" fontId="7" fillId="2" borderId="0" xfId="0" applyNumberFormat="1" applyFont="1" applyFill="1" applyAlignment="1">
      <alignment horizontal="center" vertical="center"/>
    </xf>
    <xf numFmtId="0" fontId="7" fillId="2" borderId="0" xfId="0" applyFont="1" applyFill="1" applyAlignment="1">
      <alignment horizontal="center" vertical="center"/>
    </xf>
    <xf numFmtId="3" fontId="7" fillId="0" borderId="0" xfId="0" applyNumberFormat="1" applyFont="1" applyAlignment="1">
      <alignment horizontal="center" vertical="center"/>
    </xf>
    <xf numFmtId="167" fontId="9" fillId="2" borderId="0" xfId="0" applyNumberFormat="1" applyFont="1" applyFill="1" applyAlignment="1">
      <alignment horizontal="left" vertical="center"/>
    </xf>
    <xf numFmtId="167" fontId="7" fillId="2" borderId="0" xfId="0" applyNumberFormat="1" applyFont="1" applyFill="1" applyAlignment="1">
      <alignment horizontal="center" vertical="center"/>
    </xf>
    <xf numFmtId="0" fontId="9" fillId="2" borderId="0" xfId="0" applyFont="1" applyFill="1" applyAlignment="1">
      <alignment horizontal="left" vertical="center" indent="1"/>
    </xf>
    <xf numFmtId="3" fontId="9" fillId="2" borderId="0" xfId="0" applyNumberFormat="1" applyFont="1" applyFill="1" applyAlignment="1">
      <alignment horizontal="center" vertical="center"/>
    </xf>
    <xf numFmtId="0" fontId="23" fillId="0" borderId="0" xfId="0" applyFont="1"/>
    <xf numFmtId="4" fontId="9" fillId="2" borderId="0" xfId="0" applyNumberFormat="1" applyFont="1" applyFill="1" applyAlignment="1">
      <alignment horizontal="left" vertical="center"/>
    </xf>
    <xf numFmtId="4" fontId="9" fillId="2" borderId="0" xfId="0" applyNumberFormat="1" applyFont="1" applyFill="1" applyAlignment="1">
      <alignment horizontal="center" vertical="center"/>
    </xf>
    <xf numFmtId="4" fontId="9" fillId="2" borderId="6" xfId="0" applyNumberFormat="1" applyFont="1" applyFill="1" applyBorder="1" applyAlignment="1">
      <alignment horizontal="center" vertical="center"/>
    </xf>
    <xf numFmtId="3" fontId="7" fillId="0" borderId="6" xfId="0" applyNumberFormat="1" applyFont="1" applyBorder="1" applyAlignment="1">
      <alignment horizontal="center" vertical="center"/>
    </xf>
    <xf numFmtId="4" fontId="7" fillId="2" borderId="0" xfId="0" applyNumberFormat="1" applyFont="1" applyFill="1" applyAlignment="1">
      <alignment horizontal="left" vertical="center" indent="1"/>
    </xf>
    <xf numFmtId="3" fontId="7" fillId="2" borderId="6" xfId="0" applyNumberFormat="1" applyFont="1" applyFill="1" applyBorder="1" applyAlignment="1">
      <alignment horizontal="center" vertical="center"/>
    </xf>
    <xf numFmtId="3" fontId="9" fillId="0" borderId="0" xfId="0" applyNumberFormat="1" applyFont="1" applyAlignment="1">
      <alignment horizontal="center" vertical="center"/>
    </xf>
    <xf numFmtId="3" fontId="9" fillId="0" borderId="6" xfId="0" applyNumberFormat="1" applyFont="1" applyBorder="1" applyAlignment="1">
      <alignment horizontal="center" vertical="center"/>
    </xf>
    <xf numFmtId="3" fontId="7" fillId="4" borderId="0" xfId="0" applyNumberFormat="1" applyFont="1" applyFill="1" applyAlignment="1">
      <alignment horizontal="center" vertical="center"/>
    </xf>
    <xf numFmtId="3" fontId="7" fillId="4" borderId="6"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41" fontId="7" fillId="2" borderId="0" xfId="0" applyNumberFormat="1" applyFont="1" applyFill="1" applyAlignment="1">
      <alignment horizontal="right" vertical="center"/>
    </xf>
    <xf numFmtId="41" fontId="7" fillId="0" borderId="0" xfId="0" applyNumberFormat="1" applyFont="1" applyFill="1" applyAlignment="1">
      <alignment horizontal="right" vertical="center"/>
    </xf>
    <xf numFmtId="1" fontId="12" fillId="3" borderId="0" xfId="0" applyNumberFormat="1" applyFont="1" applyFill="1"/>
    <xf numFmtId="164" fontId="13" fillId="0" borderId="0" xfId="0" applyNumberFormat="1" applyFont="1" applyFill="1" applyBorder="1"/>
    <xf numFmtId="0" fontId="15" fillId="0" borderId="0" xfId="0" applyFont="1" applyFill="1" applyBorder="1" applyAlignment="1">
      <alignment horizontal="right" vertical="center" wrapText="1"/>
    </xf>
    <xf numFmtId="165" fontId="12" fillId="0" borderId="0" xfId="1" applyNumberFormat="1" applyFont="1" applyFill="1" applyBorder="1"/>
    <xf numFmtId="174" fontId="13" fillId="0" borderId="0" xfId="1" applyNumberFormat="1" applyFont="1" applyFill="1" applyBorder="1"/>
    <xf numFmtId="0" fontId="19" fillId="0" borderId="0" xfId="0" applyFont="1" applyFill="1" applyBorder="1"/>
    <xf numFmtId="9" fontId="12" fillId="0" borderId="0" xfId="2" applyFont="1" applyFill="1" applyBorder="1"/>
    <xf numFmtId="9" fontId="12" fillId="0" borderId="0" xfId="2" applyFont="1" applyFill="1" applyBorder="1" applyAlignment="1">
      <alignment horizontal="right"/>
    </xf>
    <xf numFmtId="9" fontId="13" fillId="0" borderId="0" xfId="2" applyFont="1" applyFill="1" applyBorder="1"/>
    <xf numFmtId="173" fontId="13" fillId="0" borderId="0" xfId="1" applyNumberFormat="1" applyFont="1" applyFill="1" applyBorder="1" applyAlignment="1">
      <alignment horizontal="right" vertical="top" wrapText="1"/>
    </xf>
    <xf numFmtId="3" fontId="6" fillId="0" borderId="0" xfId="0" applyNumberFormat="1" applyFont="1" applyFill="1" applyAlignment="1">
      <alignment horizontal="left" vertical="center"/>
    </xf>
    <xf numFmtId="3" fontId="7" fillId="0" borderId="0" xfId="0" applyNumberFormat="1" applyFont="1" applyFill="1" applyAlignment="1">
      <alignment horizontal="left" vertical="center"/>
    </xf>
    <xf numFmtId="1" fontId="7" fillId="0" borderId="0" xfId="0" applyNumberFormat="1" applyFont="1"/>
    <xf numFmtId="9" fontId="7" fillId="0" borderId="0" xfId="2" applyNumberFormat="1" applyFont="1"/>
    <xf numFmtId="165" fontId="7" fillId="0" borderId="0" xfId="0" applyNumberFormat="1" applyFont="1"/>
    <xf numFmtId="9" fontId="4" fillId="0" borderId="0" xfId="2" applyNumberFormat="1" applyFont="1"/>
    <xf numFmtId="9" fontId="12" fillId="4" borderId="0" xfId="2" applyNumberFormat="1" applyFont="1" applyFill="1" applyAlignment="1">
      <alignment horizontal="right"/>
    </xf>
    <xf numFmtId="41" fontId="12" fillId="4" borderId="0" xfId="2" applyNumberFormat="1" applyFont="1" applyFill="1" applyAlignment="1">
      <alignment horizontal="right"/>
    </xf>
    <xf numFmtId="41" fontId="12" fillId="0" borderId="0" xfId="2" applyNumberFormat="1" applyFont="1" applyAlignment="1">
      <alignment horizontal="right"/>
    </xf>
    <xf numFmtId="41" fontId="12" fillId="4" borderId="25" xfId="2" applyNumberFormat="1" applyFont="1" applyFill="1" applyBorder="1" applyAlignment="1">
      <alignment horizontal="right"/>
    </xf>
    <xf numFmtId="0" fontId="0" fillId="3" borderId="0" xfId="0" applyFill="1"/>
    <xf numFmtId="175" fontId="7" fillId="0" borderId="21" xfId="0" applyNumberFormat="1" applyFont="1" applyFill="1" applyBorder="1" applyAlignment="1">
      <alignment horizontal="center" vertical="center" wrapText="1"/>
    </xf>
    <xf numFmtId="175" fontId="17" fillId="0" borderId="16" xfId="0" applyNumberFormat="1" applyFont="1" applyFill="1" applyBorder="1" applyAlignment="1">
      <alignment horizontal="center" vertical="center" wrapText="1"/>
    </xf>
    <xf numFmtId="175" fontId="4" fillId="6" borderId="12" xfId="0" applyNumberFormat="1" applyFont="1" applyFill="1" applyBorder="1"/>
    <xf numFmtId="175" fontId="6" fillId="0" borderId="10" xfId="0" applyNumberFormat="1" applyFont="1" applyFill="1" applyBorder="1" applyAlignment="1">
      <alignment horizontal="center" vertical="center" wrapText="1"/>
    </xf>
    <xf numFmtId="175" fontId="7" fillId="0" borderId="12" xfId="0" applyNumberFormat="1" applyFont="1" applyFill="1" applyBorder="1" applyAlignment="1">
      <alignment horizontal="center" vertical="center" wrapText="1"/>
    </xf>
    <xf numFmtId="175" fontId="9" fillId="0" borderId="16" xfId="0" applyNumberFormat="1" applyFont="1" applyFill="1" applyBorder="1" applyAlignment="1">
      <alignment horizontal="center" vertical="center" wrapText="1"/>
    </xf>
    <xf numFmtId="175" fontId="9" fillId="0" borderId="10" xfId="0" applyNumberFormat="1" applyFont="1" applyFill="1" applyBorder="1" applyAlignment="1">
      <alignment horizontal="center" vertical="center" wrapText="1"/>
    </xf>
    <xf numFmtId="175" fontId="7" fillId="6" borderId="12" xfId="0" applyNumberFormat="1" applyFont="1" applyFill="1" applyBorder="1"/>
    <xf numFmtId="175" fontId="7" fillId="6" borderId="15" xfId="0" applyNumberFormat="1" applyFont="1" applyFill="1" applyBorder="1"/>
    <xf numFmtId="175" fontId="7" fillId="0" borderId="10" xfId="0" applyNumberFormat="1" applyFont="1" applyFill="1" applyBorder="1" applyAlignment="1">
      <alignment horizontal="center" vertical="center" wrapText="1"/>
    </xf>
    <xf numFmtId="175" fontId="9" fillId="0" borderId="12" xfId="0" applyNumberFormat="1" applyFont="1" applyFill="1" applyBorder="1"/>
    <xf numFmtId="175" fontId="9" fillId="0" borderId="10" xfId="0" applyNumberFormat="1" applyFont="1" applyFill="1" applyBorder="1"/>
    <xf numFmtId="175" fontId="7" fillId="0" borderId="12" xfId="0" applyNumberFormat="1" applyFont="1" applyFill="1" applyBorder="1"/>
    <xf numFmtId="175" fontId="7" fillId="0" borderId="10" xfId="0" applyNumberFormat="1" applyFont="1" applyFill="1" applyBorder="1"/>
    <xf numFmtId="175" fontId="7" fillId="0" borderId="16" xfId="0" applyNumberFormat="1" applyFont="1" applyFill="1" applyBorder="1"/>
    <xf numFmtId="175" fontId="3" fillId="0" borderId="1" xfId="0" applyNumberFormat="1" applyFont="1" applyBorder="1" applyAlignment="1">
      <alignment horizontal="center" vertical="center" wrapText="1"/>
    </xf>
    <xf numFmtId="0" fontId="18" fillId="5" borderId="0" xfId="0" applyFont="1" applyFill="1" applyAlignment="1">
      <alignment horizontal="left" vertical="center" wrapText="1"/>
    </xf>
    <xf numFmtId="0" fontId="18" fillId="5" borderId="0" xfId="0" applyFont="1" applyFill="1" applyAlignment="1">
      <alignment horizontal="left" vertical="center"/>
    </xf>
    <xf numFmtId="0" fontId="7" fillId="0" borderId="0" xfId="0" applyFont="1" applyAlignment="1">
      <alignment horizontal="left" vertical="center" wrapText="1"/>
    </xf>
    <xf numFmtId="0" fontId="10" fillId="5" borderId="0" xfId="0" applyFont="1" applyFill="1" applyAlignment="1">
      <alignment horizontal="left" vertical="center"/>
    </xf>
    <xf numFmtId="49" fontId="7" fillId="0" borderId="0" xfId="0" applyNumberFormat="1" applyFont="1" applyFill="1" applyAlignment="1">
      <alignment horizontal="left" vertical="center" wrapText="1" shrinkToFit="1"/>
    </xf>
    <xf numFmtId="0" fontId="12" fillId="0" borderId="0" xfId="0" applyFont="1" applyAlignment="1">
      <alignment horizontal="left" vertical="top" wrapText="1"/>
    </xf>
    <xf numFmtId="9" fontId="7" fillId="0" borderId="15" xfId="2" applyFont="1" applyFill="1" applyBorder="1" applyAlignment="1">
      <alignment horizontal="left" vertical="center" wrapText="1"/>
    </xf>
    <xf numFmtId="9" fontId="7" fillId="0" borderId="16" xfId="2" applyFont="1" applyFill="1" applyBorder="1" applyAlignment="1">
      <alignment horizontal="left" vertical="center" wrapText="1"/>
    </xf>
    <xf numFmtId="9" fontId="7" fillId="0" borderId="10" xfId="2" applyFont="1" applyFill="1" applyBorder="1" applyAlignment="1">
      <alignment horizontal="left" vertical="center" wrapText="1"/>
    </xf>
    <xf numFmtId="9" fontId="7" fillId="0" borderId="15" xfId="2" applyFont="1" applyFill="1" applyBorder="1" applyAlignment="1">
      <alignment horizontal="center" vertical="center" wrapText="1"/>
    </xf>
    <xf numFmtId="9" fontId="7" fillId="0" borderId="16" xfId="2" applyFont="1" applyFill="1" applyBorder="1" applyAlignment="1">
      <alignment horizontal="center" vertical="center" wrapText="1"/>
    </xf>
    <xf numFmtId="9" fontId="7" fillId="0" borderId="10" xfId="2"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14" fontId="7" fillId="0" borderId="10" xfId="0" applyNumberFormat="1" applyFont="1" applyFill="1" applyBorder="1" applyAlignment="1">
      <alignment horizontal="center" vertical="center" wrapText="1"/>
    </xf>
    <xf numFmtId="165" fontId="7" fillId="0" borderId="15" xfId="1" applyNumberFormat="1" applyFont="1" applyFill="1" applyBorder="1" applyAlignment="1">
      <alignment horizontal="center" vertical="center" wrapText="1"/>
    </xf>
    <xf numFmtId="165" fontId="7" fillId="0" borderId="16"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wrapText="1"/>
    </xf>
    <xf numFmtId="175" fontId="7" fillId="0" borderId="15" xfId="0" applyNumberFormat="1" applyFont="1" applyFill="1" applyBorder="1" applyAlignment="1">
      <alignment horizontal="center" vertical="center" wrapText="1"/>
    </xf>
    <xf numFmtId="175" fontId="7" fillId="0" borderId="10"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3" xfId="0"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8" xfId="0" applyFont="1" applyFill="1" applyBorder="1" applyAlignment="1">
      <alignment horizontal="right" vertical="center" wrapText="1"/>
    </xf>
    <xf numFmtId="0" fontId="9" fillId="0" borderId="20" xfId="0" applyFont="1" applyFill="1" applyBorder="1" applyAlignment="1">
      <alignment horizontal="right"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4" fontId="7" fillId="0" borderId="16"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5" borderId="13" xfId="0" applyFont="1" applyFill="1" applyBorder="1" applyAlignment="1">
      <alignment horizontal="center"/>
    </xf>
    <xf numFmtId="0" fontId="4" fillId="5" borderId="19" xfId="0" applyFont="1" applyFill="1" applyBorder="1" applyAlignment="1">
      <alignment horizontal="center"/>
    </xf>
    <xf numFmtId="0" fontId="4" fillId="5" borderId="14" xfId="0" applyFont="1" applyFill="1" applyBorder="1" applyAlignment="1">
      <alignment horizontal="center"/>
    </xf>
    <xf numFmtId="165" fontId="7" fillId="0" borderId="11" xfId="1" applyNumberFormat="1" applyFont="1" applyFill="1" applyBorder="1" applyAlignment="1">
      <alignment horizontal="center" vertical="center" wrapText="1"/>
    </xf>
    <xf numFmtId="9" fontId="7" fillId="0" borderId="11" xfId="2" applyFont="1" applyFill="1" applyBorder="1" applyAlignment="1">
      <alignment horizontal="center" vertical="center" wrapText="1"/>
    </xf>
    <xf numFmtId="9" fontId="7" fillId="0" borderId="17"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18" xfId="2" applyFont="1" applyFill="1" applyBorder="1" applyAlignment="1">
      <alignment horizontal="center" vertical="center" wrapText="1"/>
    </xf>
    <xf numFmtId="170" fontId="7" fillId="0" borderId="15" xfId="0" applyNumberFormat="1" applyFont="1" applyFill="1" applyBorder="1" applyAlignment="1">
      <alignment horizontal="center" vertical="center" wrapText="1"/>
    </xf>
    <xf numFmtId="170" fontId="7" fillId="0" borderId="10" xfId="0" applyNumberFormat="1" applyFont="1" applyFill="1" applyBorder="1" applyAlignment="1">
      <alignment horizontal="center" vertical="center" wrapText="1"/>
    </xf>
    <xf numFmtId="43" fontId="7" fillId="0" borderId="15" xfId="1" applyFont="1" applyFill="1" applyBorder="1" applyAlignment="1">
      <alignment horizontal="center" vertical="center" wrapText="1"/>
    </xf>
    <xf numFmtId="43" fontId="7" fillId="0" borderId="16" xfId="1" applyFont="1" applyFill="1" applyBorder="1" applyAlignment="1">
      <alignment horizontal="center" vertical="center" wrapText="1"/>
    </xf>
    <xf numFmtId="43" fontId="7" fillId="0" borderId="10" xfId="1" applyFont="1" applyFill="1" applyBorder="1" applyAlignment="1">
      <alignment horizontal="center" vertical="center" wrapText="1"/>
    </xf>
    <xf numFmtId="175" fontId="7" fillId="0" borderId="11" xfId="0" applyNumberFormat="1" applyFont="1" applyFill="1" applyBorder="1" applyAlignment="1">
      <alignment horizontal="center" vertical="center" wrapText="1"/>
    </xf>
  </cellXfs>
  <cellStyles count="4">
    <cellStyle name="Normal" xfId="0" builtinId="0"/>
    <cellStyle name="Normal 2" xfId="3" xr:uid="{25D35071-2743-4249-9C9B-E1FC9F60315B}"/>
    <cellStyle name="Porcentagem" xfId="2" builtinId="5"/>
    <cellStyle name="Vírgula" xfId="1" builtinId="3"/>
  </cellStyles>
  <dxfs count="0"/>
  <tableStyles count="0" defaultTableStyle="TableStyleMedium2" defaultPivotStyle="PivotStyleLight16"/>
  <colors>
    <mruColors>
      <color rgb="FF2174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1"/><Relationship Id="rId3" Type="http://schemas.openxmlformats.org/officeDocument/2006/relationships/hyperlink" Target="#'Costs and Expenses'!A1"/><Relationship Id="rId7" Type="http://schemas.openxmlformats.org/officeDocument/2006/relationships/hyperlink" Target="#Indebtedness!A1"/><Relationship Id="rId12" Type="http://schemas.openxmlformats.org/officeDocument/2006/relationships/hyperlink" Target="#Dividends!A1"/><Relationship Id="rId2" Type="http://schemas.openxmlformats.org/officeDocument/2006/relationships/hyperlink" Target="#'Cash Flow'!A1"/><Relationship Id="rId1" Type="http://schemas.openxmlformats.org/officeDocument/2006/relationships/hyperlink" Target="#Results!A1"/><Relationship Id="rId6" Type="http://schemas.microsoft.com/office/2007/relationships/hdphoto" Target="../media/hdphoto1.wdp"/><Relationship Id="rId11" Type="http://schemas.openxmlformats.org/officeDocument/2006/relationships/hyperlink" Target="#'Energy Portfolio'!A1"/><Relationship Id="rId5" Type="http://schemas.openxmlformats.org/officeDocument/2006/relationships/image" Target="../media/image1.png"/><Relationship Id="rId10" Type="http://schemas.openxmlformats.org/officeDocument/2006/relationships/hyperlink" Target="#'Contingent Liability'!A1"/><Relationship Id="rId4" Type="http://schemas.openxmlformats.org/officeDocument/2006/relationships/hyperlink" Target="#'Balance Sheet'!A1"/><Relationship Id="rId9" Type="http://schemas.openxmlformats.org/officeDocument/2006/relationships/hyperlink" Target="#'Energy Balance'!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ome!A1"/><Relationship Id="rId4" Type="http://schemas.microsoft.com/office/2007/relationships/hdphoto" Target="../media/hdphoto2.wdp"/></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ver!A1"/><Relationship Id="rId5" Type="http://schemas.openxmlformats.org/officeDocument/2006/relationships/hyperlink" Target="#Home!A1"/><Relationship Id="rId4" Type="http://schemas.microsoft.com/office/2007/relationships/hdphoto" Target="../media/hdphoto2.wdp"/></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Home!A1"/><Relationship Id="rId2" Type="http://schemas.microsoft.com/office/2007/relationships/hdphoto" Target="../media/hdphoto2.wdp"/><Relationship Id="rId1"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382669</xdr:colOff>
      <xdr:row>1</xdr:row>
      <xdr:rowOff>66811</xdr:rowOff>
    </xdr:from>
    <xdr:to>
      <xdr:col>19</xdr:col>
      <xdr:colOff>258542</xdr:colOff>
      <xdr:row>5</xdr:row>
      <xdr:rowOff>168811</xdr:rowOff>
    </xdr:to>
    <xdr:sp macro="" textlink="">
      <xdr:nvSpPr>
        <xdr:cNvPr id="2" name="Retângulo de cantos arredondados 4">
          <a:hlinkClick xmlns:r="http://schemas.openxmlformats.org/officeDocument/2006/relationships" r:id="rId1"/>
          <a:extLst>
            <a:ext uri="{FF2B5EF4-FFF2-40B4-BE49-F238E27FC236}">
              <a16:creationId xmlns:a16="http://schemas.microsoft.com/office/drawing/2014/main" id="{F7D2C1E8-9381-4936-A2DC-9E3F030E42E1}"/>
            </a:ext>
          </a:extLst>
        </xdr:cNvPr>
        <xdr:cNvSpPr/>
      </xdr:nvSpPr>
      <xdr:spPr>
        <a:xfrm>
          <a:off x="7088269" y="257311"/>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9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Financial Results</a:t>
          </a:r>
        </a:p>
      </xdr:txBody>
    </xdr:sp>
    <xdr:clientData/>
  </xdr:twoCellAnchor>
  <xdr:twoCellAnchor>
    <xdr:from>
      <xdr:col>11</xdr:col>
      <xdr:colOff>382669</xdr:colOff>
      <xdr:row>7</xdr:row>
      <xdr:rowOff>91617</xdr:rowOff>
    </xdr:from>
    <xdr:to>
      <xdr:col>19</xdr:col>
      <xdr:colOff>258542</xdr:colOff>
      <xdr:row>12</xdr:row>
      <xdr:rowOff>3117</xdr:rowOff>
    </xdr:to>
    <xdr:sp macro="" textlink="">
      <xdr:nvSpPr>
        <xdr:cNvPr id="3" name="Retângulo de cantos arredondados 5">
          <a:hlinkClick xmlns:r="http://schemas.openxmlformats.org/officeDocument/2006/relationships" r:id="rId2"/>
          <a:extLst>
            <a:ext uri="{FF2B5EF4-FFF2-40B4-BE49-F238E27FC236}">
              <a16:creationId xmlns:a16="http://schemas.microsoft.com/office/drawing/2014/main" id="{8D00646E-5237-45DC-A611-DD9BA4E2409E}"/>
            </a:ext>
          </a:extLst>
        </xdr:cNvPr>
        <xdr:cNvSpPr/>
      </xdr:nvSpPr>
      <xdr:spPr>
        <a:xfrm>
          <a:off x="7088269" y="1425117"/>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Cash Flow</a:t>
          </a:r>
        </a:p>
      </xdr:txBody>
    </xdr:sp>
    <xdr:clientData/>
  </xdr:twoCellAnchor>
  <xdr:twoCellAnchor>
    <xdr:from>
      <xdr:col>11</xdr:col>
      <xdr:colOff>372583</xdr:colOff>
      <xdr:row>19</xdr:row>
      <xdr:rowOff>128530</xdr:rowOff>
    </xdr:from>
    <xdr:to>
      <xdr:col>19</xdr:col>
      <xdr:colOff>248456</xdr:colOff>
      <xdr:row>24</xdr:row>
      <xdr:rowOff>40030</xdr:rowOff>
    </xdr:to>
    <xdr:sp macro="" textlink="">
      <xdr:nvSpPr>
        <xdr:cNvPr id="4" name="Retângulo de cantos arredondados 6">
          <a:hlinkClick xmlns:r="http://schemas.openxmlformats.org/officeDocument/2006/relationships" r:id="rId3"/>
          <a:extLst>
            <a:ext uri="{FF2B5EF4-FFF2-40B4-BE49-F238E27FC236}">
              <a16:creationId xmlns:a16="http://schemas.microsoft.com/office/drawing/2014/main" id="{6DE34C3F-EB6F-4BA3-A7E7-70C4C9619515}"/>
            </a:ext>
          </a:extLst>
        </xdr:cNvPr>
        <xdr:cNvSpPr/>
      </xdr:nvSpPr>
      <xdr:spPr>
        <a:xfrm>
          <a:off x="7078183" y="3748030"/>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Costs</a:t>
          </a:r>
          <a:r>
            <a:rPr lang="pt-BR" sz="1800" b="1" baseline="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 and Expenses</a:t>
          </a:r>
          <a:endPar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endParaRPr>
        </a:p>
      </xdr:txBody>
    </xdr:sp>
    <xdr:clientData/>
  </xdr:twoCellAnchor>
  <xdr:oneCellAnchor>
    <xdr:from>
      <xdr:col>3</xdr:col>
      <xdr:colOff>168731</xdr:colOff>
      <xdr:row>11</xdr:row>
      <xdr:rowOff>117123</xdr:rowOff>
    </xdr:from>
    <xdr:ext cx="4675413" cy="888705"/>
    <xdr:sp macro="" textlink="">
      <xdr:nvSpPr>
        <xdr:cNvPr id="6" name="CaixaDeTexto 5">
          <a:extLst>
            <a:ext uri="{FF2B5EF4-FFF2-40B4-BE49-F238E27FC236}">
              <a16:creationId xmlns:a16="http://schemas.microsoft.com/office/drawing/2014/main" id="{3E226B31-8A3E-4C50-A675-00F40E1E2973}"/>
            </a:ext>
          </a:extLst>
        </xdr:cNvPr>
        <xdr:cNvSpPr txBox="1"/>
      </xdr:nvSpPr>
      <xdr:spPr>
        <a:xfrm>
          <a:off x="2005695" y="2212623"/>
          <a:ext cx="4675413" cy="88870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1800" b="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Investor Relations</a:t>
          </a:r>
        </a:p>
        <a:p>
          <a:pPr algn="l"/>
          <a:r>
            <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ricesp@cesp.com.br</a:t>
          </a:r>
        </a:p>
        <a:p>
          <a:pPr algn="l"/>
          <a:r>
            <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+55 (11) 3092-2956</a:t>
          </a:r>
        </a:p>
      </xdr:txBody>
    </xdr:sp>
    <xdr:clientData/>
  </xdr:oneCellAnchor>
  <xdr:twoCellAnchor>
    <xdr:from>
      <xdr:col>11</xdr:col>
      <xdr:colOff>392194</xdr:colOff>
      <xdr:row>13</xdr:row>
      <xdr:rowOff>103724</xdr:rowOff>
    </xdr:from>
    <xdr:to>
      <xdr:col>19</xdr:col>
      <xdr:colOff>268067</xdr:colOff>
      <xdr:row>18</xdr:row>
      <xdr:rowOff>15224</xdr:rowOff>
    </xdr:to>
    <xdr:sp macro="" textlink="">
      <xdr:nvSpPr>
        <xdr:cNvPr id="7" name="Retângulo de cantos arredondados 6">
          <a:hlinkClick xmlns:r="http://schemas.openxmlformats.org/officeDocument/2006/relationships" r:id="rId4"/>
          <a:extLst>
            <a:ext uri="{FF2B5EF4-FFF2-40B4-BE49-F238E27FC236}">
              <a16:creationId xmlns:a16="http://schemas.microsoft.com/office/drawing/2014/main" id="{DFF51777-3E2C-492C-BC6C-BA36D8300681}"/>
            </a:ext>
          </a:extLst>
        </xdr:cNvPr>
        <xdr:cNvSpPr/>
      </xdr:nvSpPr>
      <xdr:spPr>
        <a:xfrm>
          <a:off x="7097794" y="2580224"/>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i="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Balance Sheet</a:t>
          </a:r>
          <a:endParaRPr lang="pt-BR" sz="1800" b="1" i="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endParaRPr>
        </a:p>
      </xdr:txBody>
    </xdr:sp>
    <xdr:clientData/>
  </xdr:twoCellAnchor>
  <xdr:twoCellAnchor editAs="oneCell">
    <xdr:from>
      <xdr:col>3</xdr:col>
      <xdr:colOff>88648</xdr:colOff>
      <xdr:row>1</xdr:row>
      <xdr:rowOff>108721</xdr:rowOff>
    </xdr:from>
    <xdr:to>
      <xdr:col>9</xdr:col>
      <xdr:colOff>343094</xdr:colOff>
      <xdr:row>7</xdr:row>
      <xdr:rowOff>109622</xdr:rowOff>
    </xdr:to>
    <xdr:pic>
      <xdr:nvPicPr>
        <xdr:cNvPr id="8" name="Imagem 7">
          <a:extLst>
            <a:ext uri="{FF2B5EF4-FFF2-40B4-BE49-F238E27FC236}">
              <a16:creationId xmlns:a16="http://schemas.microsoft.com/office/drawing/2014/main" id="{06123427-F0CF-47F4-944C-47CDAE198989}"/>
            </a:ext>
          </a:extLst>
        </xdr:cNvPr>
        <xdr:cNvPicPr>
          <a:picLocks noChangeAspect="1"/>
        </xdr:cNvPicPr>
      </xdr:nvPicPr>
      <xdr:blipFill>
        <a:blip xmlns:r="http://schemas.openxmlformats.org/officeDocument/2006/relationships" r:embed="rId5" cstate="print">
          <a:duotone>
            <a:schemeClr val="bg2">
              <a:shade val="45000"/>
              <a:satMod val="135000"/>
            </a:schemeClr>
            <a:prstClr val="white"/>
          </a:duotone>
          <a:extLst>
            <a:ext uri="{BEBA8EAE-BF5A-486C-A8C5-ECC9F3942E4B}">
              <a14:imgProps xmlns:a14="http://schemas.microsoft.com/office/drawing/2010/main">
                <a14:imgLayer r:embed="rId6">
                  <a14:imgEffect>
                    <a14:artisticPhotocopy/>
                  </a14:imgEffect>
                  <a14:imgEffect>
                    <a14:sharpenSoften amount="50000"/>
                  </a14:imgEffect>
                  <a14:imgEffect>
                    <a14:colorTemperature colorTemp="11200"/>
                  </a14:imgEffect>
                  <a14:imgEffect>
                    <a14:saturation sat="4000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1925612" y="299221"/>
          <a:ext cx="3928375" cy="1143901"/>
        </a:xfrm>
        <a:prstGeom prst="rect">
          <a:avLst/>
        </a:prstGeom>
      </xdr:spPr>
    </xdr:pic>
    <xdr:clientData/>
  </xdr:twoCellAnchor>
  <xdr:twoCellAnchor>
    <xdr:from>
      <xdr:col>11</xdr:col>
      <xdr:colOff>372582</xdr:colOff>
      <xdr:row>25</xdr:row>
      <xdr:rowOff>162097</xdr:rowOff>
    </xdr:from>
    <xdr:to>
      <xdr:col>19</xdr:col>
      <xdr:colOff>248455</xdr:colOff>
      <xdr:row>30</xdr:row>
      <xdr:rowOff>73597</xdr:rowOff>
    </xdr:to>
    <xdr:sp macro="" textlink="">
      <xdr:nvSpPr>
        <xdr:cNvPr id="10" name="Retângulo de cantos arredondados 6">
          <a:hlinkClick xmlns:r="http://schemas.openxmlformats.org/officeDocument/2006/relationships" r:id="rId7"/>
          <a:extLst>
            <a:ext uri="{FF2B5EF4-FFF2-40B4-BE49-F238E27FC236}">
              <a16:creationId xmlns:a16="http://schemas.microsoft.com/office/drawing/2014/main" id="{F1CD4F40-013F-4BA1-AD68-406C99D443E4}"/>
            </a:ext>
          </a:extLst>
        </xdr:cNvPr>
        <xdr:cNvSpPr/>
      </xdr:nvSpPr>
      <xdr:spPr>
        <a:xfrm>
          <a:off x="7078182" y="4924597"/>
          <a:ext cx="4752673"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Indebtedness</a:t>
          </a:r>
        </a:p>
      </xdr:txBody>
    </xdr:sp>
    <xdr:clientData/>
  </xdr:twoCellAnchor>
  <xdr:twoCellAnchor>
    <xdr:from>
      <xdr:col>1</xdr:col>
      <xdr:colOff>2</xdr:colOff>
      <xdr:row>1</xdr:row>
      <xdr:rowOff>122466</xdr:rowOff>
    </xdr:from>
    <xdr:to>
      <xdr:col>2</xdr:col>
      <xdr:colOff>381001</xdr:colOff>
      <xdr:row>6</xdr:row>
      <xdr:rowOff>57379</xdr:rowOff>
    </xdr:to>
    <xdr:sp macro="" textlink="">
      <xdr:nvSpPr>
        <xdr:cNvPr id="14" name="Freeform 5">
          <a:extLst>
            <a:ext uri="{FF2B5EF4-FFF2-40B4-BE49-F238E27FC236}">
              <a16:creationId xmlns:a16="http://schemas.microsoft.com/office/drawing/2014/main" id="{6B4F53E4-F927-40B9-A7FA-6BDBC6CD3223}"/>
            </a:ext>
          </a:extLst>
        </xdr:cNvPr>
        <xdr:cNvSpPr>
          <a:spLocks noEditPoints="1"/>
        </xdr:cNvSpPr>
      </xdr:nvSpPr>
      <xdr:spPr bwMode="auto">
        <a:xfrm>
          <a:off x="612323" y="312966"/>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8</xdr:row>
      <xdr:rowOff>149680</xdr:rowOff>
    </xdr:from>
    <xdr:to>
      <xdr:col>1</xdr:col>
      <xdr:colOff>381000</xdr:colOff>
      <xdr:row>13</xdr:row>
      <xdr:rowOff>84593</xdr:rowOff>
    </xdr:to>
    <xdr:sp macro="" textlink="">
      <xdr:nvSpPr>
        <xdr:cNvPr id="15" name="Freeform 5">
          <a:extLst>
            <a:ext uri="{FF2B5EF4-FFF2-40B4-BE49-F238E27FC236}">
              <a16:creationId xmlns:a16="http://schemas.microsoft.com/office/drawing/2014/main" id="{1EF9A2B4-4833-4A7E-BF0B-69411BD9B90C}"/>
            </a:ext>
          </a:extLst>
        </xdr:cNvPr>
        <xdr:cNvSpPr>
          <a:spLocks noEditPoints="1"/>
        </xdr:cNvSpPr>
      </xdr:nvSpPr>
      <xdr:spPr bwMode="auto">
        <a:xfrm>
          <a:off x="0" y="1673680"/>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19</xdr:row>
      <xdr:rowOff>27214</xdr:rowOff>
    </xdr:from>
    <xdr:to>
      <xdr:col>0</xdr:col>
      <xdr:colOff>585107</xdr:colOff>
      <xdr:row>21</xdr:row>
      <xdr:rowOff>166236</xdr:rowOff>
    </xdr:to>
    <xdr:sp macro="" textlink="">
      <xdr:nvSpPr>
        <xdr:cNvPr id="16" name="Freeform 5">
          <a:extLst>
            <a:ext uri="{FF2B5EF4-FFF2-40B4-BE49-F238E27FC236}">
              <a16:creationId xmlns:a16="http://schemas.microsoft.com/office/drawing/2014/main" id="{C1316C36-A608-4A59-9404-CDD09FD1E8EB}"/>
            </a:ext>
          </a:extLst>
        </xdr:cNvPr>
        <xdr:cNvSpPr>
          <a:spLocks noEditPoints="1"/>
        </xdr:cNvSpPr>
      </xdr:nvSpPr>
      <xdr:spPr bwMode="auto">
        <a:xfrm>
          <a:off x="0" y="3646714"/>
          <a:ext cx="585107" cy="520022"/>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1</xdr:col>
      <xdr:colOff>272143</xdr:colOff>
      <xdr:row>14</xdr:row>
      <xdr:rowOff>81643</xdr:rowOff>
    </xdr:from>
    <xdr:to>
      <xdr:col>2</xdr:col>
      <xdr:colOff>244928</xdr:colOff>
      <xdr:row>17</xdr:row>
      <xdr:rowOff>30165</xdr:rowOff>
    </xdr:to>
    <xdr:sp macro="" textlink="">
      <xdr:nvSpPr>
        <xdr:cNvPr id="17" name="Freeform 5">
          <a:extLst>
            <a:ext uri="{FF2B5EF4-FFF2-40B4-BE49-F238E27FC236}">
              <a16:creationId xmlns:a16="http://schemas.microsoft.com/office/drawing/2014/main" id="{8BB23F22-8350-4307-AEF9-AE9EF6CC14AF}"/>
            </a:ext>
          </a:extLst>
        </xdr:cNvPr>
        <xdr:cNvSpPr>
          <a:spLocks noEditPoints="1"/>
        </xdr:cNvSpPr>
      </xdr:nvSpPr>
      <xdr:spPr bwMode="auto">
        <a:xfrm>
          <a:off x="884464" y="2748643"/>
          <a:ext cx="585107" cy="520022"/>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557892</xdr:colOff>
      <xdr:row>22</xdr:row>
      <xdr:rowOff>95252</xdr:rowOff>
    </xdr:from>
    <xdr:to>
      <xdr:col>2</xdr:col>
      <xdr:colOff>326570</xdr:colOff>
      <xdr:row>27</xdr:row>
      <xdr:rowOff>30165</xdr:rowOff>
    </xdr:to>
    <xdr:sp macro="" textlink="">
      <xdr:nvSpPr>
        <xdr:cNvPr id="18" name="Freeform 5">
          <a:extLst>
            <a:ext uri="{FF2B5EF4-FFF2-40B4-BE49-F238E27FC236}">
              <a16:creationId xmlns:a16="http://schemas.microsoft.com/office/drawing/2014/main" id="{4C743EC8-08CD-480B-A7C4-147D3DD9E8B4}"/>
            </a:ext>
          </a:extLst>
        </xdr:cNvPr>
        <xdr:cNvSpPr>
          <a:spLocks noEditPoints="1"/>
        </xdr:cNvSpPr>
      </xdr:nvSpPr>
      <xdr:spPr bwMode="auto">
        <a:xfrm>
          <a:off x="557892" y="4286252"/>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0</xdr:col>
      <xdr:colOff>0</xdr:colOff>
      <xdr:row>29</xdr:row>
      <xdr:rowOff>2</xdr:rowOff>
    </xdr:from>
    <xdr:to>
      <xdr:col>1</xdr:col>
      <xdr:colOff>381000</xdr:colOff>
      <xdr:row>33</xdr:row>
      <xdr:rowOff>125415</xdr:rowOff>
    </xdr:to>
    <xdr:sp macro="" textlink="">
      <xdr:nvSpPr>
        <xdr:cNvPr id="19" name="Freeform 5">
          <a:extLst>
            <a:ext uri="{FF2B5EF4-FFF2-40B4-BE49-F238E27FC236}">
              <a16:creationId xmlns:a16="http://schemas.microsoft.com/office/drawing/2014/main" id="{A9B01C2E-9087-46FA-A492-E2300F3DEDF8}"/>
            </a:ext>
          </a:extLst>
        </xdr:cNvPr>
        <xdr:cNvSpPr>
          <a:spLocks noEditPoints="1"/>
        </xdr:cNvSpPr>
      </xdr:nvSpPr>
      <xdr:spPr bwMode="auto">
        <a:xfrm>
          <a:off x="0" y="5524502"/>
          <a:ext cx="993321" cy="887413"/>
        </a:xfrm>
        <a:custGeom>
          <a:avLst/>
          <a:gdLst>
            <a:gd name="T0" fmla="*/ 328 w 2438"/>
            <a:gd name="T1" fmla="*/ 490 h 2119"/>
            <a:gd name="T2" fmla="*/ 610 w 2438"/>
            <a:gd name="T3" fmla="*/ 0 h 2119"/>
            <a:gd name="T4" fmla="*/ 1830 w 2438"/>
            <a:gd name="T5" fmla="*/ 0 h 2119"/>
            <a:gd name="T6" fmla="*/ 2438 w 2438"/>
            <a:gd name="T7" fmla="*/ 1059 h 2119"/>
            <a:gd name="T8" fmla="*/ 2124 w 2438"/>
            <a:gd name="T9" fmla="*/ 1605 h 2119"/>
            <a:gd name="T10" fmla="*/ 237 w 2438"/>
            <a:gd name="T11" fmla="*/ 647 h 2119"/>
            <a:gd name="T12" fmla="*/ 0 w 2438"/>
            <a:gd name="T13" fmla="*/ 1059 h 2119"/>
            <a:gd name="T14" fmla="*/ 610 w 2438"/>
            <a:gd name="T15" fmla="*/ 2119 h 2119"/>
            <a:gd name="T16" fmla="*/ 1830 w 2438"/>
            <a:gd name="T17" fmla="*/ 2119 h 2119"/>
            <a:gd name="T18" fmla="*/ 2037 w 2438"/>
            <a:gd name="T19" fmla="*/ 1760 h 21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38" h="2119">
              <a:moveTo>
                <a:pt x="328" y="490"/>
              </a:moveTo>
              <a:lnTo>
                <a:pt x="610" y="0"/>
              </a:lnTo>
              <a:lnTo>
                <a:pt x="1830" y="0"/>
              </a:lnTo>
              <a:lnTo>
                <a:pt x="2438" y="1059"/>
              </a:lnTo>
              <a:lnTo>
                <a:pt x="2124" y="1605"/>
              </a:lnTo>
              <a:moveTo>
                <a:pt x="237" y="647"/>
              </a:moveTo>
              <a:lnTo>
                <a:pt x="0" y="1059"/>
              </a:lnTo>
              <a:lnTo>
                <a:pt x="610" y="2119"/>
              </a:lnTo>
              <a:lnTo>
                <a:pt x="1830" y="2119"/>
              </a:lnTo>
              <a:lnTo>
                <a:pt x="2037" y="1760"/>
              </a:lnTo>
            </a:path>
          </a:pathLst>
        </a:custGeom>
        <a:noFill/>
        <a:ln w="30163" cap="rnd">
          <a:solidFill>
            <a:schemeClr val="bg1"/>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t" anchorCtr="0" compatLnSpc="1">
          <a:prstTxWarp prst="textNoShape">
            <a:avLst/>
          </a:prstTxWarp>
        </a:bodyPr>
        <a:lstStyle>
          <a:defPPr>
            <a:defRPr lang="pt-BR"/>
          </a:defPPr>
          <a:lvl1pPr marL="0" algn="l" defTabSz="1368143" rtl="0" eaLnBrk="1" latinLnBrk="0" hangingPunct="1">
            <a:defRPr sz="2700" kern="1200">
              <a:solidFill>
                <a:schemeClr val="tx1"/>
              </a:solidFill>
              <a:latin typeface="+mn-lt"/>
              <a:ea typeface="+mn-ea"/>
              <a:cs typeface="+mn-cs"/>
            </a:defRPr>
          </a:lvl1pPr>
          <a:lvl2pPr marL="684071" algn="l" defTabSz="1368143" rtl="0" eaLnBrk="1" latinLnBrk="0" hangingPunct="1">
            <a:defRPr sz="2700" kern="1200">
              <a:solidFill>
                <a:schemeClr val="tx1"/>
              </a:solidFill>
              <a:latin typeface="+mn-lt"/>
              <a:ea typeface="+mn-ea"/>
              <a:cs typeface="+mn-cs"/>
            </a:defRPr>
          </a:lvl2pPr>
          <a:lvl3pPr marL="1368143" algn="l" defTabSz="1368143" rtl="0" eaLnBrk="1" latinLnBrk="0" hangingPunct="1">
            <a:defRPr sz="2700" kern="1200">
              <a:solidFill>
                <a:schemeClr val="tx1"/>
              </a:solidFill>
              <a:latin typeface="+mn-lt"/>
              <a:ea typeface="+mn-ea"/>
              <a:cs typeface="+mn-cs"/>
            </a:defRPr>
          </a:lvl3pPr>
          <a:lvl4pPr marL="2052216" algn="l" defTabSz="1368143" rtl="0" eaLnBrk="1" latinLnBrk="0" hangingPunct="1">
            <a:defRPr sz="2700" kern="1200">
              <a:solidFill>
                <a:schemeClr val="tx1"/>
              </a:solidFill>
              <a:latin typeface="+mn-lt"/>
              <a:ea typeface="+mn-ea"/>
              <a:cs typeface="+mn-cs"/>
            </a:defRPr>
          </a:lvl4pPr>
          <a:lvl5pPr marL="2736287" algn="l" defTabSz="1368143" rtl="0" eaLnBrk="1" latinLnBrk="0" hangingPunct="1">
            <a:defRPr sz="2700" kern="1200">
              <a:solidFill>
                <a:schemeClr val="tx1"/>
              </a:solidFill>
              <a:latin typeface="+mn-lt"/>
              <a:ea typeface="+mn-ea"/>
              <a:cs typeface="+mn-cs"/>
            </a:defRPr>
          </a:lvl5pPr>
          <a:lvl6pPr marL="3420358" algn="l" defTabSz="1368143" rtl="0" eaLnBrk="1" latinLnBrk="0" hangingPunct="1">
            <a:defRPr sz="2700" kern="1200">
              <a:solidFill>
                <a:schemeClr val="tx1"/>
              </a:solidFill>
              <a:latin typeface="+mn-lt"/>
              <a:ea typeface="+mn-ea"/>
              <a:cs typeface="+mn-cs"/>
            </a:defRPr>
          </a:lvl6pPr>
          <a:lvl7pPr marL="4104429" algn="l" defTabSz="1368143" rtl="0" eaLnBrk="1" latinLnBrk="0" hangingPunct="1">
            <a:defRPr sz="2700" kern="1200">
              <a:solidFill>
                <a:schemeClr val="tx1"/>
              </a:solidFill>
              <a:latin typeface="+mn-lt"/>
              <a:ea typeface="+mn-ea"/>
              <a:cs typeface="+mn-cs"/>
            </a:defRPr>
          </a:lvl7pPr>
          <a:lvl8pPr marL="4788503" algn="l" defTabSz="1368143" rtl="0" eaLnBrk="1" latinLnBrk="0" hangingPunct="1">
            <a:defRPr sz="2700" kern="1200">
              <a:solidFill>
                <a:schemeClr val="tx1"/>
              </a:solidFill>
              <a:latin typeface="+mn-lt"/>
              <a:ea typeface="+mn-ea"/>
              <a:cs typeface="+mn-cs"/>
            </a:defRPr>
          </a:lvl8pPr>
          <a:lvl9pPr marL="5472574" algn="l" defTabSz="1368143" rtl="0" eaLnBrk="1" latinLnBrk="0" hangingPunct="1">
            <a:defRPr sz="2700" kern="1200">
              <a:solidFill>
                <a:schemeClr val="tx1"/>
              </a:solidFill>
              <a:latin typeface="+mn-lt"/>
              <a:ea typeface="+mn-ea"/>
              <a:cs typeface="+mn-cs"/>
            </a:defRPr>
          </a:lvl9pPr>
        </a:lstStyle>
        <a:p>
          <a:endParaRPr lang="pt-BR">
            <a:latin typeface="Arial" panose="020B0604020202020204" pitchFamily="34" charset="0"/>
          </a:endParaRPr>
        </a:p>
      </xdr:txBody>
    </xdr:sp>
    <xdr:clientData/>
  </xdr:twoCellAnchor>
  <xdr:twoCellAnchor>
    <xdr:from>
      <xdr:col>1</xdr:col>
      <xdr:colOff>557893</xdr:colOff>
      <xdr:row>5</xdr:row>
      <xdr:rowOff>54429</xdr:rowOff>
    </xdr:from>
    <xdr:to>
      <xdr:col>1</xdr:col>
      <xdr:colOff>557893</xdr:colOff>
      <xdr:row>15</xdr:row>
      <xdr:rowOff>54429</xdr:rowOff>
    </xdr:to>
    <xdr:cxnSp macro="">
      <xdr:nvCxnSpPr>
        <xdr:cNvPr id="21" name="Conector reto 20">
          <a:extLst>
            <a:ext uri="{FF2B5EF4-FFF2-40B4-BE49-F238E27FC236}">
              <a16:creationId xmlns:a16="http://schemas.microsoft.com/office/drawing/2014/main" id="{21D52F3E-FF51-4C7A-A2BF-0EA04F1E86D0}"/>
            </a:ext>
          </a:extLst>
        </xdr:cNvPr>
        <xdr:cNvCxnSpPr/>
      </xdr:nvCxnSpPr>
      <xdr:spPr>
        <a:xfrm flipH="1">
          <a:off x="1170214" y="1006929"/>
          <a:ext cx="0" cy="190500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13</xdr:row>
      <xdr:rowOff>40821</xdr:rowOff>
    </xdr:from>
    <xdr:to>
      <xdr:col>0</xdr:col>
      <xdr:colOff>381000</xdr:colOff>
      <xdr:row>19</xdr:row>
      <xdr:rowOff>27214</xdr:rowOff>
    </xdr:to>
    <xdr:cxnSp macro="">
      <xdr:nvCxnSpPr>
        <xdr:cNvPr id="22" name="Conector reto 21">
          <a:extLst>
            <a:ext uri="{FF2B5EF4-FFF2-40B4-BE49-F238E27FC236}">
              <a16:creationId xmlns:a16="http://schemas.microsoft.com/office/drawing/2014/main" id="{9AB935EC-E400-43DB-A7B8-C94245A547C9}"/>
            </a:ext>
          </a:extLst>
        </xdr:cNvPr>
        <xdr:cNvCxnSpPr>
          <a:endCxn id="16" idx="2"/>
        </xdr:cNvCxnSpPr>
      </xdr:nvCxnSpPr>
      <xdr:spPr>
        <a:xfrm>
          <a:off x="381000" y="2517321"/>
          <a:ext cx="0" cy="1129393"/>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217714</xdr:colOff>
      <xdr:row>19</xdr:row>
      <xdr:rowOff>122464</xdr:rowOff>
    </xdr:from>
    <xdr:to>
      <xdr:col>0</xdr:col>
      <xdr:colOff>217714</xdr:colOff>
      <xdr:row>32</xdr:row>
      <xdr:rowOff>0</xdr:rowOff>
    </xdr:to>
    <xdr:cxnSp macro="">
      <xdr:nvCxnSpPr>
        <xdr:cNvPr id="26" name="Conector reto 25">
          <a:extLst>
            <a:ext uri="{FF2B5EF4-FFF2-40B4-BE49-F238E27FC236}">
              <a16:creationId xmlns:a16="http://schemas.microsoft.com/office/drawing/2014/main" id="{F552D6E2-715C-4FBC-9280-13A77C36F1B3}"/>
            </a:ext>
          </a:extLst>
        </xdr:cNvPr>
        <xdr:cNvCxnSpPr/>
      </xdr:nvCxnSpPr>
      <xdr:spPr>
        <a:xfrm>
          <a:off x="217714" y="3741964"/>
          <a:ext cx="0" cy="2354036"/>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24</xdr:row>
      <xdr:rowOff>40822</xdr:rowOff>
    </xdr:from>
    <xdr:to>
      <xdr:col>1</xdr:col>
      <xdr:colOff>381000</xdr:colOff>
      <xdr:row>31</xdr:row>
      <xdr:rowOff>68036</xdr:rowOff>
    </xdr:to>
    <xdr:cxnSp macro="">
      <xdr:nvCxnSpPr>
        <xdr:cNvPr id="28" name="Conector reto 27">
          <a:extLst>
            <a:ext uri="{FF2B5EF4-FFF2-40B4-BE49-F238E27FC236}">
              <a16:creationId xmlns:a16="http://schemas.microsoft.com/office/drawing/2014/main" id="{D3879E46-3383-4989-A777-47FE61AEE0D5}"/>
            </a:ext>
          </a:extLst>
        </xdr:cNvPr>
        <xdr:cNvCxnSpPr/>
      </xdr:nvCxnSpPr>
      <xdr:spPr>
        <a:xfrm>
          <a:off x="993321" y="4612822"/>
          <a:ext cx="0" cy="13607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108857</xdr:colOff>
      <xdr:row>17</xdr:row>
      <xdr:rowOff>27214</xdr:rowOff>
    </xdr:from>
    <xdr:to>
      <xdr:col>2</xdr:col>
      <xdr:colOff>108857</xdr:colOff>
      <xdr:row>24</xdr:row>
      <xdr:rowOff>54428</xdr:rowOff>
    </xdr:to>
    <xdr:cxnSp macro="">
      <xdr:nvCxnSpPr>
        <xdr:cNvPr id="30" name="Conector reto 29">
          <a:extLst>
            <a:ext uri="{FF2B5EF4-FFF2-40B4-BE49-F238E27FC236}">
              <a16:creationId xmlns:a16="http://schemas.microsoft.com/office/drawing/2014/main" id="{BAFDB713-F2B3-456F-B6B9-E52D47227C35}"/>
            </a:ext>
          </a:extLst>
        </xdr:cNvPr>
        <xdr:cNvCxnSpPr/>
      </xdr:nvCxnSpPr>
      <xdr:spPr>
        <a:xfrm>
          <a:off x="1333500" y="3265714"/>
          <a:ext cx="0" cy="1360714"/>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168729</xdr:colOff>
      <xdr:row>9</xdr:row>
      <xdr:rowOff>21528</xdr:rowOff>
    </xdr:from>
    <xdr:ext cx="4675413" cy="453970"/>
    <xdr:sp macro="" textlink="">
      <xdr:nvSpPr>
        <xdr:cNvPr id="31" name="CaixaDeTexto 30">
          <a:extLst>
            <a:ext uri="{FF2B5EF4-FFF2-40B4-BE49-F238E27FC236}">
              <a16:creationId xmlns:a16="http://schemas.microsoft.com/office/drawing/2014/main" id="{E13A4B2D-948D-499B-BCAD-C7AA57B1E598}"/>
            </a:ext>
          </a:extLst>
        </xdr:cNvPr>
        <xdr:cNvSpPr txBox="1"/>
      </xdr:nvSpPr>
      <xdr:spPr>
        <a:xfrm>
          <a:off x="2005693" y="1736028"/>
          <a:ext cx="4675413" cy="45397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2000" b="0">
              <a:ln>
                <a:noFill/>
              </a:ln>
              <a:solidFill>
                <a:schemeClr val="bg1"/>
              </a:solidFill>
              <a:effectLst/>
              <a:latin typeface="Arial Black" panose="020B0A04020102020204" pitchFamily="34" charset="0"/>
              <a:ea typeface="Verdana" panose="020B0604030504040204" pitchFamily="34" charset="0"/>
              <a:cs typeface="Arial" panose="020B0604020202020204" pitchFamily="34" charset="0"/>
            </a:rPr>
            <a:t>2Q21 Interactive Sheet</a:t>
          </a:r>
          <a:endParaRPr lang="pt-BR" sz="2000" b="0" baseline="0">
            <a:ln>
              <a:noFill/>
            </a:ln>
            <a:solidFill>
              <a:schemeClr val="bg1"/>
            </a:solidFill>
            <a:effectLst/>
            <a:latin typeface="Arial Black" panose="020B0A04020102020204" pitchFamily="34" charset="0"/>
            <a:ea typeface="Verdana" panose="020B0604030504040204" pitchFamily="34" charset="0"/>
            <a:cs typeface="Arial" panose="020B0604020202020204" pitchFamily="34" charset="0"/>
          </a:endParaRPr>
        </a:p>
      </xdr:txBody>
    </xdr:sp>
    <xdr:clientData/>
  </xdr:oneCellAnchor>
  <xdr:oneCellAnchor>
    <xdr:from>
      <xdr:col>3</xdr:col>
      <xdr:colOff>194130</xdr:colOff>
      <xdr:row>28</xdr:row>
      <xdr:rowOff>189365</xdr:rowOff>
    </xdr:from>
    <xdr:ext cx="4675413" cy="357790"/>
    <xdr:sp macro="" textlink="">
      <xdr:nvSpPr>
        <xdr:cNvPr id="32" name="CaixaDeTexto 31">
          <a:extLst>
            <a:ext uri="{FF2B5EF4-FFF2-40B4-BE49-F238E27FC236}">
              <a16:creationId xmlns:a16="http://schemas.microsoft.com/office/drawing/2014/main" id="{7D87C19E-F43E-4B2E-BC63-9C1B41DE490F}"/>
            </a:ext>
          </a:extLst>
        </xdr:cNvPr>
        <xdr:cNvSpPr txBox="1"/>
      </xdr:nvSpPr>
      <xdr:spPr>
        <a:xfrm>
          <a:off x="2022930" y="5523365"/>
          <a:ext cx="4675413" cy="35779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lang="pt-BR" sz="1800" b="0">
              <a:ln>
                <a:noFill/>
              </a:ln>
              <a:solidFill>
                <a:schemeClr val="bg1"/>
              </a:solidFill>
              <a:effectLst/>
              <a:latin typeface="Arial" panose="020B0604020202020204" pitchFamily="34" charset="0"/>
              <a:ea typeface="Verdana" panose="020B0604030504040204" pitchFamily="34" charset="0"/>
              <a:cs typeface="Arial" panose="020B0604020202020204" pitchFamily="34" charset="0"/>
            </a:rPr>
            <a:t>Last update: 07/29/2021</a:t>
          </a:r>
          <a:endParaRPr lang="pt-BR" sz="1800" b="0" baseline="0">
            <a:ln>
              <a:noFill/>
            </a:ln>
            <a:solidFill>
              <a:schemeClr val="bg1"/>
            </a:solidFill>
            <a:effectLst/>
            <a:latin typeface="Arial" panose="020B0604020202020204" pitchFamily="34" charset="0"/>
            <a:ea typeface="Verdana" panose="020B0604030504040204" pitchFamily="34" charset="0"/>
            <a:cs typeface="Arial" panose="020B0604020202020204" pitchFamily="34" charset="0"/>
          </a:endParaRPr>
        </a:p>
      </xdr:txBody>
    </xdr:sp>
    <xdr:clientData/>
  </xdr:oneCellAnchor>
  <xdr:twoCellAnchor>
    <xdr:from>
      <xdr:col>19</xdr:col>
      <xdr:colOff>600383</xdr:colOff>
      <xdr:row>1</xdr:row>
      <xdr:rowOff>80418</xdr:rowOff>
    </xdr:from>
    <xdr:to>
      <xdr:col>27</xdr:col>
      <xdr:colOff>476255</xdr:colOff>
      <xdr:row>5</xdr:row>
      <xdr:rowOff>182418</xdr:rowOff>
    </xdr:to>
    <xdr:sp macro="" textlink="">
      <xdr:nvSpPr>
        <xdr:cNvPr id="25" name="Retângulo de cantos arredondados 4">
          <a:hlinkClick xmlns:r="http://schemas.openxmlformats.org/officeDocument/2006/relationships" r:id="rId8"/>
          <a:extLst>
            <a:ext uri="{FF2B5EF4-FFF2-40B4-BE49-F238E27FC236}">
              <a16:creationId xmlns:a16="http://schemas.microsoft.com/office/drawing/2014/main" id="{0D1306C9-CC81-48EA-A30A-545915E9A867}"/>
            </a:ext>
          </a:extLst>
        </xdr:cNvPr>
        <xdr:cNvSpPr/>
      </xdr:nvSpPr>
      <xdr:spPr>
        <a:xfrm>
          <a:off x="12182783" y="270918"/>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9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Operational Data</a:t>
          </a:r>
        </a:p>
      </xdr:txBody>
    </xdr:sp>
    <xdr:clientData/>
  </xdr:twoCellAnchor>
  <xdr:twoCellAnchor>
    <xdr:from>
      <xdr:col>19</xdr:col>
      <xdr:colOff>600383</xdr:colOff>
      <xdr:row>7</xdr:row>
      <xdr:rowOff>105224</xdr:rowOff>
    </xdr:from>
    <xdr:to>
      <xdr:col>27</xdr:col>
      <xdr:colOff>476255</xdr:colOff>
      <xdr:row>12</xdr:row>
      <xdr:rowOff>16724</xdr:rowOff>
    </xdr:to>
    <xdr:sp macro="" textlink="">
      <xdr:nvSpPr>
        <xdr:cNvPr id="27" name="Retângulo de cantos arredondados 5">
          <a:hlinkClick xmlns:r="http://schemas.openxmlformats.org/officeDocument/2006/relationships" r:id="rId9"/>
          <a:extLst>
            <a:ext uri="{FF2B5EF4-FFF2-40B4-BE49-F238E27FC236}">
              <a16:creationId xmlns:a16="http://schemas.microsoft.com/office/drawing/2014/main" id="{E458166D-B830-4C47-B4BA-4CCFE8E82FA0}"/>
            </a:ext>
          </a:extLst>
        </xdr:cNvPr>
        <xdr:cNvSpPr/>
      </xdr:nvSpPr>
      <xdr:spPr>
        <a:xfrm>
          <a:off x="12182783" y="1438724"/>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Energy Balance</a:t>
          </a:r>
        </a:p>
      </xdr:txBody>
    </xdr:sp>
    <xdr:clientData/>
  </xdr:twoCellAnchor>
  <xdr:twoCellAnchor>
    <xdr:from>
      <xdr:col>19</xdr:col>
      <xdr:colOff>590297</xdr:colOff>
      <xdr:row>19</xdr:row>
      <xdr:rowOff>142137</xdr:rowOff>
    </xdr:from>
    <xdr:to>
      <xdr:col>27</xdr:col>
      <xdr:colOff>466169</xdr:colOff>
      <xdr:row>24</xdr:row>
      <xdr:rowOff>53637</xdr:rowOff>
    </xdr:to>
    <xdr:sp macro="" textlink="">
      <xdr:nvSpPr>
        <xdr:cNvPr id="29" name="Retângulo de cantos arredondados 6">
          <a:hlinkClick xmlns:r="http://schemas.openxmlformats.org/officeDocument/2006/relationships" r:id="rId10"/>
          <a:extLst>
            <a:ext uri="{FF2B5EF4-FFF2-40B4-BE49-F238E27FC236}">
              <a16:creationId xmlns:a16="http://schemas.microsoft.com/office/drawing/2014/main" id="{23CAA571-02F3-44F3-9852-2056B8A2CC0D}"/>
            </a:ext>
          </a:extLst>
        </xdr:cNvPr>
        <xdr:cNvSpPr/>
      </xdr:nvSpPr>
      <xdr:spPr>
        <a:xfrm>
          <a:off x="12172697" y="3761637"/>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Contingencies</a:t>
          </a:r>
        </a:p>
      </xdr:txBody>
    </xdr:sp>
    <xdr:clientData/>
  </xdr:twoCellAnchor>
  <xdr:twoCellAnchor>
    <xdr:from>
      <xdr:col>20</xdr:col>
      <xdr:colOff>308</xdr:colOff>
      <xdr:row>13</xdr:row>
      <xdr:rowOff>117331</xdr:rowOff>
    </xdr:from>
    <xdr:to>
      <xdr:col>27</xdr:col>
      <xdr:colOff>485780</xdr:colOff>
      <xdr:row>18</xdr:row>
      <xdr:rowOff>28831</xdr:rowOff>
    </xdr:to>
    <xdr:sp macro="" textlink="">
      <xdr:nvSpPr>
        <xdr:cNvPr id="33" name="Retângulo de cantos arredondados 6">
          <a:hlinkClick xmlns:r="http://schemas.openxmlformats.org/officeDocument/2006/relationships" r:id="rId11"/>
          <a:extLst>
            <a:ext uri="{FF2B5EF4-FFF2-40B4-BE49-F238E27FC236}">
              <a16:creationId xmlns:a16="http://schemas.microsoft.com/office/drawing/2014/main" id="{782769F6-C440-4D17-B8FA-E5B0DC462818}"/>
            </a:ext>
          </a:extLst>
        </xdr:cNvPr>
        <xdr:cNvSpPr/>
      </xdr:nvSpPr>
      <xdr:spPr>
        <a:xfrm>
          <a:off x="12192308" y="2593831"/>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i="0">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Energy Portfolio</a:t>
          </a:r>
        </a:p>
      </xdr:txBody>
    </xdr:sp>
    <xdr:clientData/>
  </xdr:twoCellAnchor>
  <xdr:twoCellAnchor>
    <xdr:from>
      <xdr:col>19</xdr:col>
      <xdr:colOff>590297</xdr:colOff>
      <xdr:row>25</xdr:row>
      <xdr:rowOff>162095</xdr:rowOff>
    </xdr:from>
    <xdr:to>
      <xdr:col>27</xdr:col>
      <xdr:colOff>466169</xdr:colOff>
      <xdr:row>30</xdr:row>
      <xdr:rowOff>73595</xdr:rowOff>
    </xdr:to>
    <xdr:sp macro="" textlink="">
      <xdr:nvSpPr>
        <xdr:cNvPr id="34" name="Retângulo de cantos arredondados 6">
          <a:hlinkClick xmlns:r="http://schemas.openxmlformats.org/officeDocument/2006/relationships" r:id="rId12"/>
          <a:extLst>
            <a:ext uri="{FF2B5EF4-FFF2-40B4-BE49-F238E27FC236}">
              <a16:creationId xmlns:a16="http://schemas.microsoft.com/office/drawing/2014/main" id="{7C4D64B8-3E40-4D81-AE2E-830282F76DDE}"/>
            </a:ext>
          </a:extLst>
        </xdr:cNvPr>
        <xdr:cNvSpPr/>
      </xdr:nvSpPr>
      <xdr:spPr>
        <a:xfrm>
          <a:off x="12172697" y="4924595"/>
          <a:ext cx="4752672" cy="864000"/>
        </a:xfrm>
        <a:prstGeom prst="round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2700"/>
            </a:lnSpc>
          </a:pPr>
          <a:r>
            <a:rPr lang="pt-BR" sz="1800" b="1">
              <a:solidFill>
                <a:schemeClr val="tx1">
                  <a:lumMod val="75000"/>
                  <a:lumOff val="25000"/>
                </a:schemeClr>
              </a:solidFill>
              <a:latin typeface="Arial Black" panose="020B0A04020102020204" pitchFamily="34" charset="0"/>
              <a:ea typeface="Verdana" panose="020B0604030504040204" pitchFamily="34" charset="0"/>
              <a:cs typeface="Arial" panose="020B0604020202020204" pitchFamily="34" charset="0"/>
            </a:rPr>
            <a:t>Dividends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634375</xdr:colOff>
      <xdr:row>0</xdr:row>
      <xdr:rowOff>115651</xdr:rowOff>
    </xdr:from>
    <xdr:to>
      <xdr:col>13</xdr:col>
      <xdr:colOff>523863</xdr:colOff>
      <xdr:row>0</xdr:row>
      <xdr:rowOff>666265</xdr:rowOff>
    </xdr:to>
    <xdr:grpSp>
      <xdr:nvGrpSpPr>
        <xdr:cNvPr id="4" name="Grupo 14">
          <a:hlinkClick xmlns:r="http://schemas.openxmlformats.org/officeDocument/2006/relationships" r:id="rId1"/>
          <a:extLst>
            <a:ext uri="{FF2B5EF4-FFF2-40B4-BE49-F238E27FC236}">
              <a16:creationId xmlns:a16="http://schemas.microsoft.com/office/drawing/2014/main" id="{508276B3-46E7-4CA1-9F5F-C9B4A4FE0D5E}"/>
            </a:ext>
          </a:extLst>
        </xdr:cNvPr>
        <xdr:cNvGrpSpPr>
          <a:grpSpLocks/>
        </xdr:cNvGrpSpPr>
      </xdr:nvGrpSpPr>
      <xdr:grpSpPr bwMode="auto">
        <a:xfrm>
          <a:off x="12086787" y="115651"/>
          <a:ext cx="573047" cy="550614"/>
          <a:chOff x="11605781" y="215217"/>
          <a:chExt cx="467591" cy="461058"/>
        </a:xfrm>
      </xdr:grpSpPr>
      <xdr:pic>
        <xdr:nvPicPr>
          <xdr:cNvPr id="5" name="Imagem 2">
            <a:extLst>
              <a:ext uri="{FF2B5EF4-FFF2-40B4-BE49-F238E27FC236}">
                <a16:creationId xmlns:a16="http://schemas.microsoft.com/office/drawing/2014/main" id="{E6AB1A13-8F08-484E-A827-6377A3BC7F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aixaDeTexto 5">
            <a:extLst>
              <a:ext uri="{FF2B5EF4-FFF2-40B4-BE49-F238E27FC236}">
                <a16:creationId xmlns:a16="http://schemas.microsoft.com/office/drawing/2014/main" id="{A4A8A45F-3301-4D80-B8E2-6BA7564808F7}"/>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editAs="oneCell">
    <xdr:from>
      <xdr:col>0</xdr:col>
      <xdr:colOff>209550</xdr:colOff>
      <xdr:row>0</xdr:row>
      <xdr:rowOff>219075</xdr:rowOff>
    </xdr:from>
    <xdr:to>
      <xdr:col>0</xdr:col>
      <xdr:colOff>983583</xdr:colOff>
      <xdr:row>0</xdr:row>
      <xdr:rowOff>445390</xdr:rowOff>
    </xdr:to>
    <xdr:pic>
      <xdr:nvPicPr>
        <xdr:cNvPr id="8" name="Imagem 7">
          <a:extLst>
            <a:ext uri="{FF2B5EF4-FFF2-40B4-BE49-F238E27FC236}">
              <a16:creationId xmlns:a16="http://schemas.microsoft.com/office/drawing/2014/main" id="{CFEC9233-6D14-48D0-87BE-8C77CAA5B08F}"/>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04800" y="219075"/>
          <a:ext cx="774033" cy="226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52AD82C7-B4CB-4BAE-BA10-A7C30C28B065}"/>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13</xdr:col>
      <xdr:colOff>78442</xdr:colOff>
      <xdr:row>0</xdr:row>
      <xdr:rowOff>89648</xdr:rowOff>
    </xdr:from>
    <xdr:to>
      <xdr:col>13</xdr:col>
      <xdr:colOff>651489</xdr:colOff>
      <xdr:row>0</xdr:row>
      <xdr:rowOff>640262</xdr:rowOff>
    </xdr:to>
    <xdr:grpSp>
      <xdr:nvGrpSpPr>
        <xdr:cNvPr id="6" name="Grupo 14">
          <a:hlinkClick xmlns:r="http://schemas.openxmlformats.org/officeDocument/2006/relationships" r:id="rId3"/>
          <a:extLst>
            <a:ext uri="{FF2B5EF4-FFF2-40B4-BE49-F238E27FC236}">
              <a16:creationId xmlns:a16="http://schemas.microsoft.com/office/drawing/2014/main" id="{FD2BED3F-88C4-4685-890F-BD815C239474}"/>
            </a:ext>
          </a:extLst>
        </xdr:cNvPr>
        <xdr:cNvGrpSpPr>
          <a:grpSpLocks/>
        </xdr:cNvGrpSpPr>
      </xdr:nvGrpSpPr>
      <xdr:grpSpPr bwMode="auto">
        <a:xfrm>
          <a:off x="12729883" y="89648"/>
          <a:ext cx="573047" cy="550614"/>
          <a:chOff x="11605781" y="215217"/>
          <a:chExt cx="467591" cy="461058"/>
        </a:xfrm>
      </xdr:grpSpPr>
      <xdr:pic>
        <xdr:nvPicPr>
          <xdr:cNvPr id="7" name="Imagem 2">
            <a:extLst>
              <a:ext uri="{FF2B5EF4-FFF2-40B4-BE49-F238E27FC236}">
                <a16:creationId xmlns:a16="http://schemas.microsoft.com/office/drawing/2014/main" id="{E9545F4F-ABB7-49F0-AEF7-AA0CA3C8862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CaixaDeTexto 8">
            <a:extLst>
              <a:ext uri="{FF2B5EF4-FFF2-40B4-BE49-F238E27FC236}">
                <a16:creationId xmlns:a16="http://schemas.microsoft.com/office/drawing/2014/main" id="{F02522B2-22EB-4007-90C4-55DB3C9F6E4F}"/>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ED5773B5-3E28-4C0A-83E1-EF4F9CC90AB4}"/>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11</xdr:col>
      <xdr:colOff>156882</xdr:colOff>
      <xdr:row>0</xdr:row>
      <xdr:rowOff>78442</xdr:rowOff>
    </xdr:from>
    <xdr:to>
      <xdr:col>11</xdr:col>
      <xdr:colOff>729929</xdr:colOff>
      <xdr:row>0</xdr:row>
      <xdr:rowOff>629056</xdr:rowOff>
    </xdr:to>
    <xdr:grpSp>
      <xdr:nvGrpSpPr>
        <xdr:cNvPr id="10" name="Grupo 14">
          <a:hlinkClick xmlns:r="http://schemas.openxmlformats.org/officeDocument/2006/relationships" r:id="rId3"/>
          <a:extLst>
            <a:ext uri="{FF2B5EF4-FFF2-40B4-BE49-F238E27FC236}">
              <a16:creationId xmlns:a16="http://schemas.microsoft.com/office/drawing/2014/main" id="{ED19F354-2F19-4806-A99A-E2FCCE1866A9}"/>
            </a:ext>
          </a:extLst>
        </xdr:cNvPr>
        <xdr:cNvGrpSpPr>
          <a:grpSpLocks/>
        </xdr:cNvGrpSpPr>
      </xdr:nvGrpSpPr>
      <xdr:grpSpPr bwMode="auto">
        <a:xfrm>
          <a:off x="10174941" y="78442"/>
          <a:ext cx="573047" cy="550614"/>
          <a:chOff x="11605781" y="215217"/>
          <a:chExt cx="467591" cy="461058"/>
        </a:xfrm>
      </xdr:grpSpPr>
      <xdr:pic>
        <xdr:nvPicPr>
          <xdr:cNvPr id="11" name="Imagem 2">
            <a:extLst>
              <a:ext uri="{FF2B5EF4-FFF2-40B4-BE49-F238E27FC236}">
                <a16:creationId xmlns:a16="http://schemas.microsoft.com/office/drawing/2014/main" id="{B0B80108-9B51-4196-9115-4A21B129BD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aixaDeTexto 11">
            <a:extLst>
              <a:ext uri="{FF2B5EF4-FFF2-40B4-BE49-F238E27FC236}">
                <a16:creationId xmlns:a16="http://schemas.microsoft.com/office/drawing/2014/main" id="{A727719F-CE86-4735-8931-780129E34375}"/>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DDD1C9F1-C422-4629-B91F-839E32AF5E30}"/>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13</xdr:col>
      <xdr:colOff>56029</xdr:colOff>
      <xdr:row>0</xdr:row>
      <xdr:rowOff>89647</xdr:rowOff>
    </xdr:from>
    <xdr:to>
      <xdr:col>13</xdr:col>
      <xdr:colOff>629076</xdr:colOff>
      <xdr:row>0</xdr:row>
      <xdr:rowOff>640261</xdr:rowOff>
    </xdr:to>
    <xdr:grpSp>
      <xdr:nvGrpSpPr>
        <xdr:cNvPr id="7" name="Grupo 14">
          <a:hlinkClick xmlns:r="http://schemas.openxmlformats.org/officeDocument/2006/relationships" r:id="rId3"/>
          <a:extLst>
            <a:ext uri="{FF2B5EF4-FFF2-40B4-BE49-F238E27FC236}">
              <a16:creationId xmlns:a16="http://schemas.microsoft.com/office/drawing/2014/main" id="{4FFB3CA0-BD7C-48AD-9892-DC3B0D0CA395}"/>
            </a:ext>
          </a:extLst>
        </xdr:cNvPr>
        <xdr:cNvGrpSpPr>
          <a:grpSpLocks/>
        </xdr:cNvGrpSpPr>
      </xdr:nvGrpSpPr>
      <xdr:grpSpPr bwMode="auto">
        <a:xfrm>
          <a:off x="13312588" y="89647"/>
          <a:ext cx="573047" cy="550614"/>
          <a:chOff x="11605781" y="215217"/>
          <a:chExt cx="467591" cy="461058"/>
        </a:xfrm>
      </xdr:grpSpPr>
      <xdr:pic>
        <xdr:nvPicPr>
          <xdr:cNvPr id="9" name="Imagem 2">
            <a:extLst>
              <a:ext uri="{FF2B5EF4-FFF2-40B4-BE49-F238E27FC236}">
                <a16:creationId xmlns:a16="http://schemas.microsoft.com/office/drawing/2014/main" id="{225E24E4-4EE2-4927-9B20-E30223CEBA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D815E975-A9C2-4592-9EA9-C14BA1D14D36}"/>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7F778140-BF55-409A-A19F-28312613B76D}"/>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6</xdr:col>
      <xdr:colOff>683558</xdr:colOff>
      <xdr:row>0</xdr:row>
      <xdr:rowOff>78442</xdr:rowOff>
    </xdr:from>
    <xdr:to>
      <xdr:col>7</xdr:col>
      <xdr:colOff>494605</xdr:colOff>
      <xdr:row>0</xdr:row>
      <xdr:rowOff>629056</xdr:rowOff>
    </xdr:to>
    <xdr:grpSp>
      <xdr:nvGrpSpPr>
        <xdr:cNvPr id="6" name="Grupo 14">
          <a:hlinkClick xmlns:r="http://schemas.openxmlformats.org/officeDocument/2006/relationships" r:id="rId3"/>
          <a:extLst>
            <a:ext uri="{FF2B5EF4-FFF2-40B4-BE49-F238E27FC236}">
              <a16:creationId xmlns:a16="http://schemas.microsoft.com/office/drawing/2014/main" id="{07C5BC39-6614-4297-B8BF-2CE08B15F665}"/>
            </a:ext>
          </a:extLst>
        </xdr:cNvPr>
        <xdr:cNvGrpSpPr>
          <a:grpSpLocks/>
        </xdr:cNvGrpSpPr>
      </xdr:nvGrpSpPr>
      <xdr:grpSpPr bwMode="auto">
        <a:xfrm>
          <a:off x="9379323" y="78442"/>
          <a:ext cx="573047" cy="550614"/>
          <a:chOff x="11605781" y="215217"/>
          <a:chExt cx="467591" cy="461058"/>
        </a:xfrm>
      </xdr:grpSpPr>
      <xdr:pic>
        <xdr:nvPicPr>
          <xdr:cNvPr id="7" name="Imagem 2">
            <a:extLst>
              <a:ext uri="{FF2B5EF4-FFF2-40B4-BE49-F238E27FC236}">
                <a16:creationId xmlns:a16="http://schemas.microsoft.com/office/drawing/2014/main" id="{45E048D6-3DF9-4D47-A14D-ADD7AB70019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5E10335B-F3BC-420B-B09F-A7CF5406F16B}"/>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8" name="Imagem 7">
          <a:extLst>
            <a:ext uri="{FF2B5EF4-FFF2-40B4-BE49-F238E27FC236}">
              <a16:creationId xmlns:a16="http://schemas.microsoft.com/office/drawing/2014/main" id="{BDB8DE6D-C186-4A69-84EB-499242074554}"/>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14</xdr:col>
      <xdr:colOff>56029</xdr:colOff>
      <xdr:row>0</xdr:row>
      <xdr:rowOff>100853</xdr:rowOff>
    </xdr:from>
    <xdr:to>
      <xdr:col>14</xdr:col>
      <xdr:colOff>629076</xdr:colOff>
      <xdr:row>0</xdr:row>
      <xdr:rowOff>651467</xdr:rowOff>
    </xdr:to>
    <xdr:grpSp>
      <xdr:nvGrpSpPr>
        <xdr:cNvPr id="7" name="Grupo 14">
          <a:hlinkClick xmlns:r="http://schemas.openxmlformats.org/officeDocument/2006/relationships" r:id="rId3"/>
          <a:extLst>
            <a:ext uri="{FF2B5EF4-FFF2-40B4-BE49-F238E27FC236}">
              <a16:creationId xmlns:a16="http://schemas.microsoft.com/office/drawing/2014/main" id="{4719F572-EB32-4117-AAB4-945D0DA6EAEE}"/>
            </a:ext>
          </a:extLst>
        </xdr:cNvPr>
        <xdr:cNvGrpSpPr>
          <a:grpSpLocks/>
        </xdr:cNvGrpSpPr>
      </xdr:nvGrpSpPr>
      <xdr:grpSpPr bwMode="auto">
        <a:xfrm>
          <a:off x="15228794" y="100853"/>
          <a:ext cx="573047" cy="550614"/>
          <a:chOff x="11605781" y="215217"/>
          <a:chExt cx="467591" cy="461058"/>
        </a:xfrm>
      </xdr:grpSpPr>
      <xdr:pic>
        <xdr:nvPicPr>
          <xdr:cNvPr id="9" name="Imagem 2">
            <a:extLst>
              <a:ext uri="{FF2B5EF4-FFF2-40B4-BE49-F238E27FC236}">
                <a16:creationId xmlns:a16="http://schemas.microsoft.com/office/drawing/2014/main" id="{1284CCEA-49DC-44E9-9112-49EADFAB27E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aixaDeTexto 9">
            <a:extLst>
              <a:ext uri="{FF2B5EF4-FFF2-40B4-BE49-F238E27FC236}">
                <a16:creationId xmlns:a16="http://schemas.microsoft.com/office/drawing/2014/main" id="{C30A07DC-1B62-4026-9AF2-BC868CF5AACC}"/>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28</xdr:col>
      <xdr:colOff>358081</xdr:colOff>
      <xdr:row>0</xdr:row>
      <xdr:rowOff>85344</xdr:rowOff>
    </xdr:from>
    <xdr:to>
      <xdr:col>29</xdr:col>
      <xdr:colOff>321569</xdr:colOff>
      <xdr:row>0</xdr:row>
      <xdr:rowOff>638556</xdr:rowOff>
    </xdr:to>
    <xdr:grpSp>
      <xdr:nvGrpSpPr>
        <xdr:cNvPr id="3" name="Grupo 14">
          <a:hlinkClick xmlns:r="http://schemas.openxmlformats.org/officeDocument/2006/relationships" r:id="rId1"/>
          <a:extLst>
            <a:ext uri="{FF2B5EF4-FFF2-40B4-BE49-F238E27FC236}">
              <a16:creationId xmlns:a16="http://schemas.microsoft.com/office/drawing/2014/main" id="{80AEDD89-BD00-47AC-A8BF-9000339EDA34}"/>
            </a:ext>
          </a:extLst>
        </xdr:cNvPr>
        <xdr:cNvGrpSpPr>
          <a:grpSpLocks/>
        </xdr:cNvGrpSpPr>
      </xdr:nvGrpSpPr>
      <xdr:grpSpPr bwMode="auto">
        <a:xfrm>
          <a:off x="21940610" y="85344"/>
          <a:ext cx="568606" cy="553212"/>
          <a:chOff x="11605780" y="215217"/>
          <a:chExt cx="467591" cy="461058"/>
        </a:xfrm>
      </xdr:grpSpPr>
      <xdr:pic>
        <xdr:nvPicPr>
          <xdr:cNvPr id="4" name="Imagem 2">
            <a:hlinkClick xmlns:r="http://schemas.openxmlformats.org/officeDocument/2006/relationships" r:id="rId1"/>
            <a:extLst>
              <a:ext uri="{FF2B5EF4-FFF2-40B4-BE49-F238E27FC236}">
                <a16:creationId xmlns:a16="http://schemas.microsoft.com/office/drawing/2014/main" id="{512AF82E-DF4E-4BA8-92B2-2A42A94655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CaixaDeTexto 4">
            <a:extLst>
              <a:ext uri="{FF2B5EF4-FFF2-40B4-BE49-F238E27FC236}">
                <a16:creationId xmlns:a16="http://schemas.microsoft.com/office/drawing/2014/main" id="{63F85185-AD4B-4349-988E-328E8272D27D}"/>
              </a:ext>
            </a:extLst>
          </xdr:cNvPr>
          <xdr:cNvSpPr txBox="1"/>
        </xdr:nvSpPr>
        <xdr:spPr>
          <a:xfrm>
            <a:off x="11605780"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twoCellAnchor editAs="oneCell">
    <xdr:from>
      <xdr:col>0</xdr:col>
      <xdr:colOff>128823</xdr:colOff>
      <xdr:row>0</xdr:row>
      <xdr:rowOff>268292</xdr:rowOff>
    </xdr:from>
    <xdr:to>
      <xdr:col>0</xdr:col>
      <xdr:colOff>902856</xdr:colOff>
      <xdr:row>0</xdr:row>
      <xdr:rowOff>494607</xdr:rowOff>
    </xdr:to>
    <xdr:pic>
      <xdr:nvPicPr>
        <xdr:cNvPr id="6" name="Imagem 5">
          <a:extLst>
            <a:ext uri="{FF2B5EF4-FFF2-40B4-BE49-F238E27FC236}">
              <a16:creationId xmlns:a16="http://schemas.microsoft.com/office/drawing/2014/main" id="{EF81F153-BE56-4D8A-9770-217C6BB5C96F}"/>
            </a:ext>
          </a:extLst>
        </xdr:cNvPr>
        <xdr:cNvPicPr>
          <a:picLocks noChangeAspect="1"/>
        </xdr:cNvPicPr>
      </xdr:nvPicPr>
      <xdr:blipFill>
        <a:blip xmlns:r="http://schemas.openxmlformats.org/officeDocument/2006/relationships" r:embed="rId3" cstate="print">
          <a:lum bright="70000" contrast="-70000"/>
          <a:extLst>
            <a:ext uri="{BEBA8EAE-BF5A-486C-A8C5-ECC9F3942E4B}">
              <a14:imgProps xmlns:a14="http://schemas.microsoft.com/office/drawing/2010/main">
                <a14:imgLayer r:embed="rId4">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25</xdr:col>
      <xdr:colOff>224118</xdr:colOff>
      <xdr:row>0</xdr:row>
      <xdr:rowOff>67236</xdr:rowOff>
    </xdr:from>
    <xdr:to>
      <xdr:col>26</xdr:col>
      <xdr:colOff>147224</xdr:colOff>
      <xdr:row>0</xdr:row>
      <xdr:rowOff>617850</xdr:rowOff>
    </xdr:to>
    <xdr:grpSp>
      <xdr:nvGrpSpPr>
        <xdr:cNvPr id="13" name="Grupo 14">
          <a:hlinkClick xmlns:r="http://schemas.openxmlformats.org/officeDocument/2006/relationships" r:id="rId5"/>
          <a:extLst>
            <a:ext uri="{FF2B5EF4-FFF2-40B4-BE49-F238E27FC236}">
              <a16:creationId xmlns:a16="http://schemas.microsoft.com/office/drawing/2014/main" id="{D0EBD4AD-97D2-476D-B30E-1C2C56AFB119}"/>
            </a:ext>
          </a:extLst>
        </xdr:cNvPr>
        <xdr:cNvGrpSpPr>
          <a:grpSpLocks/>
        </xdr:cNvGrpSpPr>
      </xdr:nvGrpSpPr>
      <xdr:grpSpPr bwMode="auto">
        <a:xfrm>
          <a:off x="19946471" y="67236"/>
          <a:ext cx="573047" cy="550614"/>
          <a:chOff x="11605781" y="215217"/>
          <a:chExt cx="467591" cy="461058"/>
        </a:xfrm>
      </xdr:grpSpPr>
      <xdr:pic>
        <xdr:nvPicPr>
          <xdr:cNvPr id="14" name="Imagem 2">
            <a:extLst>
              <a:ext uri="{FF2B5EF4-FFF2-40B4-BE49-F238E27FC236}">
                <a16:creationId xmlns:a16="http://schemas.microsoft.com/office/drawing/2014/main" id="{66FD0EB5-149A-4F26-ACAE-8A13E6819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aixaDeTexto 14">
            <a:extLst>
              <a:ext uri="{FF2B5EF4-FFF2-40B4-BE49-F238E27FC236}">
                <a16:creationId xmlns:a16="http://schemas.microsoft.com/office/drawing/2014/main" id="{A5CD8B2C-437E-4519-AB8C-8C32EA0ADEC1}"/>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543ED980-1171-4572-B74B-C41A1E791EB7}"/>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5</xdr:col>
      <xdr:colOff>56030</xdr:colOff>
      <xdr:row>0</xdr:row>
      <xdr:rowOff>78441</xdr:rowOff>
    </xdr:from>
    <xdr:to>
      <xdr:col>5</xdr:col>
      <xdr:colOff>629077</xdr:colOff>
      <xdr:row>0</xdr:row>
      <xdr:rowOff>629055</xdr:rowOff>
    </xdr:to>
    <xdr:grpSp>
      <xdr:nvGrpSpPr>
        <xdr:cNvPr id="6" name="Grupo 14">
          <a:hlinkClick xmlns:r="http://schemas.openxmlformats.org/officeDocument/2006/relationships" r:id="rId3"/>
          <a:extLst>
            <a:ext uri="{FF2B5EF4-FFF2-40B4-BE49-F238E27FC236}">
              <a16:creationId xmlns:a16="http://schemas.microsoft.com/office/drawing/2014/main" id="{23DA88D5-CF44-47EA-ACB5-14C7A6540E92}"/>
            </a:ext>
          </a:extLst>
        </xdr:cNvPr>
        <xdr:cNvGrpSpPr>
          <a:grpSpLocks/>
        </xdr:cNvGrpSpPr>
      </xdr:nvGrpSpPr>
      <xdr:grpSpPr bwMode="auto">
        <a:xfrm>
          <a:off x="7732059" y="78441"/>
          <a:ext cx="573047" cy="550614"/>
          <a:chOff x="11605781" y="215217"/>
          <a:chExt cx="467591" cy="461058"/>
        </a:xfrm>
      </xdr:grpSpPr>
      <xdr:pic>
        <xdr:nvPicPr>
          <xdr:cNvPr id="7" name="Imagem 2">
            <a:extLst>
              <a:ext uri="{FF2B5EF4-FFF2-40B4-BE49-F238E27FC236}">
                <a16:creationId xmlns:a16="http://schemas.microsoft.com/office/drawing/2014/main" id="{CC742320-16C0-4584-8629-1F794928471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60929D24-51AF-48B5-AEAB-BE56D251B4F9}"/>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45A55FFE-28D4-444C-9A37-4A3FA0A886E2}"/>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8</xdr:col>
      <xdr:colOff>112059</xdr:colOff>
      <xdr:row>0</xdr:row>
      <xdr:rowOff>89647</xdr:rowOff>
    </xdr:from>
    <xdr:to>
      <xdr:col>8</xdr:col>
      <xdr:colOff>685106</xdr:colOff>
      <xdr:row>0</xdr:row>
      <xdr:rowOff>640261</xdr:rowOff>
    </xdr:to>
    <xdr:grpSp>
      <xdr:nvGrpSpPr>
        <xdr:cNvPr id="6" name="Grupo 14">
          <a:hlinkClick xmlns:r="http://schemas.openxmlformats.org/officeDocument/2006/relationships" r:id="rId3"/>
          <a:extLst>
            <a:ext uri="{FF2B5EF4-FFF2-40B4-BE49-F238E27FC236}">
              <a16:creationId xmlns:a16="http://schemas.microsoft.com/office/drawing/2014/main" id="{40C016E6-00C4-4184-B3D0-4C9142BBA74E}"/>
            </a:ext>
          </a:extLst>
        </xdr:cNvPr>
        <xdr:cNvGrpSpPr>
          <a:grpSpLocks/>
        </xdr:cNvGrpSpPr>
      </xdr:nvGrpSpPr>
      <xdr:grpSpPr bwMode="auto">
        <a:xfrm>
          <a:off x="9424147" y="89647"/>
          <a:ext cx="573047" cy="550614"/>
          <a:chOff x="11605781" y="215217"/>
          <a:chExt cx="467591" cy="461058"/>
        </a:xfrm>
      </xdr:grpSpPr>
      <xdr:pic>
        <xdr:nvPicPr>
          <xdr:cNvPr id="7" name="Imagem 2">
            <a:extLst>
              <a:ext uri="{FF2B5EF4-FFF2-40B4-BE49-F238E27FC236}">
                <a16:creationId xmlns:a16="http://schemas.microsoft.com/office/drawing/2014/main" id="{7CB27373-1879-4A41-BE19-3A5B33DC592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CaixaDeTexto 7">
            <a:extLst>
              <a:ext uri="{FF2B5EF4-FFF2-40B4-BE49-F238E27FC236}">
                <a16:creationId xmlns:a16="http://schemas.microsoft.com/office/drawing/2014/main" id="{4353917A-6FB6-4922-95D2-FAE9D7187FA9}"/>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128823</xdr:colOff>
      <xdr:row>0</xdr:row>
      <xdr:rowOff>268292</xdr:rowOff>
    </xdr:from>
    <xdr:to>
      <xdr:col>0</xdr:col>
      <xdr:colOff>902856</xdr:colOff>
      <xdr:row>0</xdr:row>
      <xdr:rowOff>494607</xdr:rowOff>
    </xdr:to>
    <xdr:pic>
      <xdr:nvPicPr>
        <xdr:cNvPr id="5" name="Imagem 4">
          <a:extLst>
            <a:ext uri="{FF2B5EF4-FFF2-40B4-BE49-F238E27FC236}">
              <a16:creationId xmlns:a16="http://schemas.microsoft.com/office/drawing/2014/main" id="{3915AA31-A274-4C7C-AC26-1ACBB86685B0}"/>
            </a:ext>
          </a:extLst>
        </xdr:cNvPr>
        <xdr:cNvPicPr>
          <a:picLocks noChangeAspect="1"/>
        </xdr:cNvPicPr>
      </xdr:nvPicPr>
      <xdr:blipFill>
        <a:blip xmlns:r="http://schemas.openxmlformats.org/officeDocument/2006/relationships" r:embed="rId1" cstate="print">
          <a:lum bright="70000" contrast="-70000"/>
          <a:extLst>
            <a:ext uri="{BEBA8EAE-BF5A-486C-A8C5-ECC9F3942E4B}">
              <a14:imgProps xmlns:a14="http://schemas.microsoft.com/office/drawing/2010/main">
                <a14:imgLayer r:embed="rId2">
                  <a14:imgEffect>
                    <a14:artisticPhotocopy/>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224073" y="268292"/>
          <a:ext cx="774033" cy="226315"/>
        </a:xfrm>
        <a:prstGeom prst="rect">
          <a:avLst/>
        </a:prstGeom>
      </xdr:spPr>
    </xdr:pic>
    <xdr:clientData/>
  </xdr:twoCellAnchor>
  <xdr:twoCellAnchor editAs="absolute">
    <xdr:from>
      <xdr:col>14</xdr:col>
      <xdr:colOff>67235</xdr:colOff>
      <xdr:row>0</xdr:row>
      <xdr:rowOff>123264</xdr:rowOff>
    </xdr:from>
    <xdr:to>
      <xdr:col>14</xdr:col>
      <xdr:colOff>640282</xdr:colOff>
      <xdr:row>0</xdr:row>
      <xdr:rowOff>673878</xdr:rowOff>
    </xdr:to>
    <xdr:grpSp>
      <xdr:nvGrpSpPr>
        <xdr:cNvPr id="9" name="Grupo 14">
          <a:hlinkClick xmlns:r="http://schemas.openxmlformats.org/officeDocument/2006/relationships" r:id="rId3"/>
          <a:extLst>
            <a:ext uri="{FF2B5EF4-FFF2-40B4-BE49-F238E27FC236}">
              <a16:creationId xmlns:a16="http://schemas.microsoft.com/office/drawing/2014/main" id="{1ABEB16F-8D13-4859-B2C6-BA178B488AFD}"/>
            </a:ext>
          </a:extLst>
        </xdr:cNvPr>
        <xdr:cNvGrpSpPr>
          <a:grpSpLocks/>
        </xdr:cNvGrpSpPr>
      </xdr:nvGrpSpPr>
      <xdr:grpSpPr bwMode="auto">
        <a:xfrm>
          <a:off x="14399559" y="123264"/>
          <a:ext cx="573047" cy="550614"/>
          <a:chOff x="11605781" y="215217"/>
          <a:chExt cx="467591" cy="461058"/>
        </a:xfrm>
      </xdr:grpSpPr>
      <xdr:pic>
        <xdr:nvPicPr>
          <xdr:cNvPr id="10" name="Imagem 2">
            <a:extLst>
              <a:ext uri="{FF2B5EF4-FFF2-40B4-BE49-F238E27FC236}">
                <a16:creationId xmlns:a16="http://schemas.microsoft.com/office/drawing/2014/main" id="{13054EF3-944A-45C8-8593-9385B95D290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691982" y="215217"/>
            <a:ext cx="295187" cy="295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CaixaDeTexto 10">
            <a:extLst>
              <a:ext uri="{FF2B5EF4-FFF2-40B4-BE49-F238E27FC236}">
                <a16:creationId xmlns:a16="http://schemas.microsoft.com/office/drawing/2014/main" id="{A196FB85-4208-4A16-AF1B-E5DD9C7AF7D0}"/>
              </a:ext>
            </a:extLst>
          </xdr:cNvPr>
          <xdr:cNvSpPr txBox="1"/>
        </xdr:nvSpPr>
        <xdr:spPr>
          <a:xfrm>
            <a:off x="11605781" y="445746"/>
            <a:ext cx="467591" cy="230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800">
                <a:solidFill>
                  <a:schemeClr val="bg1"/>
                </a:solidFill>
                <a:latin typeface="Verdana" panose="020B0604030504040204" pitchFamily="34" charset="0"/>
                <a:ea typeface="Verdana" panose="020B0604030504040204" pitchFamily="34" charset="0"/>
                <a:cs typeface="Verdana" panose="020B0604030504040204" pitchFamily="34" charset="0"/>
              </a:rPr>
              <a:t>Home</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2E07-CEE2-4DDC-9D2E-801F406B4C02}">
  <sheetPr codeName="Planilha1"/>
  <dimension ref="A1:S38"/>
  <sheetViews>
    <sheetView showGridLines="0" showRowColHeaders="0" tabSelected="1" zoomScale="75" zoomScaleNormal="75" workbookViewId="0"/>
  </sheetViews>
  <sheetFormatPr defaultRowHeight="15" x14ac:dyDescent="0.25"/>
  <sheetData>
    <row r="1" spans="1:19" x14ac:dyDescent="0.25">
      <c r="A1" s="2"/>
      <c r="B1" s="2"/>
      <c r="C1" s="2"/>
      <c r="D1" s="2"/>
      <c r="E1" s="2"/>
      <c r="F1" s="2"/>
      <c r="G1" s="2"/>
      <c r="H1" s="2"/>
      <c r="I1" s="2"/>
      <c r="J1" s="2"/>
      <c r="K1" s="2"/>
    </row>
    <row r="2" spans="1:19" x14ac:dyDescent="0.25">
      <c r="A2" s="2"/>
      <c r="B2" s="2"/>
      <c r="C2" s="2"/>
      <c r="D2" s="2"/>
      <c r="E2" s="2"/>
      <c r="F2" s="2"/>
      <c r="G2" s="2"/>
      <c r="H2" s="2"/>
      <c r="I2" s="2"/>
      <c r="J2" s="2"/>
      <c r="K2" s="2"/>
    </row>
    <row r="3" spans="1:19" x14ac:dyDescent="0.25">
      <c r="A3" s="2"/>
      <c r="B3" s="2"/>
      <c r="C3" s="2"/>
      <c r="D3" s="2"/>
      <c r="E3" s="2"/>
      <c r="F3" s="2"/>
      <c r="G3" s="2"/>
      <c r="H3" s="2"/>
      <c r="I3" s="2"/>
      <c r="J3" s="2"/>
      <c r="K3" s="2"/>
    </row>
    <row r="4" spans="1:19" x14ac:dyDescent="0.25">
      <c r="A4" s="2"/>
      <c r="B4" s="2"/>
      <c r="C4" s="2"/>
      <c r="D4" s="2"/>
      <c r="E4" s="2"/>
      <c r="F4" s="2"/>
      <c r="G4" s="2"/>
      <c r="H4" s="2"/>
      <c r="I4" s="2"/>
      <c r="J4" s="2"/>
      <c r="K4" s="2"/>
    </row>
    <row r="5" spans="1:19" x14ac:dyDescent="0.25">
      <c r="A5" s="2"/>
      <c r="B5" s="2"/>
      <c r="C5" s="2"/>
      <c r="D5" s="2"/>
      <c r="E5" s="2"/>
      <c r="F5" s="2"/>
      <c r="G5" s="2"/>
      <c r="H5" s="2"/>
      <c r="I5" s="2"/>
      <c r="J5" s="2"/>
      <c r="K5" s="2"/>
    </row>
    <row r="6" spans="1:19" x14ac:dyDescent="0.25">
      <c r="A6" s="2"/>
      <c r="B6" s="2"/>
      <c r="C6" s="2"/>
      <c r="D6" s="2"/>
      <c r="E6" s="2"/>
      <c r="F6" s="2"/>
      <c r="G6" s="2"/>
      <c r="H6" s="2"/>
      <c r="I6" s="2"/>
      <c r="J6" s="2"/>
      <c r="K6" s="2"/>
    </row>
    <row r="7" spans="1:19" x14ac:dyDescent="0.25">
      <c r="A7" s="2"/>
      <c r="B7" s="2"/>
      <c r="C7" s="2"/>
      <c r="D7" s="2"/>
      <c r="E7" s="2"/>
      <c r="F7" s="2"/>
      <c r="G7" s="2"/>
      <c r="H7" s="2"/>
      <c r="I7" s="2"/>
      <c r="J7" s="2"/>
      <c r="K7" s="2"/>
    </row>
    <row r="8" spans="1:19" x14ac:dyDescent="0.25">
      <c r="A8" s="2"/>
      <c r="B8" s="2"/>
      <c r="C8" s="2"/>
      <c r="D8" s="2"/>
      <c r="E8" s="2"/>
      <c r="F8" s="2"/>
      <c r="G8" s="2"/>
      <c r="H8" s="2"/>
      <c r="I8" s="2"/>
      <c r="J8" s="2"/>
      <c r="K8" s="2"/>
    </row>
    <row r="9" spans="1:19" x14ac:dyDescent="0.25">
      <c r="A9" s="2"/>
      <c r="B9" s="2"/>
      <c r="C9" s="2"/>
      <c r="D9" s="2"/>
      <c r="E9" s="2"/>
      <c r="F9" s="2"/>
      <c r="G9" s="2"/>
      <c r="H9" s="2"/>
      <c r="I9" s="2"/>
      <c r="J9" s="2"/>
      <c r="K9" s="2"/>
    </row>
    <row r="10" spans="1:19" x14ac:dyDescent="0.25">
      <c r="A10" s="2"/>
      <c r="B10" s="2"/>
      <c r="C10" s="2"/>
      <c r="D10" s="2"/>
      <c r="E10" s="2"/>
      <c r="F10" s="2"/>
      <c r="G10" s="2"/>
      <c r="H10" s="2"/>
      <c r="I10" s="2"/>
      <c r="J10" s="2"/>
      <c r="K10" s="2"/>
    </row>
    <row r="11" spans="1:19" x14ac:dyDescent="0.25">
      <c r="A11" s="2"/>
      <c r="B11" s="2"/>
      <c r="C11" s="2"/>
      <c r="D11" s="2"/>
      <c r="E11" s="2"/>
      <c r="F11" s="2"/>
      <c r="G11" s="2"/>
      <c r="H11" s="2"/>
      <c r="I11" s="2"/>
      <c r="J11" s="2"/>
      <c r="K11" s="2"/>
      <c r="S11" s="1" t="s">
        <v>0</v>
      </c>
    </row>
    <row r="12" spans="1:19" x14ac:dyDescent="0.25">
      <c r="A12" s="2"/>
      <c r="B12" s="2"/>
      <c r="C12" s="2"/>
      <c r="D12" s="2"/>
      <c r="E12" s="2"/>
      <c r="F12" s="2"/>
      <c r="G12" s="2"/>
      <c r="H12" s="2"/>
      <c r="I12" s="2"/>
      <c r="J12" s="2"/>
      <c r="K12" s="2"/>
    </row>
    <row r="13" spans="1:19" x14ac:dyDescent="0.25">
      <c r="A13" s="2"/>
      <c r="B13" s="2"/>
      <c r="C13" s="2"/>
      <c r="D13" s="2"/>
      <c r="E13" s="2"/>
      <c r="F13" s="2"/>
      <c r="G13" s="2"/>
      <c r="H13" s="2"/>
      <c r="I13" s="2"/>
      <c r="J13" s="2"/>
      <c r="K13" s="2"/>
    </row>
    <row r="14" spans="1:19" x14ac:dyDescent="0.25">
      <c r="A14" s="2"/>
      <c r="B14" s="2"/>
      <c r="C14" s="2"/>
      <c r="D14" s="2"/>
      <c r="E14" s="2"/>
      <c r="F14" s="2"/>
      <c r="G14" s="2"/>
      <c r="H14" s="2"/>
      <c r="I14" s="2"/>
      <c r="J14" s="2"/>
      <c r="K14" s="2"/>
    </row>
    <row r="15" spans="1:19" x14ac:dyDescent="0.25">
      <c r="A15" s="2"/>
      <c r="B15" s="2"/>
      <c r="C15" s="2"/>
      <c r="D15" s="2"/>
      <c r="E15" s="2"/>
      <c r="F15" s="2"/>
      <c r="G15" s="2"/>
      <c r="H15" s="2"/>
      <c r="I15" s="2"/>
      <c r="J15" s="2"/>
      <c r="K15" s="2"/>
    </row>
    <row r="16" spans="1:19" x14ac:dyDescent="0.25">
      <c r="A16" s="2"/>
      <c r="B16" s="2"/>
      <c r="C16" s="2"/>
      <c r="D16" s="2"/>
      <c r="E16" s="2"/>
      <c r="F16" s="2"/>
      <c r="G16" s="2"/>
      <c r="H16" s="2"/>
      <c r="I16" s="2"/>
      <c r="J16" s="2"/>
      <c r="K16" s="2"/>
    </row>
    <row r="17" spans="1:11" x14ac:dyDescent="0.25">
      <c r="A17" s="2"/>
      <c r="B17" s="2"/>
      <c r="C17" s="2"/>
      <c r="D17" s="2"/>
      <c r="E17" s="2"/>
      <c r="F17" s="2"/>
      <c r="G17" s="2"/>
      <c r="H17" s="2"/>
      <c r="I17" s="2"/>
      <c r="J17" s="2"/>
      <c r="K17" s="2"/>
    </row>
    <row r="18" spans="1:11" x14ac:dyDescent="0.25">
      <c r="A18" s="2"/>
      <c r="B18" s="2"/>
      <c r="C18" s="2"/>
      <c r="D18" s="2"/>
      <c r="E18" s="2"/>
      <c r="F18" s="2"/>
      <c r="G18" s="2"/>
      <c r="H18" s="2"/>
      <c r="I18" s="2"/>
      <c r="J18" s="2"/>
      <c r="K18" s="2"/>
    </row>
    <row r="19" spans="1:11" x14ac:dyDescent="0.25">
      <c r="A19" s="2"/>
      <c r="B19" s="2"/>
      <c r="C19" s="2"/>
      <c r="D19" s="2"/>
      <c r="E19" s="2"/>
      <c r="F19" s="2"/>
      <c r="G19" s="2"/>
      <c r="H19" s="2"/>
      <c r="I19" s="2"/>
      <c r="J19" s="2"/>
      <c r="K19" s="2"/>
    </row>
    <row r="20" spans="1:11" x14ac:dyDescent="0.25">
      <c r="A20" s="2"/>
      <c r="B20" s="2"/>
      <c r="C20" s="2"/>
      <c r="D20" s="2"/>
      <c r="E20" s="2"/>
      <c r="F20" s="2"/>
      <c r="G20" s="2"/>
      <c r="H20" s="2"/>
      <c r="I20" s="2"/>
      <c r="J20" s="2"/>
      <c r="K20" s="2"/>
    </row>
    <row r="21" spans="1:11" x14ac:dyDescent="0.25">
      <c r="A21" s="2"/>
      <c r="B21" s="2"/>
      <c r="C21" s="2"/>
      <c r="D21" s="2"/>
      <c r="E21" s="2"/>
      <c r="F21" s="2"/>
      <c r="G21" s="2"/>
      <c r="H21" s="2"/>
      <c r="I21" s="2"/>
      <c r="J21" s="2"/>
      <c r="K21" s="2"/>
    </row>
    <row r="22" spans="1:11" x14ac:dyDescent="0.25">
      <c r="A22" s="2"/>
      <c r="B22" s="2"/>
      <c r="C22" s="2"/>
      <c r="D22" s="2"/>
      <c r="E22" s="2"/>
      <c r="F22" s="2"/>
      <c r="G22" s="2"/>
      <c r="H22" s="2"/>
      <c r="I22" s="2"/>
      <c r="J22" s="2"/>
      <c r="K22" s="2"/>
    </row>
    <row r="23" spans="1:11" x14ac:dyDescent="0.25">
      <c r="A23" s="2"/>
      <c r="B23" s="2"/>
      <c r="C23" s="2"/>
      <c r="D23" s="2"/>
      <c r="E23" s="2"/>
      <c r="F23" s="2"/>
      <c r="G23" s="2"/>
      <c r="H23" s="2"/>
      <c r="I23" s="2"/>
      <c r="J23" s="2"/>
      <c r="K23" s="2"/>
    </row>
    <row r="24" spans="1:11" x14ac:dyDescent="0.25">
      <c r="A24" s="2"/>
      <c r="B24" s="2"/>
      <c r="C24" s="2"/>
      <c r="D24" s="2"/>
      <c r="E24" s="2"/>
      <c r="F24" s="2"/>
      <c r="G24" s="2"/>
      <c r="H24" s="2"/>
      <c r="I24" s="2"/>
      <c r="J24" s="2"/>
      <c r="K24" s="2"/>
    </row>
    <row r="25" spans="1:11" x14ac:dyDescent="0.25">
      <c r="A25" s="2"/>
      <c r="B25" s="2"/>
      <c r="C25" s="2"/>
      <c r="D25" s="2"/>
      <c r="E25" s="2"/>
      <c r="F25" s="2"/>
      <c r="G25" s="2"/>
      <c r="H25" s="2"/>
      <c r="I25" s="2"/>
      <c r="J25" s="2"/>
      <c r="K25" s="2"/>
    </row>
    <row r="26" spans="1:11" x14ac:dyDescent="0.25">
      <c r="A26" s="2"/>
      <c r="B26" s="2"/>
      <c r="C26" s="2"/>
      <c r="D26" s="2"/>
      <c r="E26" s="2"/>
      <c r="F26" s="2"/>
      <c r="G26" s="2"/>
      <c r="H26" s="2"/>
      <c r="I26" s="2"/>
      <c r="J26" s="2"/>
      <c r="K26" s="2"/>
    </row>
    <row r="27" spans="1:11" x14ac:dyDescent="0.25">
      <c r="A27" s="2"/>
      <c r="B27" s="2"/>
      <c r="C27" s="2"/>
      <c r="D27" s="2"/>
      <c r="E27" s="2"/>
      <c r="F27" s="2"/>
      <c r="G27" s="2"/>
      <c r="H27" s="2"/>
      <c r="I27" s="2"/>
      <c r="J27" s="2"/>
      <c r="K27" s="2"/>
    </row>
    <row r="28" spans="1:11" x14ac:dyDescent="0.25">
      <c r="A28" s="2"/>
      <c r="B28" s="2"/>
      <c r="C28" s="2"/>
      <c r="D28" s="2"/>
      <c r="E28" s="2"/>
      <c r="F28" s="2"/>
      <c r="G28" s="2"/>
      <c r="H28" s="2"/>
      <c r="I28" s="2"/>
      <c r="J28" s="2"/>
      <c r="K28" s="2"/>
    </row>
    <row r="29" spans="1:11" x14ac:dyDescent="0.25">
      <c r="A29" s="2"/>
      <c r="B29" s="2"/>
      <c r="C29" s="2"/>
      <c r="D29" s="2"/>
      <c r="E29" s="2"/>
      <c r="F29" s="2"/>
      <c r="G29" s="2"/>
      <c r="H29" s="2"/>
      <c r="I29" s="2"/>
      <c r="J29" s="2"/>
      <c r="K29" s="2"/>
    </row>
    <row r="30" spans="1:11" x14ac:dyDescent="0.25">
      <c r="A30" s="2"/>
      <c r="B30" s="2"/>
      <c r="C30" s="2"/>
      <c r="D30" s="2"/>
      <c r="E30" s="2"/>
      <c r="F30" s="2"/>
      <c r="G30" s="2"/>
      <c r="H30" s="2"/>
      <c r="I30" s="2"/>
      <c r="J30" s="2"/>
      <c r="K30" s="2"/>
    </row>
    <row r="31" spans="1:11" x14ac:dyDescent="0.25">
      <c r="A31" s="2"/>
      <c r="B31" s="2"/>
      <c r="C31" s="2"/>
      <c r="D31" s="2"/>
      <c r="E31" s="2"/>
      <c r="F31" s="2"/>
      <c r="G31" s="2"/>
      <c r="H31" s="2"/>
      <c r="I31" s="2"/>
      <c r="J31" s="2"/>
      <c r="K31" s="2"/>
    </row>
    <row r="32" spans="1:11" x14ac:dyDescent="0.25">
      <c r="A32" s="261"/>
      <c r="B32" s="261"/>
      <c r="C32" s="261"/>
      <c r="D32" s="261"/>
      <c r="E32" s="261"/>
      <c r="F32" s="261"/>
      <c r="G32" s="261"/>
      <c r="H32" s="261"/>
      <c r="I32" s="261"/>
      <c r="J32" s="261"/>
      <c r="K32" s="261"/>
    </row>
    <row r="33" spans="1:12" x14ac:dyDescent="0.25">
      <c r="A33" s="261"/>
      <c r="B33" s="261"/>
      <c r="C33" s="261"/>
      <c r="D33" s="261"/>
      <c r="E33" s="261"/>
      <c r="F33" s="261"/>
      <c r="G33" s="261"/>
      <c r="H33" s="261"/>
      <c r="I33" s="261"/>
      <c r="J33" s="261"/>
      <c r="K33" s="261"/>
      <c r="L33" s="3"/>
    </row>
    <row r="34" spans="1:12" x14ac:dyDescent="0.25">
      <c r="A34" s="261"/>
      <c r="B34" s="261"/>
      <c r="C34" s="261"/>
      <c r="D34" s="261"/>
      <c r="E34" s="261"/>
      <c r="F34" s="261"/>
      <c r="G34" s="261"/>
      <c r="H34" s="261"/>
      <c r="I34" s="261"/>
      <c r="J34" s="261"/>
      <c r="K34" s="261"/>
      <c r="L34" s="3"/>
    </row>
    <row r="35" spans="1:12" x14ac:dyDescent="0.25">
      <c r="A35" s="3"/>
      <c r="B35" s="3"/>
      <c r="C35" s="3"/>
      <c r="D35" s="3"/>
      <c r="E35" s="3"/>
      <c r="F35" s="3"/>
      <c r="G35" s="3"/>
      <c r="H35" s="3"/>
      <c r="I35" s="3"/>
      <c r="J35" s="3"/>
      <c r="K35" s="3"/>
      <c r="L35" s="3"/>
    </row>
    <row r="36" spans="1:12" x14ac:dyDescent="0.25">
      <c r="A36" s="3"/>
      <c r="B36" s="3"/>
      <c r="C36" s="3"/>
      <c r="D36" s="3"/>
      <c r="E36" s="3"/>
      <c r="F36" s="3"/>
      <c r="G36" s="3"/>
      <c r="H36" s="3"/>
      <c r="I36" s="3"/>
      <c r="J36" s="3"/>
      <c r="K36" s="3"/>
      <c r="L36" s="3"/>
    </row>
    <row r="37" spans="1:12" x14ac:dyDescent="0.25">
      <c r="A37" s="3"/>
      <c r="B37" s="3"/>
      <c r="C37" s="3"/>
      <c r="D37" s="3"/>
      <c r="E37" s="3"/>
      <c r="F37" s="3"/>
      <c r="G37" s="3"/>
      <c r="H37" s="3"/>
      <c r="I37" s="3"/>
      <c r="J37" s="3"/>
      <c r="K37" s="3"/>
      <c r="L37" s="3"/>
    </row>
    <row r="38" spans="1:12" x14ac:dyDescent="0.25">
      <c r="A38" s="3"/>
      <c r="B38" s="3"/>
      <c r="C38" s="3"/>
      <c r="D38" s="3"/>
      <c r="E38" s="3"/>
      <c r="F38" s="3"/>
      <c r="G38" s="3"/>
      <c r="H38" s="3"/>
      <c r="I38" s="3"/>
      <c r="J38" s="3"/>
      <c r="K38" s="3"/>
      <c r="L38" s="3"/>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1B0A5-6AD9-4185-91EC-983DF341B2E2}">
  <sheetPr codeName="Planilha2"/>
  <dimension ref="A1:N35"/>
  <sheetViews>
    <sheetView showGridLines="0" zoomScale="85" zoomScaleNormal="85" workbookViewId="0">
      <pane xSplit="1" ySplit="3" topLeftCell="B4" activePane="bottomRight" state="frozen"/>
      <selection activeCell="M14" sqref="M13:M14"/>
      <selection pane="topRight" activeCell="M14" sqref="M13:M14"/>
      <selection pane="bottomLeft" activeCell="M14" sqref="M13:M14"/>
      <selection pane="bottomRight" activeCell="H13" sqref="H13"/>
    </sheetView>
  </sheetViews>
  <sheetFormatPr defaultColWidth="9.140625" defaultRowHeight="12.75" x14ac:dyDescent="0.2"/>
  <cols>
    <col min="1" max="1" width="49.7109375" style="9" customWidth="1"/>
    <col min="2" max="8" width="11.5703125" style="9" customWidth="1"/>
    <col min="9" max="9" width="10" style="9" customWidth="1"/>
    <col min="10" max="10" width="9.5703125" style="9" bestFit="1" customWidth="1"/>
    <col min="11" max="11" width="10.28515625" style="9" bestFit="1" customWidth="1"/>
    <col min="12" max="12" width="10.85546875" style="9" bestFit="1" customWidth="1"/>
    <col min="13" max="13" width="10.28515625" style="9" bestFit="1" customWidth="1"/>
    <col min="14" max="14" width="9.5703125" style="9" bestFit="1" customWidth="1"/>
    <col min="15" max="16384" width="9.140625" style="9"/>
  </cols>
  <sheetData>
    <row r="1" spans="1:14" ht="54.75" customHeight="1" x14ac:dyDescent="0.2">
      <c r="A1" s="8"/>
      <c r="B1" s="278" t="s">
        <v>373</v>
      </c>
      <c r="C1" s="279"/>
      <c r="D1" s="279"/>
      <c r="E1" s="279"/>
      <c r="F1" s="279"/>
      <c r="G1" s="279"/>
      <c r="H1" s="279"/>
      <c r="I1" s="279"/>
      <c r="J1" s="279"/>
      <c r="K1" s="279"/>
      <c r="L1" s="279"/>
      <c r="M1" s="279"/>
      <c r="N1" s="279"/>
    </row>
    <row r="2" spans="1:14" ht="8.25" customHeight="1" x14ac:dyDescent="0.2"/>
    <row r="3" spans="1:14" s="11" customFormat="1" ht="13.5" thickBot="1" x14ac:dyDescent="0.3">
      <c r="A3" s="5" t="s">
        <v>370</v>
      </c>
      <c r="B3" s="7">
        <v>2018</v>
      </c>
      <c r="C3" s="7" t="s">
        <v>1</v>
      </c>
      <c r="D3" s="7" t="s">
        <v>2</v>
      </c>
      <c r="E3" s="7" t="s">
        <v>3</v>
      </c>
      <c r="F3" s="7" t="s">
        <v>4</v>
      </c>
      <c r="G3" s="7">
        <v>2019</v>
      </c>
      <c r="H3" s="7" t="s">
        <v>5</v>
      </c>
      <c r="I3" s="7" t="s">
        <v>6</v>
      </c>
      <c r="J3" s="7" t="s">
        <v>7</v>
      </c>
      <c r="K3" s="7" t="s">
        <v>8</v>
      </c>
      <c r="L3" s="7">
        <v>2020</v>
      </c>
      <c r="M3" s="7" t="s">
        <v>17</v>
      </c>
      <c r="N3" s="7" t="s">
        <v>24</v>
      </c>
    </row>
    <row r="4" spans="1:14" x14ac:dyDescent="0.2">
      <c r="A4" s="188" t="s">
        <v>343</v>
      </c>
      <c r="B4" s="182">
        <f>SUM(B5:B10)</f>
        <v>1927319</v>
      </c>
      <c r="C4" s="182">
        <f t="shared" ref="C4:N4" si="0">SUM(C5:C10)</f>
        <v>422161</v>
      </c>
      <c r="D4" s="182">
        <f t="shared" si="0"/>
        <v>435104</v>
      </c>
      <c r="E4" s="182">
        <f t="shared" si="0"/>
        <v>476148</v>
      </c>
      <c r="F4" s="182">
        <f t="shared" si="0"/>
        <v>497086</v>
      </c>
      <c r="G4" s="182">
        <f t="shared" si="0"/>
        <v>1830499</v>
      </c>
      <c r="H4" s="182">
        <f t="shared" si="0"/>
        <v>540862</v>
      </c>
      <c r="I4" s="182">
        <f t="shared" si="0"/>
        <v>544905</v>
      </c>
      <c r="J4" s="182">
        <f t="shared" si="0"/>
        <v>536256</v>
      </c>
      <c r="K4" s="182">
        <f t="shared" si="0"/>
        <v>581775</v>
      </c>
      <c r="L4" s="182">
        <f t="shared" si="0"/>
        <v>2203798</v>
      </c>
      <c r="M4" s="182">
        <f t="shared" si="0"/>
        <v>634200</v>
      </c>
      <c r="N4" s="182">
        <f t="shared" si="0"/>
        <v>596414</v>
      </c>
    </row>
    <row r="5" spans="1:14" x14ac:dyDescent="0.2">
      <c r="A5" s="189" t="s">
        <v>344</v>
      </c>
      <c r="B5" s="190">
        <v>1341014</v>
      </c>
      <c r="C5" s="190">
        <v>277098</v>
      </c>
      <c r="D5" s="190">
        <v>293520</v>
      </c>
      <c r="E5" s="190">
        <v>346009</v>
      </c>
      <c r="F5" s="190">
        <v>356779</v>
      </c>
      <c r="G5" s="190">
        <v>1273406</v>
      </c>
      <c r="H5" s="190">
        <v>394841</v>
      </c>
      <c r="I5" s="190">
        <v>418960</v>
      </c>
      <c r="J5" s="190">
        <v>407850</v>
      </c>
      <c r="K5" s="190">
        <v>423695</v>
      </c>
      <c r="L5" s="190">
        <v>1644257</v>
      </c>
      <c r="M5" s="190">
        <v>459377</v>
      </c>
      <c r="N5" s="190">
        <v>401419</v>
      </c>
    </row>
    <row r="6" spans="1:14" x14ac:dyDescent="0.2">
      <c r="A6" s="191" t="s">
        <v>345</v>
      </c>
      <c r="B6" s="239">
        <v>0</v>
      </c>
      <c r="C6" s="239">
        <v>0</v>
      </c>
      <c r="D6" s="239">
        <v>0</v>
      </c>
      <c r="E6" s="239">
        <v>0</v>
      </c>
      <c r="F6" s="239">
        <v>0</v>
      </c>
      <c r="G6" s="239">
        <v>0</v>
      </c>
      <c r="H6" s="192">
        <v>12252</v>
      </c>
      <c r="I6" s="192">
        <v>27269</v>
      </c>
      <c r="J6" s="192">
        <v>28191</v>
      </c>
      <c r="K6" s="192">
        <v>43351</v>
      </c>
      <c r="L6" s="192">
        <v>112152</v>
      </c>
      <c r="M6" s="192">
        <v>58304</v>
      </c>
      <c r="N6" s="192">
        <v>80300</v>
      </c>
    </row>
    <row r="7" spans="1:14" x14ac:dyDescent="0.2">
      <c r="A7" s="189" t="s">
        <v>346</v>
      </c>
      <c r="B7" s="190">
        <v>463076</v>
      </c>
      <c r="C7" s="190">
        <v>120885</v>
      </c>
      <c r="D7" s="190">
        <v>115453</v>
      </c>
      <c r="E7" s="190">
        <v>119047</v>
      </c>
      <c r="F7" s="190">
        <v>126203</v>
      </c>
      <c r="G7" s="190">
        <v>481588</v>
      </c>
      <c r="H7" s="190">
        <v>126777</v>
      </c>
      <c r="I7" s="190">
        <v>120562</v>
      </c>
      <c r="J7" s="190">
        <v>121596</v>
      </c>
      <c r="K7" s="190">
        <v>129510</v>
      </c>
      <c r="L7" s="190">
        <v>498445</v>
      </c>
      <c r="M7" s="190">
        <v>130377</v>
      </c>
      <c r="N7" s="190">
        <v>124448</v>
      </c>
    </row>
    <row r="8" spans="1:14" x14ac:dyDescent="0.2">
      <c r="A8" s="191" t="s">
        <v>347</v>
      </c>
      <c r="B8" s="192">
        <v>120648</v>
      </c>
      <c r="C8" s="192">
        <v>23547</v>
      </c>
      <c r="D8" s="192">
        <v>25483</v>
      </c>
      <c r="E8" s="192">
        <v>10438</v>
      </c>
      <c r="F8" s="192">
        <v>12767</v>
      </c>
      <c r="G8" s="192">
        <v>72235</v>
      </c>
      <c r="H8" s="192">
        <v>15882</v>
      </c>
      <c r="I8" s="192">
        <v>6129</v>
      </c>
      <c r="J8" s="192">
        <v>16134</v>
      </c>
      <c r="K8" s="192">
        <v>17151</v>
      </c>
      <c r="L8" s="192">
        <v>55296</v>
      </c>
      <c r="M8" s="192">
        <v>11828</v>
      </c>
      <c r="N8" s="192">
        <v>9372</v>
      </c>
    </row>
    <row r="9" spans="1:14" x14ac:dyDescent="0.2">
      <c r="A9" s="189" t="s">
        <v>348</v>
      </c>
      <c r="B9" s="240">
        <v>0</v>
      </c>
      <c r="C9" s="240">
        <v>0</v>
      </c>
      <c r="D9" s="240">
        <v>0</v>
      </c>
      <c r="E9" s="240">
        <v>0</v>
      </c>
      <c r="F9" s="240">
        <v>0</v>
      </c>
      <c r="G9" s="240">
        <v>0</v>
      </c>
      <c r="H9" s="177">
        <v>-9637</v>
      </c>
      <c r="I9" s="177">
        <v>-28611</v>
      </c>
      <c r="J9" s="177">
        <v>-41310</v>
      </c>
      <c r="K9" s="177">
        <v>-36737</v>
      </c>
      <c r="L9" s="177">
        <v>-116295</v>
      </c>
      <c r="M9" s="177">
        <v>-26391</v>
      </c>
      <c r="N9" s="177">
        <v>-19830</v>
      </c>
    </row>
    <row r="10" spans="1:14" x14ac:dyDescent="0.2">
      <c r="A10" s="191" t="s">
        <v>349</v>
      </c>
      <c r="B10" s="192">
        <v>2581</v>
      </c>
      <c r="C10" s="192">
        <v>631</v>
      </c>
      <c r="D10" s="192">
        <v>648</v>
      </c>
      <c r="E10" s="192">
        <v>654</v>
      </c>
      <c r="F10" s="192">
        <v>1337</v>
      </c>
      <c r="G10" s="192">
        <v>3270</v>
      </c>
      <c r="H10" s="192">
        <v>747</v>
      </c>
      <c r="I10" s="192">
        <v>596</v>
      </c>
      <c r="J10" s="192">
        <v>3795</v>
      </c>
      <c r="K10" s="192">
        <v>4805</v>
      </c>
      <c r="L10" s="192">
        <f>7190+2753</f>
        <v>9943</v>
      </c>
      <c r="M10" s="192">
        <v>705</v>
      </c>
      <c r="N10" s="192">
        <v>705</v>
      </c>
    </row>
    <row r="11" spans="1:14" s="11" customFormat="1" x14ac:dyDescent="0.25">
      <c r="A11" s="193" t="s">
        <v>350</v>
      </c>
      <c r="B11" s="194">
        <f>SUM(B12:B18)</f>
        <v>-293209</v>
      </c>
      <c r="C11" s="194">
        <f t="shared" ref="C11:N11" si="1">SUM(C12:C18)</f>
        <v>-66543</v>
      </c>
      <c r="D11" s="194">
        <f t="shared" si="1"/>
        <v>-66727</v>
      </c>
      <c r="E11" s="194">
        <f t="shared" si="1"/>
        <v>-61682</v>
      </c>
      <c r="F11" s="194">
        <f t="shared" si="1"/>
        <v>-64251</v>
      </c>
      <c r="G11" s="194">
        <f t="shared" si="1"/>
        <v>-259203</v>
      </c>
      <c r="H11" s="194">
        <f t="shared" si="1"/>
        <v>-80322</v>
      </c>
      <c r="I11" s="194">
        <f t="shared" si="1"/>
        <v>-59373</v>
      </c>
      <c r="J11" s="194">
        <f t="shared" si="1"/>
        <v>-65729</v>
      </c>
      <c r="K11" s="194">
        <f t="shared" si="1"/>
        <v>-81126</v>
      </c>
      <c r="L11" s="194">
        <f t="shared" si="1"/>
        <v>-286550</v>
      </c>
      <c r="M11" s="194">
        <f t="shared" si="1"/>
        <v>-77315</v>
      </c>
      <c r="N11" s="194">
        <f t="shared" si="1"/>
        <v>-71251</v>
      </c>
    </row>
    <row r="12" spans="1:14" s="11" customFormat="1" x14ac:dyDescent="0.25">
      <c r="A12" s="195" t="s">
        <v>351</v>
      </c>
      <c r="B12" s="175">
        <v>-54714</v>
      </c>
      <c r="C12" s="175">
        <v>-12308</v>
      </c>
      <c r="D12" s="175">
        <v>-12309</v>
      </c>
      <c r="E12" s="175">
        <v>-843</v>
      </c>
      <c r="F12" s="175">
        <v>-844</v>
      </c>
      <c r="G12" s="175">
        <v>-26304</v>
      </c>
      <c r="H12" s="175">
        <v>-843</v>
      </c>
      <c r="I12" s="175">
        <v>-844</v>
      </c>
      <c r="J12" s="175">
        <v>-223</v>
      </c>
      <c r="K12" s="175">
        <v>-669</v>
      </c>
      <c r="L12" s="175">
        <v>-2579</v>
      </c>
      <c r="M12" s="175">
        <v>-446</v>
      </c>
      <c r="N12" s="175">
        <v>-446</v>
      </c>
    </row>
    <row r="13" spans="1:14" s="11" customFormat="1" x14ac:dyDescent="0.25">
      <c r="A13" s="189" t="s">
        <v>352</v>
      </c>
      <c r="B13" s="177">
        <v>-16319</v>
      </c>
      <c r="C13" s="177">
        <v>-3551</v>
      </c>
      <c r="D13" s="177">
        <v>-3678</v>
      </c>
      <c r="E13" s="177">
        <v>-4164</v>
      </c>
      <c r="F13" s="177">
        <v>-4238</v>
      </c>
      <c r="G13" s="177">
        <v>-15631</v>
      </c>
      <c r="H13" s="177">
        <v>-3933</v>
      </c>
      <c r="I13" s="177">
        <v>-4011</v>
      </c>
      <c r="J13" s="177">
        <v>-2349</v>
      </c>
      <c r="K13" s="177">
        <v>-4805</v>
      </c>
      <c r="L13" s="177">
        <v>-15098</v>
      </c>
      <c r="M13" s="177">
        <v>-4184</v>
      </c>
      <c r="N13" s="177">
        <v>-3522</v>
      </c>
    </row>
    <row r="14" spans="1:14" s="11" customFormat="1" x14ac:dyDescent="0.25">
      <c r="A14" s="195" t="s">
        <v>353</v>
      </c>
      <c r="B14" s="175">
        <v>-132</v>
      </c>
      <c r="C14" s="175">
        <v>-34</v>
      </c>
      <c r="D14" s="175">
        <v>-35</v>
      </c>
      <c r="E14" s="175">
        <v>-32</v>
      </c>
      <c r="F14" s="175">
        <v>-19</v>
      </c>
      <c r="G14" s="175">
        <v>-120</v>
      </c>
      <c r="H14" s="175">
        <v>-23</v>
      </c>
      <c r="I14" s="175">
        <v>-21</v>
      </c>
      <c r="J14" s="175">
        <v>-21</v>
      </c>
      <c r="K14" s="175">
        <v>-19</v>
      </c>
      <c r="L14" s="175">
        <v>-84</v>
      </c>
      <c r="M14" s="175">
        <v>-21</v>
      </c>
      <c r="N14" s="175">
        <v>-35</v>
      </c>
    </row>
    <row r="15" spans="1:14" s="11" customFormat="1" x14ac:dyDescent="0.25">
      <c r="A15" s="189" t="s">
        <v>354</v>
      </c>
      <c r="B15" s="177">
        <v>-140460</v>
      </c>
      <c r="C15" s="177">
        <v>-30612</v>
      </c>
      <c r="D15" s="177">
        <v>-31791</v>
      </c>
      <c r="E15" s="177">
        <v>-35583</v>
      </c>
      <c r="F15" s="177">
        <v>-37046</v>
      </c>
      <c r="G15" s="177">
        <v>-135032</v>
      </c>
      <c r="H15" s="177">
        <v>-49986</v>
      </c>
      <c r="I15" s="177">
        <v>-34115</v>
      </c>
      <c r="J15" s="177">
        <v>-43495</v>
      </c>
      <c r="K15" s="177">
        <v>-46974</v>
      </c>
      <c r="L15" s="177">
        <v>-174570</v>
      </c>
      <c r="M15" s="177">
        <v>-50206</v>
      </c>
      <c r="N15" s="177">
        <v>-46834</v>
      </c>
    </row>
    <row r="16" spans="1:14" s="11" customFormat="1" x14ac:dyDescent="0.25">
      <c r="A16" s="195" t="s">
        <v>355</v>
      </c>
      <c r="B16" s="175">
        <v>-30493</v>
      </c>
      <c r="C16" s="175">
        <v>-6646</v>
      </c>
      <c r="D16" s="175">
        <v>-6901</v>
      </c>
      <c r="E16" s="175">
        <v>-7726</v>
      </c>
      <c r="F16" s="175">
        <v>-8043</v>
      </c>
      <c r="G16" s="175">
        <v>-29316</v>
      </c>
      <c r="H16" s="175">
        <v>-10852</v>
      </c>
      <c r="I16" s="175">
        <v>-7407</v>
      </c>
      <c r="J16" s="175">
        <v>-9443</v>
      </c>
      <c r="K16" s="175">
        <v>-10198</v>
      </c>
      <c r="L16" s="175">
        <v>-37900</v>
      </c>
      <c r="M16" s="175">
        <v>-10900</v>
      </c>
      <c r="N16" s="175">
        <v>-10168</v>
      </c>
    </row>
    <row r="17" spans="1:14" s="11" customFormat="1" x14ac:dyDescent="0.25">
      <c r="A17" s="189" t="s">
        <v>356</v>
      </c>
      <c r="B17" s="177">
        <v>-48063</v>
      </c>
      <c r="C17" s="177">
        <v>-12608</v>
      </c>
      <c r="D17" s="177">
        <v>-11229</v>
      </c>
      <c r="E17" s="177">
        <v>-12119</v>
      </c>
      <c r="F17" s="177">
        <v>-12845</v>
      </c>
      <c r="G17" s="177">
        <v>-48801</v>
      </c>
      <c r="H17" s="177">
        <v>-13456</v>
      </c>
      <c r="I17" s="177">
        <v>-11765</v>
      </c>
      <c r="J17" s="177">
        <v>-9294</v>
      </c>
      <c r="K17" s="177">
        <v>-16874</v>
      </c>
      <c r="L17" s="177">
        <v>-51389</v>
      </c>
      <c r="M17" s="177">
        <v>-10228</v>
      </c>
      <c r="N17" s="177">
        <v>-8916</v>
      </c>
    </row>
    <row r="18" spans="1:14" s="32" customFormat="1" x14ac:dyDescent="0.25">
      <c r="A18" s="195" t="s">
        <v>357</v>
      </c>
      <c r="B18" s="175">
        <v>-3028</v>
      </c>
      <c r="C18" s="175">
        <v>-784</v>
      </c>
      <c r="D18" s="175">
        <v>-784</v>
      </c>
      <c r="E18" s="175">
        <v>-1215</v>
      </c>
      <c r="F18" s="175">
        <v>-1216</v>
      </c>
      <c r="G18" s="175">
        <v>-3999</v>
      </c>
      <c r="H18" s="175">
        <v>-1229</v>
      </c>
      <c r="I18" s="175">
        <v>-1210</v>
      </c>
      <c r="J18" s="175">
        <v>-904</v>
      </c>
      <c r="K18" s="175">
        <v>-1587</v>
      </c>
      <c r="L18" s="175">
        <v>-4930</v>
      </c>
      <c r="M18" s="175">
        <v>-1330</v>
      </c>
      <c r="N18" s="175">
        <v>-1330</v>
      </c>
    </row>
    <row r="19" spans="1:14" s="11" customFormat="1" x14ac:dyDescent="0.25">
      <c r="A19" s="193" t="s">
        <v>358</v>
      </c>
      <c r="B19" s="194">
        <f>B4+B11</f>
        <v>1634110</v>
      </c>
      <c r="C19" s="194">
        <f t="shared" ref="C19:N19" si="2">C4+C11</f>
        <v>355618</v>
      </c>
      <c r="D19" s="194">
        <f t="shared" si="2"/>
        <v>368377</v>
      </c>
      <c r="E19" s="194">
        <f t="shared" si="2"/>
        <v>414466</v>
      </c>
      <c r="F19" s="194">
        <f t="shared" si="2"/>
        <v>432835</v>
      </c>
      <c r="G19" s="194">
        <f t="shared" si="2"/>
        <v>1571296</v>
      </c>
      <c r="H19" s="194">
        <f t="shared" si="2"/>
        <v>460540</v>
      </c>
      <c r="I19" s="194">
        <f t="shared" si="2"/>
        <v>485532</v>
      </c>
      <c r="J19" s="194">
        <f t="shared" si="2"/>
        <v>470527</v>
      </c>
      <c r="K19" s="194">
        <f t="shared" si="2"/>
        <v>500649</v>
      </c>
      <c r="L19" s="194">
        <f t="shared" si="2"/>
        <v>1917248</v>
      </c>
      <c r="M19" s="194">
        <f t="shared" si="2"/>
        <v>556885</v>
      </c>
      <c r="N19" s="194">
        <f t="shared" si="2"/>
        <v>525163</v>
      </c>
    </row>
    <row r="20" spans="1:14" s="32" customFormat="1" x14ac:dyDescent="0.25">
      <c r="A20" s="174" t="s">
        <v>359</v>
      </c>
      <c r="B20" s="175">
        <v>-1232279</v>
      </c>
      <c r="C20" s="175">
        <v>-349882</v>
      </c>
      <c r="D20" s="175">
        <v>-211747</v>
      </c>
      <c r="E20" s="175">
        <v>-258322</v>
      </c>
      <c r="F20" s="175">
        <v>-272064</v>
      </c>
      <c r="G20" s="175">
        <v>-1092015</v>
      </c>
      <c r="H20" s="175">
        <v>-226335</v>
      </c>
      <c r="I20" s="175">
        <v>-281056</v>
      </c>
      <c r="J20" s="175">
        <v>-312967</v>
      </c>
      <c r="K20" s="175">
        <v>-369284</v>
      </c>
      <c r="L20" s="175">
        <v>-1189642</v>
      </c>
      <c r="M20" s="175">
        <v>-365112</v>
      </c>
      <c r="N20" s="175">
        <v>-343278</v>
      </c>
    </row>
    <row r="21" spans="1:14" s="11" customFormat="1" x14ac:dyDescent="0.25">
      <c r="A21" s="193" t="s">
        <v>360</v>
      </c>
      <c r="B21" s="194">
        <f>B19+B20</f>
        <v>401831</v>
      </c>
      <c r="C21" s="194">
        <f t="shared" ref="C21:N21" si="3">C19+C20</f>
        <v>5736</v>
      </c>
      <c r="D21" s="194">
        <f t="shared" si="3"/>
        <v>156630</v>
      </c>
      <c r="E21" s="194">
        <f t="shared" si="3"/>
        <v>156144</v>
      </c>
      <c r="F21" s="194">
        <f t="shared" si="3"/>
        <v>160771</v>
      </c>
      <c r="G21" s="194">
        <f t="shared" si="3"/>
        <v>479281</v>
      </c>
      <c r="H21" s="194">
        <f t="shared" si="3"/>
        <v>234205</v>
      </c>
      <c r="I21" s="194">
        <f t="shared" si="3"/>
        <v>204476</v>
      </c>
      <c r="J21" s="194">
        <f t="shared" si="3"/>
        <v>157560</v>
      </c>
      <c r="K21" s="194">
        <f t="shared" si="3"/>
        <v>131365</v>
      </c>
      <c r="L21" s="194">
        <f t="shared" si="3"/>
        <v>727606</v>
      </c>
      <c r="M21" s="194">
        <f t="shared" si="3"/>
        <v>191773</v>
      </c>
      <c r="N21" s="194">
        <f t="shared" si="3"/>
        <v>181885</v>
      </c>
    </row>
    <row r="22" spans="1:14" s="32" customFormat="1" x14ac:dyDescent="0.25">
      <c r="A22" s="174" t="s">
        <v>361</v>
      </c>
      <c r="B22" s="175">
        <v>257322</v>
      </c>
      <c r="C22" s="175">
        <v>-108846</v>
      </c>
      <c r="D22" s="175">
        <v>-56506</v>
      </c>
      <c r="E22" s="175">
        <v>-29028</v>
      </c>
      <c r="F22" s="175">
        <v>198461</v>
      </c>
      <c r="G22" s="175">
        <v>4081</v>
      </c>
      <c r="H22" s="175">
        <v>-25408</v>
      </c>
      <c r="I22" s="175">
        <v>93448</v>
      </c>
      <c r="J22" s="175">
        <v>-24056</v>
      </c>
      <c r="K22" s="175">
        <v>41136</v>
      </c>
      <c r="L22" s="175">
        <v>85120</v>
      </c>
      <c r="M22" s="175">
        <v>155855</v>
      </c>
      <c r="N22" s="175">
        <v>-49602</v>
      </c>
    </row>
    <row r="23" spans="1:14" s="11" customFormat="1" x14ac:dyDescent="0.25">
      <c r="A23" s="193" t="s">
        <v>362</v>
      </c>
      <c r="B23" s="194">
        <f>B22+B21</f>
        <v>659153</v>
      </c>
      <c r="C23" s="194">
        <f t="shared" ref="C23:N23" si="4">C22+C21</f>
        <v>-103110</v>
      </c>
      <c r="D23" s="194">
        <f t="shared" si="4"/>
        <v>100124</v>
      </c>
      <c r="E23" s="194">
        <f t="shared" si="4"/>
        <v>127116</v>
      </c>
      <c r="F23" s="194">
        <f t="shared" si="4"/>
        <v>359232</v>
      </c>
      <c r="G23" s="194">
        <f t="shared" si="4"/>
        <v>483362</v>
      </c>
      <c r="H23" s="194">
        <f t="shared" si="4"/>
        <v>208797</v>
      </c>
      <c r="I23" s="194">
        <f t="shared" si="4"/>
        <v>297924</v>
      </c>
      <c r="J23" s="194">
        <f t="shared" si="4"/>
        <v>133504</v>
      </c>
      <c r="K23" s="194">
        <f t="shared" si="4"/>
        <v>172501</v>
      </c>
      <c r="L23" s="194">
        <f t="shared" si="4"/>
        <v>812726</v>
      </c>
      <c r="M23" s="194">
        <f t="shared" si="4"/>
        <v>347628</v>
      </c>
      <c r="N23" s="194">
        <f t="shared" si="4"/>
        <v>132283</v>
      </c>
    </row>
    <row r="24" spans="1:14" s="11" customFormat="1" x14ac:dyDescent="0.25">
      <c r="A24" s="174" t="s">
        <v>363</v>
      </c>
      <c r="B24" s="175">
        <v>75704</v>
      </c>
      <c r="C24" s="175">
        <v>33102</v>
      </c>
      <c r="D24" s="175">
        <v>20986</v>
      </c>
      <c r="E24" s="175">
        <v>9085</v>
      </c>
      <c r="F24" s="175">
        <v>11265</v>
      </c>
      <c r="G24" s="175">
        <v>74438</v>
      </c>
      <c r="H24" s="175">
        <v>10513</v>
      </c>
      <c r="I24" s="175">
        <v>7941</v>
      </c>
      <c r="J24" s="175">
        <v>6550</v>
      </c>
      <c r="K24" s="175">
        <v>4738</v>
      </c>
      <c r="L24" s="175">
        <v>29742</v>
      </c>
      <c r="M24" s="175">
        <v>5725</v>
      </c>
      <c r="N24" s="175">
        <v>5971</v>
      </c>
    </row>
    <row r="25" spans="1:14" s="11" customFormat="1" x14ac:dyDescent="0.25">
      <c r="A25" s="176" t="s">
        <v>364</v>
      </c>
      <c r="B25" s="177">
        <v>-450571</v>
      </c>
      <c r="C25" s="177">
        <v>-85444</v>
      </c>
      <c r="D25" s="177">
        <v>-123220</v>
      </c>
      <c r="E25" s="177">
        <v>-138940</v>
      </c>
      <c r="F25" s="177">
        <v>-70901</v>
      </c>
      <c r="G25" s="177">
        <v>-418505</v>
      </c>
      <c r="H25" s="177">
        <v>-119723</v>
      </c>
      <c r="I25" s="177">
        <v>-102267</v>
      </c>
      <c r="J25" s="177">
        <v>-188223</v>
      </c>
      <c r="K25" s="177">
        <v>-175457</v>
      </c>
      <c r="L25" s="177">
        <v>-585670</v>
      </c>
      <c r="M25" s="177">
        <v>-173588</v>
      </c>
      <c r="N25" s="177">
        <v>-163547</v>
      </c>
    </row>
    <row r="26" spans="1:14" s="11" customFormat="1" x14ac:dyDescent="0.25">
      <c r="A26" s="174" t="s">
        <v>365</v>
      </c>
      <c r="B26" s="175"/>
      <c r="C26" s="175">
        <v>680</v>
      </c>
      <c r="D26" s="175">
        <v>2260</v>
      </c>
      <c r="E26" s="175">
        <v>-6068</v>
      </c>
      <c r="F26" s="175">
        <v>319</v>
      </c>
      <c r="G26" s="175">
        <f>SUM(C26:F26)</f>
        <v>-2809</v>
      </c>
      <c r="H26" s="175">
        <v>0</v>
      </c>
      <c r="I26" s="175">
        <v>0</v>
      </c>
      <c r="J26" s="175">
        <v>0</v>
      </c>
      <c r="K26" s="175">
        <v>0</v>
      </c>
      <c r="L26" s="175">
        <v>0</v>
      </c>
      <c r="M26" s="175" t="s">
        <v>18</v>
      </c>
      <c r="N26" s="175">
        <v>0</v>
      </c>
    </row>
    <row r="27" spans="1:14" s="32" customFormat="1" x14ac:dyDescent="0.25">
      <c r="A27" s="193" t="s">
        <v>366</v>
      </c>
      <c r="B27" s="194">
        <f>SUM(B24:B26)</f>
        <v>-374867</v>
      </c>
      <c r="C27" s="194">
        <f t="shared" ref="C27:N27" si="5">SUM(C24:C26)</f>
        <v>-51662</v>
      </c>
      <c r="D27" s="194">
        <f t="shared" si="5"/>
        <v>-99974</v>
      </c>
      <c r="E27" s="194">
        <f t="shared" si="5"/>
        <v>-135923</v>
      </c>
      <c r="F27" s="194">
        <f t="shared" si="5"/>
        <v>-59317</v>
      </c>
      <c r="G27" s="194">
        <f t="shared" si="5"/>
        <v>-346876</v>
      </c>
      <c r="H27" s="194">
        <f t="shared" si="5"/>
        <v>-109210</v>
      </c>
      <c r="I27" s="194">
        <f t="shared" si="5"/>
        <v>-94326</v>
      </c>
      <c r="J27" s="194">
        <f t="shared" si="5"/>
        <v>-181673</v>
      </c>
      <c r="K27" s="194">
        <f t="shared" si="5"/>
        <v>-170719</v>
      </c>
      <c r="L27" s="194">
        <f t="shared" si="5"/>
        <v>-555928</v>
      </c>
      <c r="M27" s="194">
        <f t="shared" si="5"/>
        <v>-167863</v>
      </c>
      <c r="N27" s="194">
        <f t="shared" si="5"/>
        <v>-157576</v>
      </c>
    </row>
    <row r="28" spans="1:14" s="11" customFormat="1" x14ac:dyDescent="0.25">
      <c r="A28" s="188" t="s">
        <v>367</v>
      </c>
      <c r="B28" s="184">
        <f>B27+B23</f>
        <v>284286</v>
      </c>
      <c r="C28" s="184">
        <f t="shared" ref="C28:N28" si="6">C27+C23</f>
        <v>-154772</v>
      </c>
      <c r="D28" s="184">
        <f t="shared" si="6"/>
        <v>150</v>
      </c>
      <c r="E28" s="184">
        <f t="shared" si="6"/>
        <v>-8807</v>
      </c>
      <c r="F28" s="184">
        <f t="shared" si="6"/>
        <v>299915</v>
      </c>
      <c r="G28" s="184">
        <f t="shared" si="6"/>
        <v>136486</v>
      </c>
      <c r="H28" s="184">
        <f t="shared" si="6"/>
        <v>99587</v>
      </c>
      <c r="I28" s="184">
        <f t="shared" si="6"/>
        <v>203598</v>
      </c>
      <c r="J28" s="184">
        <f t="shared" si="6"/>
        <v>-48169</v>
      </c>
      <c r="K28" s="184">
        <f t="shared" si="6"/>
        <v>1782</v>
      </c>
      <c r="L28" s="184">
        <f t="shared" si="6"/>
        <v>256798</v>
      </c>
      <c r="M28" s="184">
        <f t="shared" si="6"/>
        <v>179765</v>
      </c>
      <c r="N28" s="184">
        <f t="shared" si="6"/>
        <v>-25293</v>
      </c>
    </row>
    <row r="29" spans="1:14" s="11" customFormat="1" x14ac:dyDescent="0.25">
      <c r="A29" s="176" t="s">
        <v>368</v>
      </c>
      <c r="B29" s="177">
        <v>10147</v>
      </c>
      <c r="C29" s="177">
        <v>-3471</v>
      </c>
      <c r="D29" s="177">
        <v>-4152</v>
      </c>
      <c r="E29" s="177">
        <v>951</v>
      </c>
      <c r="F29" s="177">
        <v>1033200</v>
      </c>
      <c r="G29" s="177">
        <f>1026560-32</f>
        <v>1026528</v>
      </c>
      <c r="H29" s="177">
        <v>-45774</v>
      </c>
      <c r="I29" s="177">
        <v>-65800</v>
      </c>
      <c r="J29" s="177">
        <v>-10356</v>
      </c>
      <c r="K29" s="177">
        <v>1593894</v>
      </c>
      <c r="L29" s="177">
        <v>1471964</v>
      </c>
      <c r="M29" s="177">
        <v>-63967</v>
      </c>
      <c r="N29" s="177">
        <v>7164</v>
      </c>
    </row>
    <row r="30" spans="1:14" s="11" customFormat="1" x14ac:dyDescent="0.25">
      <c r="A30" s="188" t="s">
        <v>369</v>
      </c>
      <c r="B30" s="184">
        <f>B28+B29</f>
        <v>294433</v>
      </c>
      <c r="C30" s="184">
        <f t="shared" ref="C30:N30" si="7">C28+C29</f>
        <v>-158243</v>
      </c>
      <c r="D30" s="184">
        <f t="shared" si="7"/>
        <v>-4002</v>
      </c>
      <c r="E30" s="184">
        <f t="shared" si="7"/>
        <v>-7856</v>
      </c>
      <c r="F30" s="184">
        <f t="shared" si="7"/>
        <v>1333115</v>
      </c>
      <c r="G30" s="184">
        <f t="shared" si="7"/>
        <v>1163014</v>
      </c>
      <c r="H30" s="184">
        <f t="shared" si="7"/>
        <v>53813</v>
      </c>
      <c r="I30" s="184">
        <f t="shared" si="7"/>
        <v>137798</v>
      </c>
      <c r="J30" s="184">
        <f t="shared" si="7"/>
        <v>-58525</v>
      </c>
      <c r="K30" s="184">
        <f t="shared" si="7"/>
        <v>1595676</v>
      </c>
      <c r="L30" s="184">
        <f t="shared" si="7"/>
        <v>1728762</v>
      </c>
      <c r="M30" s="184">
        <f t="shared" si="7"/>
        <v>115798</v>
      </c>
      <c r="N30" s="184">
        <f t="shared" si="7"/>
        <v>-18129</v>
      </c>
    </row>
    <row r="31" spans="1:14" s="32" customFormat="1" x14ac:dyDescent="0.25">
      <c r="A31" s="193"/>
      <c r="B31" s="194"/>
      <c r="C31" s="194"/>
      <c r="D31" s="194"/>
      <c r="E31" s="194"/>
      <c r="F31" s="194"/>
      <c r="G31" s="194"/>
      <c r="H31" s="194"/>
      <c r="I31" s="196"/>
      <c r="J31" s="194"/>
      <c r="K31" s="194"/>
      <c r="L31" s="194"/>
      <c r="M31" s="194"/>
      <c r="N31" s="196"/>
    </row>
    <row r="32" spans="1:14" x14ac:dyDescent="0.2">
      <c r="A32" s="176"/>
      <c r="B32" s="16"/>
      <c r="C32" s="16"/>
      <c r="D32" s="16"/>
      <c r="E32" s="16"/>
      <c r="F32" s="16"/>
      <c r="G32" s="16"/>
      <c r="H32" s="16"/>
      <c r="I32" s="16"/>
      <c r="J32" s="16"/>
      <c r="K32" s="16"/>
      <c r="L32" s="16"/>
      <c r="M32" s="16"/>
      <c r="N32" s="16"/>
    </row>
    <row r="33" spans="1:14" ht="12.75" customHeight="1" x14ac:dyDescent="0.2">
      <c r="A33" s="280" t="s">
        <v>371</v>
      </c>
      <c r="B33" s="280"/>
      <c r="C33" s="280"/>
      <c r="D33" s="280"/>
      <c r="E33" s="280"/>
      <c r="F33" s="198"/>
      <c r="G33" s="198"/>
      <c r="H33" s="198"/>
      <c r="I33" s="198"/>
      <c r="J33" s="198"/>
      <c r="K33" s="198"/>
      <c r="L33" s="198"/>
      <c r="M33" s="198"/>
      <c r="N33" s="198"/>
    </row>
    <row r="34" spans="1:14" x14ac:dyDescent="0.2">
      <c r="A34" s="280"/>
      <c r="B34" s="280"/>
      <c r="C34" s="280"/>
      <c r="D34" s="280"/>
      <c r="E34" s="280"/>
      <c r="F34" s="198"/>
      <c r="G34" s="198"/>
      <c r="H34" s="198"/>
      <c r="I34" s="198"/>
      <c r="J34" s="198"/>
      <c r="K34" s="198"/>
      <c r="L34" s="198"/>
      <c r="M34" s="198"/>
      <c r="N34" s="198"/>
    </row>
    <row r="35" spans="1:14" x14ac:dyDescent="0.2">
      <c r="A35" s="280"/>
      <c r="B35" s="280"/>
      <c r="C35" s="280"/>
      <c r="D35" s="280"/>
      <c r="E35" s="280"/>
      <c r="F35" s="198"/>
      <c r="G35" s="198"/>
      <c r="H35" s="198"/>
      <c r="I35" s="198"/>
      <c r="J35" s="198"/>
      <c r="K35" s="198"/>
      <c r="L35" s="198"/>
      <c r="M35" s="198"/>
      <c r="N35" s="198"/>
    </row>
  </sheetData>
  <mergeCells count="2">
    <mergeCell ref="B1:N1"/>
    <mergeCell ref="A33:E3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94DF-77BB-4F57-888E-39B1F55FE4BB}">
  <sheetPr codeName="Planilha3"/>
  <dimension ref="A1:Z34"/>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sheetView>
  </sheetViews>
  <sheetFormatPr defaultColWidth="9.140625" defaultRowHeight="12.75" x14ac:dyDescent="0.2"/>
  <cols>
    <col min="1" max="1" width="56.42578125" style="9" bestFit="1" customWidth="1"/>
    <col min="2" max="3" width="10.140625" style="9" customWidth="1"/>
    <col min="4" max="4" width="11" style="9" bestFit="1" customWidth="1"/>
    <col min="5" max="5" width="10.140625" style="9" customWidth="1"/>
    <col min="6" max="6" width="11.5703125" style="9" customWidth="1"/>
    <col min="7" max="7" width="11" style="9" bestFit="1" customWidth="1"/>
    <col min="8" max="13" width="11.5703125" style="9" customWidth="1"/>
    <col min="14" max="14" width="11.140625" style="9" customWidth="1"/>
    <col min="15" max="16384" width="9.140625" style="9"/>
  </cols>
  <sheetData>
    <row r="1" spans="1:26" ht="54.75" customHeight="1" x14ac:dyDescent="0.2">
      <c r="A1" s="8"/>
      <c r="B1" s="281" t="s">
        <v>328</v>
      </c>
      <c r="C1" s="281"/>
      <c r="D1" s="281"/>
      <c r="E1" s="281"/>
      <c r="F1" s="281"/>
      <c r="G1" s="281"/>
      <c r="H1" s="281"/>
      <c r="I1" s="281"/>
      <c r="J1" s="281"/>
      <c r="K1" s="281"/>
      <c r="L1" s="281"/>
      <c r="M1" s="281"/>
      <c r="N1" s="281"/>
      <c r="O1" s="173"/>
      <c r="P1" s="173"/>
      <c r="Q1" s="173"/>
      <c r="R1" s="173"/>
      <c r="S1" s="173"/>
      <c r="T1" s="173"/>
      <c r="U1" s="173"/>
      <c r="V1" s="173"/>
      <c r="W1" s="173"/>
      <c r="X1" s="173"/>
      <c r="Y1" s="173"/>
      <c r="Z1" s="173"/>
    </row>
    <row r="2" spans="1:26" ht="8.25" customHeight="1" x14ac:dyDescent="0.2"/>
    <row r="3" spans="1:26" s="35" customFormat="1" ht="13.5" thickBot="1" x14ac:dyDescent="0.3">
      <c r="A3" s="62" t="s">
        <v>327</v>
      </c>
      <c r="B3" s="7">
        <v>2018</v>
      </c>
      <c r="C3" s="7" t="s">
        <v>231</v>
      </c>
      <c r="D3" s="7" t="s">
        <v>232</v>
      </c>
      <c r="E3" s="7" t="s">
        <v>233</v>
      </c>
      <c r="F3" s="7" t="s">
        <v>234</v>
      </c>
      <c r="G3" s="7">
        <v>2019</v>
      </c>
      <c r="H3" s="7" t="s">
        <v>131</v>
      </c>
      <c r="I3" s="7" t="s">
        <v>132</v>
      </c>
      <c r="J3" s="7" t="s">
        <v>133</v>
      </c>
      <c r="K3" s="7" t="s">
        <v>134</v>
      </c>
      <c r="L3" s="7">
        <v>2020</v>
      </c>
      <c r="M3" s="7" t="s">
        <v>135</v>
      </c>
      <c r="N3" s="7" t="s">
        <v>136</v>
      </c>
    </row>
    <row r="4" spans="1:26" s="39" customFormat="1" x14ac:dyDescent="0.2">
      <c r="A4" s="174" t="s">
        <v>329</v>
      </c>
      <c r="B4" s="175">
        <v>502660</v>
      </c>
      <c r="C4" s="175">
        <v>41597</v>
      </c>
      <c r="D4" s="175">
        <v>218592</v>
      </c>
      <c r="E4" s="175">
        <v>234618</v>
      </c>
      <c r="F4" s="175">
        <v>257032.48237000033</v>
      </c>
      <c r="G4" s="175">
        <f>SUM(C4:F4)</f>
        <v>751839.48237000033</v>
      </c>
      <c r="H4" s="175">
        <v>336171</v>
      </c>
      <c r="I4" s="175">
        <v>287276</v>
      </c>
      <c r="J4" s="175">
        <v>235952.12237000006</v>
      </c>
      <c r="K4" s="175">
        <v>154705.0139299999</v>
      </c>
      <c r="L4" s="175">
        <f>SUM(H4:K4)</f>
        <v>1014104.1362999999</v>
      </c>
      <c r="M4" s="175">
        <v>282392.36990999995</v>
      </c>
      <c r="N4" s="175">
        <v>221717</v>
      </c>
    </row>
    <row r="5" spans="1:26" s="11" customFormat="1" x14ac:dyDescent="0.25">
      <c r="A5" s="176" t="s">
        <v>330</v>
      </c>
      <c r="B5" s="177">
        <v>0</v>
      </c>
      <c r="C5" s="177">
        <v>0</v>
      </c>
      <c r="D5" s="177">
        <v>0</v>
      </c>
      <c r="E5" s="177">
        <v>0</v>
      </c>
      <c r="F5" s="177">
        <v>0</v>
      </c>
      <c r="G5" s="177">
        <v>0</v>
      </c>
      <c r="H5" s="177">
        <v>-10662</v>
      </c>
      <c r="I5" s="177">
        <v>-21246</v>
      </c>
      <c r="J5" s="177">
        <v>-23603</v>
      </c>
      <c r="K5" s="177">
        <v>-17035</v>
      </c>
      <c r="L5" s="177">
        <f>SUM(H5:K5)</f>
        <v>-72546</v>
      </c>
      <c r="M5" s="177">
        <v>-26718.294932999794</v>
      </c>
      <c r="N5" s="177">
        <v>-9438.0000000000036</v>
      </c>
    </row>
    <row r="6" spans="1:26" s="11" customFormat="1" x14ac:dyDescent="0.25">
      <c r="A6" s="178" t="s">
        <v>331</v>
      </c>
      <c r="B6" s="175">
        <v>-10547</v>
      </c>
      <c r="C6" s="175">
        <v>-3888</v>
      </c>
      <c r="D6" s="175">
        <v>-27553</v>
      </c>
      <c r="E6" s="175">
        <v>8042</v>
      </c>
      <c r="F6" s="175">
        <v>116013</v>
      </c>
      <c r="G6" s="175">
        <f>SUM(C6:F6)</f>
        <v>92614</v>
      </c>
      <c r="H6" s="175">
        <v>-93547</v>
      </c>
      <c r="I6" s="175">
        <v>50440</v>
      </c>
      <c r="J6" s="175">
        <v>-49938.986070000101</v>
      </c>
      <c r="K6" s="175">
        <v>-26654.013929999899</v>
      </c>
      <c r="L6" s="175">
        <f>SUM(H6:K6)</f>
        <v>-119700</v>
      </c>
      <c r="M6" s="175">
        <v>-50720.227737000154</v>
      </c>
      <c r="N6" s="175">
        <v>69818</v>
      </c>
    </row>
    <row r="7" spans="1:26" s="11" customFormat="1" x14ac:dyDescent="0.25">
      <c r="A7" s="179" t="s">
        <v>9</v>
      </c>
      <c r="B7" s="177">
        <v>-16089</v>
      </c>
      <c r="C7" s="180">
        <v>-583</v>
      </c>
      <c r="D7" s="180">
        <v>-3046</v>
      </c>
      <c r="E7" s="180">
        <v>-915</v>
      </c>
      <c r="F7" s="180">
        <v>-4544</v>
      </c>
      <c r="G7" s="177">
        <f>SUM(C7:F7)</f>
        <v>-9088</v>
      </c>
      <c r="H7" s="177">
        <v>-2344</v>
      </c>
      <c r="I7" s="177">
        <v>-5809</v>
      </c>
      <c r="J7" s="177">
        <v>-1940</v>
      </c>
      <c r="K7" s="177">
        <v>-5535</v>
      </c>
      <c r="L7" s="177">
        <f>SUM(H7:K7)</f>
        <v>-15628</v>
      </c>
      <c r="M7" s="177">
        <v>-1012</v>
      </c>
      <c r="N7" s="177">
        <v>-2419</v>
      </c>
    </row>
    <row r="8" spans="1:26" s="32" customFormat="1" x14ac:dyDescent="0.25">
      <c r="A8" s="181" t="s">
        <v>332</v>
      </c>
      <c r="B8" s="182">
        <v>476024</v>
      </c>
      <c r="C8" s="182">
        <f t="shared" ref="C8:L8" si="0">SUM(C4:C7)</f>
        <v>37126</v>
      </c>
      <c r="D8" s="182">
        <f t="shared" si="0"/>
        <v>187993</v>
      </c>
      <c r="E8" s="182">
        <f t="shared" si="0"/>
        <v>241745</v>
      </c>
      <c r="F8" s="182">
        <f t="shared" si="0"/>
        <v>368501.48237000033</v>
      </c>
      <c r="G8" s="182">
        <f t="shared" si="0"/>
        <v>835365.48237000033</v>
      </c>
      <c r="H8" s="182">
        <f t="shared" si="0"/>
        <v>229618</v>
      </c>
      <c r="I8" s="182">
        <f t="shared" si="0"/>
        <v>310661</v>
      </c>
      <c r="J8" s="182">
        <f t="shared" si="0"/>
        <v>160470.13629999995</v>
      </c>
      <c r="K8" s="182">
        <f t="shared" si="0"/>
        <v>105481</v>
      </c>
      <c r="L8" s="182">
        <f t="shared" si="0"/>
        <v>806230.1362999999</v>
      </c>
      <c r="M8" s="182">
        <f>SUM(M4:M7)</f>
        <v>203941.84724</v>
      </c>
      <c r="N8" s="182">
        <f>SUM(N4:N7)</f>
        <v>279678</v>
      </c>
    </row>
    <row r="9" spans="1:26" s="11" customFormat="1" x14ac:dyDescent="0.25">
      <c r="A9" s="179" t="s">
        <v>333</v>
      </c>
      <c r="B9" s="177">
        <v>1675</v>
      </c>
      <c r="C9" s="180">
        <v>-2588</v>
      </c>
      <c r="D9" s="180">
        <v>-44870</v>
      </c>
      <c r="E9" s="180">
        <v>-23412</v>
      </c>
      <c r="F9" s="180">
        <v>-69085.011019999976</v>
      </c>
      <c r="G9" s="177">
        <f>SUM(C9:F9)</f>
        <v>-139955.01101999998</v>
      </c>
      <c r="H9" s="177">
        <v>-3</v>
      </c>
      <c r="I9" s="177">
        <v>-47455</v>
      </c>
      <c r="J9" s="177">
        <v>-10137</v>
      </c>
      <c r="K9" s="177">
        <v>-5497</v>
      </c>
      <c r="L9" s="177">
        <f>SUM(H9:K9)</f>
        <v>-63092</v>
      </c>
      <c r="M9" s="177">
        <v>-31934</v>
      </c>
      <c r="N9" s="177">
        <v>-6042</v>
      </c>
    </row>
    <row r="10" spans="1:26" s="32" customFormat="1" x14ac:dyDescent="0.25">
      <c r="A10" s="181" t="s">
        <v>334</v>
      </c>
      <c r="B10" s="182">
        <v>477699</v>
      </c>
      <c r="C10" s="182">
        <f t="shared" ref="C10:L10" si="1">C8+C9</f>
        <v>34538</v>
      </c>
      <c r="D10" s="182">
        <f t="shared" si="1"/>
        <v>143123</v>
      </c>
      <c r="E10" s="182">
        <f t="shared" si="1"/>
        <v>218333</v>
      </c>
      <c r="F10" s="182">
        <f t="shared" si="1"/>
        <v>299416.47135000036</v>
      </c>
      <c r="G10" s="182">
        <f t="shared" si="1"/>
        <v>695410.47135000036</v>
      </c>
      <c r="H10" s="182">
        <f t="shared" si="1"/>
        <v>229615</v>
      </c>
      <c r="I10" s="182">
        <f t="shared" si="1"/>
        <v>263206</v>
      </c>
      <c r="J10" s="182">
        <f t="shared" si="1"/>
        <v>150333.13629999995</v>
      </c>
      <c r="K10" s="182">
        <f t="shared" si="1"/>
        <v>99984</v>
      </c>
      <c r="L10" s="182">
        <f t="shared" si="1"/>
        <v>743138.1362999999</v>
      </c>
      <c r="M10" s="182">
        <f>M8+M9</f>
        <v>172007.84724</v>
      </c>
      <c r="N10" s="182">
        <f>N8+N9</f>
        <v>273636</v>
      </c>
    </row>
    <row r="11" spans="1:26" s="11" customFormat="1" x14ac:dyDescent="0.25">
      <c r="A11" s="179" t="s">
        <v>335</v>
      </c>
      <c r="B11" s="177">
        <v>-144826</v>
      </c>
      <c r="C11" s="180">
        <v>-22819</v>
      </c>
      <c r="D11" s="180">
        <v>-57561</v>
      </c>
      <c r="E11" s="180">
        <v>-96746</v>
      </c>
      <c r="F11" s="180">
        <v>-52105</v>
      </c>
      <c r="G11" s="180">
        <f t="shared" ref="G11:G17" si="2">SUM(C11:F11)</f>
        <v>-229231</v>
      </c>
      <c r="H11" s="180">
        <v>-20780</v>
      </c>
      <c r="I11" s="180">
        <v>-19356</v>
      </c>
      <c r="J11" s="180">
        <v>-12359</v>
      </c>
      <c r="K11" s="180">
        <v>-62736</v>
      </c>
      <c r="L11" s="180">
        <f t="shared" ref="L11:L17" si="3">SUM(H11:K11)</f>
        <v>-115231</v>
      </c>
      <c r="M11" s="177">
        <v>-11933.847240000003</v>
      </c>
      <c r="N11" s="177">
        <v>-16895</v>
      </c>
    </row>
    <row r="12" spans="1:26" s="11" customFormat="1" x14ac:dyDescent="0.25">
      <c r="A12" s="178" t="s">
        <v>336</v>
      </c>
      <c r="B12" s="175">
        <v>18644</v>
      </c>
      <c r="C12" s="175"/>
      <c r="D12" s="175">
        <v>0</v>
      </c>
      <c r="E12" s="175">
        <v>0</v>
      </c>
      <c r="F12" s="175"/>
      <c r="G12" s="175">
        <f t="shared" si="2"/>
        <v>0</v>
      </c>
      <c r="H12" s="175">
        <v>0</v>
      </c>
      <c r="I12" s="175">
        <v>0</v>
      </c>
      <c r="J12" s="175">
        <v>0</v>
      </c>
      <c r="K12" s="175">
        <v>0</v>
      </c>
      <c r="L12" s="175">
        <f t="shared" si="3"/>
        <v>0</v>
      </c>
      <c r="M12" s="175">
        <v>0</v>
      </c>
      <c r="N12" s="175">
        <v>0</v>
      </c>
    </row>
    <row r="13" spans="1:26" s="11" customFormat="1" x14ac:dyDescent="0.25">
      <c r="A13" s="179" t="s">
        <v>337</v>
      </c>
      <c r="B13" s="177">
        <v>0</v>
      </c>
      <c r="C13" s="177">
        <v>1777982</v>
      </c>
      <c r="D13" s="180">
        <v>0</v>
      </c>
      <c r="E13" s="180">
        <v>0</v>
      </c>
      <c r="F13" s="180">
        <v>0</v>
      </c>
      <c r="G13" s="180">
        <f t="shared" si="2"/>
        <v>1777982</v>
      </c>
      <c r="H13" s="180">
        <v>0</v>
      </c>
      <c r="I13" s="180">
        <v>0</v>
      </c>
      <c r="J13" s="180">
        <v>1450167</v>
      </c>
      <c r="K13" s="180">
        <v>0</v>
      </c>
      <c r="L13" s="180">
        <f t="shared" si="3"/>
        <v>1450167</v>
      </c>
      <c r="M13" s="177">
        <v>0</v>
      </c>
      <c r="N13" s="177">
        <v>0</v>
      </c>
    </row>
    <row r="14" spans="1:26" s="11" customFormat="1" x14ac:dyDescent="0.25">
      <c r="A14" s="178" t="s">
        <v>338</v>
      </c>
      <c r="B14" s="175">
        <v>-225594</v>
      </c>
      <c r="C14" s="175">
        <v>-40163</v>
      </c>
      <c r="D14" s="175">
        <v>-84413.4</v>
      </c>
      <c r="E14" s="175">
        <v>-46428</v>
      </c>
      <c r="F14" s="175">
        <v>-46732</v>
      </c>
      <c r="G14" s="175">
        <f t="shared" si="2"/>
        <v>-217736.4</v>
      </c>
      <c r="H14" s="175">
        <v>-11</v>
      </c>
      <c r="I14" s="175">
        <v>-11</v>
      </c>
      <c r="J14" s="175">
        <v>-1500011</v>
      </c>
      <c r="K14" s="175">
        <v>0</v>
      </c>
      <c r="L14" s="175">
        <f t="shared" si="3"/>
        <v>-1500033</v>
      </c>
      <c r="M14" s="175">
        <v>0</v>
      </c>
      <c r="N14" s="175">
        <v>0</v>
      </c>
    </row>
    <row r="15" spans="1:26" s="11" customFormat="1" x14ac:dyDescent="0.25">
      <c r="A15" s="179" t="s">
        <v>10</v>
      </c>
      <c r="B15" s="177">
        <v>0</v>
      </c>
      <c r="C15" s="180">
        <v>0</v>
      </c>
      <c r="D15" s="180">
        <v>-1398703</v>
      </c>
      <c r="E15" s="180">
        <v>0</v>
      </c>
      <c r="F15" s="180">
        <v>0</v>
      </c>
      <c r="G15" s="177">
        <f t="shared" si="2"/>
        <v>-1398703</v>
      </c>
      <c r="H15" s="177">
        <v>0</v>
      </c>
      <c r="I15" s="180">
        <v>0</v>
      </c>
      <c r="J15" s="180">
        <v>0</v>
      </c>
      <c r="K15" s="177">
        <v>0</v>
      </c>
      <c r="L15" s="177">
        <f t="shared" si="3"/>
        <v>0</v>
      </c>
      <c r="M15" s="177">
        <v>0</v>
      </c>
      <c r="N15" s="177">
        <v>0</v>
      </c>
    </row>
    <row r="16" spans="1:26" s="11" customFormat="1" x14ac:dyDescent="0.25">
      <c r="A16" s="178" t="s">
        <v>128</v>
      </c>
      <c r="B16" s="175">
        <v>-25573</v>
      </c>
      <c r="C16" s="175">
        <v>0</v>
      </c>
      <c r="D16" s="175">
        <v>-297164</v>
      </c>
      <c r="E16" s="175">
        <v>0</v>
      </c>
      <c r="F16" s="175">
        <v>0</v>
      </c>
      <c r="G16" s="175">
        <f t="shared" si="2"/>
        <v>-297164</v>
      </c>
      <c r="H16" s="175">
        <v>-85</v>
      </c>
      <c r="I16" s="175">
        <v>-409473</v>
      </c>
      <c r="J16" s="175">
        <v>-86</v>
      </c>
      <c r="K16" s="175">
        <v>-196457</v>
      </c>
      <c r="L16" s="175">
        <f t="shared" si="3"/>
        <v>-606101</v>
      </c>
      <c r="M16" s="175">
        <v>0</v>
      </c>
      <c r="N16" s="175">
        <v>-583990</v>
      </c>
    </row>
    <row r="17" spans="1:14" s="11" customFormat="1" x14ac:dyDescent="0.25">
      <c r="A17" s="183" t="s">
        <v>339</v>
      </c>
      <c r="B17" s="180" t="s">
        <v>18</v>
      </c>
      <c r="C17" s="180" t="s">
        <v>18</v>
      </c>
      <c r="D17" s="180" t="s">
        <v>18</v>
      </c>
      <c r="E17" s="180" t="s">
        <v>18</v>
      </c>
      <c r="F17" s="180" t="s">
        <v>18</v>
      </c>
      <c r="G17" s="180">
        <f t="shared" si="2"/>
        <v>0</v>
      </c>
      <c r="H17" s="180" t="s">
        <v>18</v>
      </c>
      <c r="I17" s="180" t="s">
        <v>18</v>
      </c>
      <c r="J17" s="180" t="s">
        <v>18</v>
      </c>
      <c r="K17" s="180" t="s">
        <v>18</v>
      </c>
      <c r="L17" s="180">
        <f t="shared" si="3"/>
        <v>0</v>
      </c>
      <c r="M17" s="180">
        <v>-3332</v>
      </c>
      <c r="N17" s="180">
        <v>0</v>
      </c>
    </row>
    <row r="18" spans="1:14" s="32" customFormat="1" x14ac:dyDescent="0.25">
      <c r="A18" s="181" t="s">
        <v>340</v>
      </c>
      <c r="B18" s="184">
        <v>100350</v>
      </c>
      <c r="C18" s="184">
        <f t="shared" ref="C18:L18" si="4">SUM(C10:C17)</f>
        <v>1749538</v>
      </c>
      <c r="D18" s="184">
        <f t="shared" si="4"/>
        <v>-1694718.4</v>
      </c>
      <c r="E18" s="184">
        <f t="shared" si="4"/>
        <v>75159</v>
      </c>
      <c r="F18" s="184">
        <f t="shared" si="4"/>
        <v>200579.47135000036</v>
      </c>
      <c r="G18" s="184">
        <f t="shared" si="4"/>
        <v>330558.07135000033</v>
      </c>
      <c r="H18" s="184">
        <f t="shared" si="4"/>
        <v>208739</v>
      </c>
      <c r="I18" s="184">
        <f t="shared" si="4"/>
        <v>-165634</v>
      </c>
      <c r="J18" s="184">
        <f t="shared" si="4"/>
        <v>88044.136299999896</v>
      </c>
      <c r="K18" s="184">
        <f t="shared" si="4"/>
        <v>-159209</v>
      </c>
      <c r="L18" s="184">
        <f t="shared" si="4"/>
        <v>-28059.863700000104</v>
      </c>
      <c r="M18" s="184">
        <f>SUM(M10:M17)</f>
        <v>156742</v>
      </c>
      <c r="N18" s="184">
        <f>SUM(N10:N17)</f>
        <v>-327249</v>
      </c>
    </row>
    <row r="19" spans="1:14" s="11" customFormat="1" x14ac:dyDescent="0.25">
      <c r="A19" s="183" t="s">
        <v>341</v>
      </c>
      <c r="B19" s="180">
        <v>310536</v>
      </c>
      <c r="C19" s="180">
        <v>410886</v>
      </c>
      <c r="D19" s="180">
        <v>2160424</v>
      </c>
      <c r="E19" s="180">
        <v>465706</v>
      </c>
      <c r="F19" s="180">
        <v>540865</v>
      </c>
      <c r="G19" s="180">
        <f>C19</f>
        <v>410886</v>
      </c>
      <c r="H19" s="180">
        <v>741444</v>
      </c>
      <c r="I19" s="180">
        <v>950183</v>
      </c>
      <c r="J19" s="180">
        <v>784548.8637000001</v>
      </c>
      <c r="K19" s="180">
        <v>872593</v>
      </c>
      <c r="L19" s="180">
        <f>H19</f>
        <v>741444</v>
      </c>
      <c r="M19" s="180">
        <v>713384</v>
      </c>
      <c r="N19" s="180">
        <v>870126</v>
      </c>
    </row>
    <row r="20" spans="1:14" s="11" customFormat="1" x14ac:dyDescent="0.25">
      <c r="A20" s="178" t="s">
        <v>342</v>
      </c>
      <c r="B20" s="175">
        <f t="shared" ref="B20:G20" si="5">SUM(B18:B19)</f>
        <v>410886</v>
      </c>
      <c r="C20" s="175">
        <f t="shared" si="5"/>
        <v>2160424</v>
      </c>
      <c r="D20" s="175">
        <f t="shared" si="5"/>
        <v>465705.60000000009</v>
      </c>
      <c r="E20" s="175">
        <f t="shared" si="5"/>
        <v>540865</v>
      </c>
      <c r="F20" s="175">
        <f t="shared" si="5"/>
        <v>741444.47135000036</v>
      </c>
      <c r="G20" s="175">
        <f t="shared" si="5"/>
        <v>741444.07135000033</v>
      </c>
      <c r="H20" s="175">
        <f>SUM(H18:H19)</f>
        <v>950183</v>
      </c>
      <c r="I20" s="175">
        <f t="shared" ref="I20:M20" si="6">SUM(I18:I19)</f>
        <v>784549</v>
      </c>
      <c r="J20" s="175">
        <f t="shared" si="6"/>
        <v>872593</v>
      </c>
      <c r="K20" s="175">
        <f t="shared" si="6"/>
        <v>713384</v>
      </c>
      <c r="L20" s="175">
        <f t="shared" si="6"/>
        <v>713384.1362999999</v>
      </c>
      <c r="M20" s="175">
        <f t="shared" si="6"/>
        <v>870126</v>
      </c>
      <c r="N20" s="175">
        <v>542877</v>
      </c>
    </row>
    <row r="21" spans="1:14" s="36" customFormat="1" x14ac:dyDescent="0.25">
      <c r="A21" s="177"/>
      <c r="B21" s="177"/>
      <c r="C21" s="177"/>
      <c r="D21" s="177"/>
      <c r="E21" s="177"/>
      <c r="F21" s="177"/>
      <c r="G21" s="177"/>
      <c r="H21" s="177"/>
      <c r="I21" s="177"/>
      <c r="J21" s="177"/>
      <c r="K21" s="177"/>
      <c r="L21" s="177"/>
      <c r="M21" s="177"/>
      <c r="N21" s="185"/>
    </row>
    <row r="22" spans="1:14" ht="14.25" customHeight="1" x14ac:dyDescent="0.2">
      <c r="A22" s="282" t="s">
        <v>372</v>
      </c>
      <c r="B22" s="282"/>
      <c r="C22" s="282"/>
      <c r="D22" s="282"/>
      <c r="E22" s="282"/>
      <c r="F22" s="186"/>
      <c r="G22" s="186"/>
      <c r="H22" s="186"/>
      <c r="I22" s="16"/>
      <c r="J22" s="187"/>
      <c r="K22" s="187"/>
      <c r="L22" s="177"/>
      <c r="M22" s="177"/>
      <c r="N22" s="16"/>
    </row>
    <row r="23" spans="1:14" x14ac:dyDescent="0.2">
      <c r="A23" s="282"/>
      <c r="B23" s="282"/>
      <c r="C23" s="282"/>
      <c r="D23" s="282"/>
      <c r="E23" s="282"/>
      <c r="F23" s="186"/>
      <c r="G23" s="186"/>
      <c r="H23" s="186"/>
      <c r="I23" s="16"/>
      <c r="J23" s="16"/>
      <c r="K23" s="16"/>
      <c r="L23" s="16"/>
      <c r="M23" s="16"/>
      <c r="N23" s="16"/>
    </row>
    <row r="24" spans="1:14" x14ac:dyDescent="0.2">
      <c r="A24" s="282"/>
      <c r="B24" s="282"/>
      <c r="C24" s="282"/>
      <c r="D24" s="282"/>
      <c r="E24" s="282"/>
      <c r="F24" s="186"/>
      <c r="G24" s="186"/>
      <c r="H24" s="186"/>
      <c r="I24" s="16"/>
      <c r="J24" s="177"/>
      <c r="K24" s="177"/>
      <c r="L24" s="177"/>
      <c r="M24" s="177"/>
      <c r="N24" s="177"/>
    </row>
    <row r="25" spans="1:14" x14ac:dyDescent="0.2">
      <c r="A25" s="282"/>
      <c r="B25" s="282"/>
      <c r="C25" s="282"/>
      <c r="D25" s="282"/>
      <c r="E25" s="282"/>
      <c r="F25" s="186"/>
      <c r="G25" s="186"/>
      <c r="H25" s="186"/>
      <c r="I25" s="16"/>
      <c r="J25" s="177"/>
      <c r="K25" s="177"/>
      <c r="L25" s="177"/>
      <c r="M25" s="177"/>
      <c r="N25" s="177"/>
    </row>
    <row r="26" spans="1:14" x14ac:dyDescent="0.2">
      <c r="A26" s="282"/>
      <c r="B26" s="282"/>
      <c r="C26" s="282"/>
      <c r="D26" s="282"/>
      <c r="E26" s="282"/>
      <c r="G26" s="38"/>
      <c r="H26" s="38"/>
      <c r="I26" s="38"/>
      <c r="J26" s="38"/>
      <c r="K26" s="38"/>
      <c r="L26" s="38"/>
      <c r="M26" s="38"/>
      <c r="N26" s="38"/>
    </row>
    <row r="27" spans="1:14" x14ac:dyDescent="0.2">
      <c r="A27" s="282"/>
      <c r="B27" s="282"/>
      <c r="C27" s="282"/>
      <c r="D27" s="282"/>
      <c r="E27" s="282"/>
      <c r="G27" s="38"/>
      <c r="H27" s="38"/>
      <c r="I27" s="38"/>
      <c r="J27" s="38"/>
      <c r="K27" s="38"/>
      <c r="L27" s="38"/>
      <c r="M27" s="38"/>
      <c r="N27" s="38"/>
    </row>
    <row r="28" spans="1:14" x14ac:dyDescent="0.2">
      <c r="A28" s="282"/>
      <c r="B28" s="282"/>
      <c r="C28" s="282"/>
      <c r="D28" s="282"/>
      <c r="E28" s="282"/>
      <c r="F28" s="38"/>
      <c r="G28" s="38"/>
      <c r="H28" s="38"/>
      <c r="I28" s="38"/>
      <c r="J28" s="38"/>
      <c r="K28" s="38"/>
      <c r="L28" s="38"/>
      <c r="M28" s="38"/>
      <c r="N28" s="38"/>
    </row>
    <row r="29" spans="1:14" x14ac:dyDescent="0.2">
      <c r="C29" s="38"/>
      <c r="D29" s="38"/>
      <c r="E29" s="38"/>
      <c r="F29" s="38"/>
      <c r="G29" s="38"/>
      <c r="H29" s="38"/>
      <c r="I29" s="38"/>
      <c r="J29" s="38"/>
      <c r="K29" s="38"/>
      <c r="L29" s="38"/>
      <c r="M29" s="38"/>
      <c r="N29" s="38"/>
    </row>
    <row r="30" spans="1:14" x14ac:dyDescent="0.2">
      <c r="C30" s="38"/>
      <c r="D30" s="38"/>
      <c r="E30" s="38"/>
      <c r="F30" s="38"/>
      <c r="G30" s="38"/>
      <c r="H30" s="38"/>
      <c r="I30" s="38"/>
      <c r="J30" s="38"/>
      <c r="K30" s="38"/>
      <c r="L30" s="38"/>
      <c r="M30" s="38"/>
      <c r="N30" s="38"/>
    </row>
    <row r="31" spans="1:14" x14ac:dyDescent="0.2">
      <c r="C31" s="38"/>
      <c r="D31" s="38"/>
      <c r="E31" s="38"/>
      <c r="F31" s="38"/>
      <c r="G31" s="38"/>
      <c r="H31" s="38"/>
      <c r="I31" s="38"/>
      <c r="J31" s="38"/>
      <c r="K31" s="38"/>
      <c r="L31" s="38"/>
      <c r="M31" s="38"/>
      <c r="N31" s="38"/>
    </row>
    <row r="32" spans="1:14" x14ac:dyDescent="0.2">
      <c r="C32" s="38"/>
      <c r="D32" s="38"/>
      <c r="E32" s="38"/>
      <c r="F32" s="38"/>
      <c r="G32" s="38"/>
      <c r="H32" s="38"/>
      <c r="I32" s="38"/>
      <c r="J32" s="38"/>
      <c r="K32" s="38"/>
      <c r="L32" s="38"/>
      <c r="M32" s="38"/>
      <c r="N32" s="38"/>
    </row>
    <row r="33" spans="3:14" x14ac:dyDescent="0.2">
      <c r="C33" s="38"/>
      <c r="D33" s="38"/>
      <c r="E33" s="38"/>
      <c r="F33" s="38"/>
      <c r="G33" s="38"/>
      <c r="H33" s="38"/>
      <c r="I33" s="38"/>
      <c r="J33" s="38"/>
      <c r="K33" s="38"/>
      <c r="L33" s="38"/>
      <c r="M33" s="38"/>
      <c r="N33" s="38"/>
    </row>
    <row r="34" spans="3:14" x14ac:dyDescent="0.2">
      <c r="C34" s="38"/>
      <c r="D34" s="38"/>
      <c r="E34" s="38"/>
      <c r="F34" s="38"/>
      <c r="G34" s="38"/>
      <c r="H34" s="38"/>
      <c r="I34" s="38"/>
      <c r="J34" s="38"/>
      <c r="K34" s="38"/>
      <c r="L34" s="38"/>
      <c r="M34" s="38"/>
      <c r="N34" s="38"/>
    </row>
  </sheetData>
  <mergeCells count="2">
    <mergeCell ref="B1:N1"/>
    <mergeCell ref="A22:E28"/>
  </mergeCells>
  <pageMargins left="0.511811024" right="0.511811024" top="0.78740157499999996" bottom="0.78740157499999996" header="0.31496062000000002" footer="0.31496062000000002"/>
  <pageSetup paperSize="9" orientation="portrait" r:id="rId1"/>
  <ignoredErrors>
    <ignoredError sqref="G11:G16 G4:G7" formulaRange="1"/>
    <ignoredError sqref="G8:G10 L5" formula="1" formulaRange="1"/>
    <ignoredError sqref="L6:L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3B97-3B52-4712-9065-A97EEA68AA51}">
  <sheetPr codeName="Planilha4"/>
  <dimension ref="A1:Z72"/>
  <sheetViews>
    <sheetView showGridLines="0" zoomScale="85" zoomScaleNormal="85" workbookViewId="0">
      <pane xSplit="1" ySplit="3" topLeftCell="B4" activePane="bottomRight" state="frozen"/>
      <selection activeCell="M14" sqref="M13:M14"/>
      <selection pane="topRight" activeCell="M14" sqref="M13:M14"/>
      <selection pane="bottomLeft" activeCell="M14" sqref="M13:M14"/>
      <selection pane="bottomRight" activeCell="F64" sqref="F64"/>
    </sheetView>
  </sheetViews>
  <sheetFormatPr defaultColWidth="9.140625" defaultRowHeight="12.75" x14ac:dyDescent="0.2"/>
  <cols>
    <col min="1" max="1" width="37.7109375" style="9" customWidth="1"/>
    <col min="2" max="11" width="11.28515625" style="9" bestFit="1" customWidth="1"/>
    <col min="12" max="12" width="13.140625" style="9" bestFit="1" customWidth="1"/>
    <col min="13" max="16384" width="9.140625" style="9"/>
  </cols>
  <sheetData>
    <row r="1" spans="1:26" ht="54.75" customHeight="1" x14ac:dyDescent="0.2">
      <c r="A1" s="8"/>
      <c r="B1" s="281" t="s">
        <v>266</v>
      </c>
      <c r="C1" s="281"/>
      <c r="D1" s="281"/>
      <c r="E1" s="281"/>
      <c r="F1" s="281"/>
      <c r="G1" s="281"/>
      <c r="H1" s="281"/>
      <c r="I1" s="281"/>
      <c r="J1" s="281"/>
      <c r="K1" s="281"/>
      <c r="L1" s="281"/>
      <c r="M1" s="173"/>
      <c r="N1" s="173"/>
      <c r="O1" s="173"/>
      <c r="P1" s="173"/>
      <c r="Q1" s="173"/>
      <c r="R1" s="173"/>
      <c r="S1" s="173"/>
      <c r="T1" s="173"/>
      <c r="U1" s="173"/>
      <c r="V1" s="173"/>
      <c r="W1" s="173"/>
      <c r="X1" s="173"/>
      <c r="Y1" s="173"/>
      <c r="Z1" s="173"/>
    </row>
    <row r="2" spans="1:26" ht="8.25" customHeight="1" x14ac:dyDescent="0.2"/>
    <row r="3" spans="1:26" s="35" customFormat="1" ht="21" customHeight="1" thickBot="1" x14ac:dyDescent="0.3">
      <c r="A3" s="62" t="s">
        <v>265</v>
      </c>
      <c r="B3" s="277">
        <v>43465</v>
      </c>
      <c r="C3" s="277">
        <v>43555</v>
      </c>
      <c r="D3" s="277">
        <v>43646</v>
      </c>
      <c r="E3" s="277">
        <v>43738</v>
      </c>
      <c r="F3" s="277">
        <v>43830</v>
      </c>
      <c r="G3" s="277">
        <v>43921</v>
      </c>
      <c r="H3" s="277">
        <v>44012</v>
      </c>
      <c r="I3" s="277">
        <v>44104</v>
      </c>
      <c r="J3" s="277">
        <v>44196</v>
      </c>
      <c r="K3" s="277">
        <v>44286</v>
      </c>
      <c r="L3" s="277">
        <v>44377</v>
      </c>
    </row>
    <row r="4" spans="1:26" s="39" customFormat="1" x14ac:dyDescent="0.2">
      <c r="A4" s="40" t="s">
        <v>287</v>
      </c>
      <c r="B4" s="41">
        <f>SUM(B5:B11)</f>
        <v>854999</v>
      </c>
      <c r="C4" s="41">
        <f t="shared" ref="C4:L4" si="0">SUM(C5:C11)</f>
        <v>2512685</v>
      </c>
      <c r="D4" s="41">
        <f t="shared" si="0"/>
        <v>782557</v>
      </c>
      <c r="E4" s="41">
        <f t="shared" si="0"/>
        <v>855064</v>
      </c>
      <c r="F4" s="41">
        <f t="shared" si="0"/>
        <v>1018007</v>
      </c>
      <c r="G4" s="41">
        <f t="shared" si="0"/>
        <v>1325619</v>
      </c>
      <c r="H4" s="41">
        <f t="shared" si="0"/>
        <v>1160785</v>
      </c>
      <c r="I4" s="41">
        <f t="shared" si="0"/>
        <v>1242959</v>
      </c>
      <c r="J4" s="41">
        <f t="shared" si="0"/>
        <v>1118857</v>
      </c>
      <c r="K4" s="41">
        <f t="shared" si="0"/>
        <v>1294499</v>
      </c>
      <c r="L4" s="41">
        <f t="shared" si="0"/>
        <v>934521</v>
      </c>
    </row>
    <row r="5" spans="1:26" s="11" customFormat="1" x14ac:dyDescent="0.25">
      <c r="A5" s="15" t="s">
        <v>288</v>
      </c>
      <c r="B5" s="38">
        <v>410886</v>
      </c>
      <c r="C5" s="38">
        <v>2160424</v>
      </c>
      <c r="D5" s="38">
        <v>465706</v>
      </c>
      <c r="E5" s="38">
        <v>540865</v>
      </c>
      <c r="F5" s="38">
        <v>690276</v>
      </c>
      <c r="G5" s="38">
        <v>950183</v>
      </c>
      <c r="H5" s="38">
        <v>784549</v>
      </c>
      <c r="I5" s="38">
        <v>872593</v>
      </c>
      <c r="J5" s="38">
        <v>713384</v>
      </c>
      <c r="K5" s="38">
        <v>870126</v>
      </c>
      <c r="L5" s="38">
        <v>542877</v>
      </c>
    </row>
    <row r="6" spans="1:26" s="11" customFormat="1" x14ac:dyDescent="0.25">
      <c r="A6" s="42" t="s">
        <v>289</v>
      </c>
      <c r="B6" s="43">
        <v>0</v>
      </c>
      <c r="C6" s="43">
        <v>0</v>
      </c>
      <c r="D6" s="43">
        <v>0</v>
      </c>
      <c r="E6" s="43">
        <v>1344</v>
      </c>
      <c r="F6" s="43">
        <v>18718</v>
      </c>
      <c r="G6" s="43">
        <v>0</v>
      </c>
      <c r="H6" s="43">
        <v>0</v>
      </c>
      <c r="I6" s="43">
        <v>0</v>
      </c>
      <c r="J6" s="43">
        <v>0</v>
      </c>
      <c r="K6" s="43" t="s">
        <v>18</v>
      </c>
      <c r="L6" s="43">
        <v>0</v>
      </c>
    </row>
    <row r="7" spans="1:26" s="11" customFormat="1" x14ac:dyDescent="0.25">
      <c r="A7" s="15" t="s">
        <v>290</v>
      </c>
      <c r="B7" s="38">
        <v>240802</v>
      </c>
      <c r="C7" s="38">
        <v>161641</v>
      </c>
      <c r="D7" s="38">
        <v>180946</v>
      </c>
      <c r="E7" s="38">
        <v>182662</v>
      </c>
      <c r="F7" s="38">
        <v>198930</v>
      </c>
      <c r="G7" s="38">
        <v>237155</v>
      </c>
      <c r="H7" s="38">
        <v>236967</v>
      </c>
      <c r="I7" s="38">
        <v>237493</v>
      </c>
      <c r="J7" s="38">
        <v>272817</v>
      </c>
      <c r="K7" s="38">
        <v>284147</v>
      </c>
      <c r="L7" s="38">
        <v>239618</v>
      </c>
    </row>
    <row r="8" spans="1:26" s="11" customFormat="1" x14ac:dyDescent="0.25">
      <c r="A8" s="42" t="s">
        <v>291</v>
      </c>
      <c r="B8" s="43">
        <v>79203</v>
      </c>
      <c r="C8" s="43">
        <v>61615</v>
      </c>
      <c r="D8" s="43">
        <v>36038</v>
      </c>
      <c r="E8" s="43">
        <v>24312</v>
      </c>
      <c r="F8" s="43">
        <v>8357</v>
      </c>
      <c r="G8" s="43">
        <v>18032</v>
      </c>
      <c r="H8" s="43">
        <v>20393</v>
      </c>
      <c r="I8" s="43">
        <v>24369</v>
      </c>
      <c r="J8" s="43">
        <v>61190</v>
      </c>
      <c r="K8" s="43">
        <v>71304</v>
      </c>
      <c r="L8" s="43">
        <v>78206</v>
      </c>
    </row>
    <row r="9" spans="1:26" s="11" customFormat="1" x14ac:dyDescent="0.25">
      <c r="A9" s="15" t="s">
        <v>292</v>
      </c>
      <c r="B9" s="38">
        <v>0</v>
      </c>
      <c r="C9" s="38">
        <v>0</v>
      </c>
      <c r="D9" s="38">
        <v>0</v>
      </c>
      <c r="E9" s="38">
        <v>0</v>
      </c>
      <c r="F9" s="38">
        <v>0</v>
      </c>
      <c r="G9" s="38">
        <v>22230</v>
      </c>
      <c r="H9" s="38">
        <v>18686</v>
      </c>
      <c r="I9" s="38">
        <v>11085</v>
      </c>
      <c r="J9" s="38">
        <v>0</v>
      </c>
      <c r="K9" s="38">
        <v>1513</v>
      </c>
      <c r="L9" s="38">
        <v>0</v>
      </c>
    </row>
    <row r="10" spans="1:26" s="11" customFormat="1" x14ac:dyDescent="0.25">
      <c r="A10" s="42" t="s">
        <v>293</v>
      </c>
      <c r="B10" s="43">
        <v>15580</v>
      </c>
      <c r="C10" s="43">
        <v>15248</v>
      </c>
      <c r="D10" s="43">
        <v>15021</v>
      </c>
      <c r="E10" s="43">
        <v>17738</v>
      </c>
      <c r="F10" s="43">
        <v>11186</v>
      </c>
      <c r="G10" s="43">
        <v>5486</v>
      </c>
      <c r="H10" s="43">
        <v>3955</v>
      </c>
      <c r="I10" s="43">
        <v>3134</v>
      </c>
      <c r="J10" s="43">
        <v>1957</v>
      </c>
      <c r="K10" s="43">
        <v>961</v>
      </c>
      <c r="L10" s="43">
        <v>4153</v>
      </c>
    </row>
    <row r="11" spans="1:26" s="11" customFormat="1" x14ac:dyDescent="0.25">
      <c r="A11" s="15" t="s">
        <v>294</v>
      </c>
      <c r="B11" s="38">
        <v>108528</v>
      </c>
      <c r="C11" s="38">
        <v>113757</v>
      </c>
      <c r="D11" s="38">
        <v>84846</v>
      </c>
      <c r="E11" s="38">
        <v>88143</v>
      </c>
      <c r="F11" s="38">
        <v>90540</v>
      </c>
      <c r="G11" s="38">
        <v>92533</v>
      </c>
      <c r="H11" s="38">
        <v>96235</v>
      </c>
      <c r="I11" s="38">
        <v>94285</v>
      </c>
      <c r="J11" s="38">
        <v>69509</v>
      </c>
      <c r="K11" s="38">
        <v>66448</v>
      </c>
      <c r="L11" s="38">
        <v>69667</v>
      </c>
    </row>
    <row r="12" spans="1:26" s="32" customFormat="1" ht="15" customHeight="1" x14ac:dyDescent="0.25">
      <c r="A12" s="44" t="s">
        <v>295</v>
      </c>
      <c r="B12" s="45">
        <f>SUM(B13:B24)</f>
        <v>9471501</v>
      </c>
      <c r="C12" s="45">
        <f t="shared" ref="C12:L12" si="1">SUM(C13:C24)</f>
        <v>9394636</v>
      </c>
      <c r="D12" s="45">
        <f t="shared" si="1"/>
        <v>10897515</v>
      </c>
      <c r="E12" s="45">
        <f t="shared" si="1"/>
        <v>10794376</v>
      </c>
      <c r="F12" s="45">
        <f t="shared" si="1"/>
        <v>11909068</v>
      </c>
      <c r="G12" s="45">
        <f t="shared" si="1"/>
        <v>11800971</v>
      </c>
      <c r="H12" s="45">
        <f t="shared" si="1"/>
        <v>11635777</v>
      </c>
      <c r="I12" s="45">
        <f t="shared" si="1"/>
        <v>11518960</v>
      </c>
      <c r="J12" s="45">
        <f t="shared" si="1"/>
        <v>13433007</v>
      </c>
      <c r="K12" s="45">
        <f t="shared" si="1"/>
        <v>13246752</v>
      </c>
      <c r="L12" s="45">
        <f t="shared" si="1"/>
        <v>13151648</v>
      </c>
    </row>
    <row r="13" spans="1:26" s="11" customFormat="1" x14ac:dyDescent="0.25">
      <c r="A13" s="46" t="s">
        <v>289</v>
      </c>
      <c r="B13" s="47">
        <v>0</v>
      </c>
      <c r="C13" s="47">
        <v>0</v>
      </c>
      <c r="D13" s="47">
        <v>0</v>
      </c>
      <c r="E13" s="47">
        <v>2563</v>
      </c>
      <c r="F13" s="47">
        <v>21225</v>
      </c>
      <c r="G13" s="47">
        <v>0</v>
      </c>
      <c r="H13" s="47">
        <v>0</v>
      </c>
      <c r="I13" s="47">
        <v>0</v>
      </c>
      <c r="J13" s="47">
        <v>0</v>
      </c>
      <c r="K13" s="47" t="s">
        <v>18</v>
      </c>
      <c r="L13" s="47">
        <v>0</v>
      </c>
    </row>
    <row r="14" spans="1:26" s="11" customFormat="1" x14ac:dyDescent="0.25">
      <c r="A14" s="48" t="s">
        <v>292</v>
      </c>
      <c r="B14" s="49">
        <v>0</v>
      </c>
      <c r="C14" s="49">
        <v>0</v>
      </c>
      <c r="D14" s="49">
        <v>0</v>
      </c>
      <c r="E14" s="49">
        <v>0</v>
      </c>
      <c r="F14" s="49">
        <v>0</v>
      </c>
      <c r="G14" s="49">
        <v>2610</v>
      </c>
      <c r="H14" s="49">
        <v>3555</v>
      </c>
      <c r="I14" s="49">
        <v>2751</v>
      </c>
      <c r="J14" s="49">
        <v>0</v>
      </c>
      <c r="K14" s="49">
        <v>0</v>
      </c>
      <c r="L14" s="49">
        <v>0</v>
      </c>
    </row>
    <row r="15" spans="1:26" s="11" customFormat="1" x14ac:dyDescent="0.25">
      <c r="A15" s="46" t="s">
        <v>296</v>
      </c>
      <c r="B15" s="47">
        <v>536254</v>
      </c>
      <c r="C15" s="47">
        <v>544472</v>
      </c>
      <c r="D15" s="47">
        <v>556114</v>
      </c>
      <c r="E15" s="47">
        <v>545462</v>
      </c>
      <c r="F15" s="47">
        <v>343979</v>
      </c>
      <c r="G15" s="47">
        <v>332187</v>
      </c>
      <c r="H15" s="47">
        <v>292940</v>
      </c>
      <c r="I15" s="47">
        <v>268739</v>
      </c>
      <c r="J15" s="47">
        <v>260496</v>
      </c>
      <c r="K15" s="47">
        <v>218870</v>
      </c>
      <c r="L15" s="47">
        <v>217483</v>
      </c>
    </row>
    <row r="16" spans="1:26" s="11" customFormat="1" x14ac:dyDescent="0.25">
      <c r="A16" s="48" t="s">
        <v>297</v>
      </c>
      <c r="B16" s="49">
        <v>579226</v>
      </c>
      <c r="C16" s="49">
        <v>575755</v>
      </c>
      <c r="D16" s="49">
        <v>571603</v>
      </c>
      <c r="E16" s="49">
        <v>571603</v>
      </c>
      <c r="F16" s="49">
        <v>1877412</v>
      </c>
      <c r="G16" s="49">
        <v>1947308</v>
      </c>
      <c r="H16" s="49">
        <v>1915075</v>
      </c>
      <c r="I16" s="49">
        <v>1920530</v>
      </c>
      <c r="J16" s="49">
        <v>3954680</v>
      </c>
      <c r="K16" s="49">
        <v>3908905</v>
      </c>
      <c r="L16" s="49">
        <v>3908192</v>
      </c>
    </row>
    <row r="17" spans="1:12" s="11" customFormat="1" x14ac:dyDescent="0.25">
      <c r="A17" s="46" t="s">
        <v>298</v>
      </c>
      <c r="B17" s="47">
        <v>4302</v>
      </c>
      <c r="C17" s="47">
        <v>4407</v>
      </c>
      <c r="D17" s="47">
        <v>4713</v>
      </c>
      <c r="E17" s="47">
        <v>5060</v>
      </c>
      <c r="F17" s="47">
        <v>7611</v>
      </c>
      <c r="G17" s="47">
        <v>8584</v>
      </c>
      <c r="H17" s="47">
        <v>6170</v>
      </c>
      <c r="I17" s="47">
        <v>6041</v>
      </c>
      <c r="J17" s="47">
        <v>6023</v>
      </c>
      <c r="K17" s="47">
        <v>5959</v>
      </c>
      <c r="L17" s="47">
        <v>5918</v>
      </c>
    </row>
    <row r="18" spans="1:12" s="11" customFormat="1" x14ac:dyDescent="0.25">
      <c r="A18" s="48" t="s">
        <v>299</v>
      </c>
      <c r="B18" s="49">
        <v>1949430</v>
      </c>
      <c r="C18" s="49">
        <v>1949430</v>
      </c>
      <c r="D18" s="49">
        <v>1949430</v>
      </c>
      <c r="E18" s="49">
        <v>1949430</v>
      </c>
      <c r="F18" s="49">
        <v>1719390</v>
      </c>
      <c r="G18" s="49">
        <v>1719390</v>
      </c>
      <c r="H18" s="49">
        <v>1719390</v>
      </c>
      <c r="I18" s="49">
        <v>1719390</v>
      </c>
      <c r="J18" s="49">
        <v>1739161</v>
      </c>
      <c r="K18" s="49">
        <v>1739161</v>
      </c>
      <c r="L18" s="49">
        <v>1739161</v>
      </c>
    </row>
    <row r="19" spans="1:12" s="11" customFormat="1" x14ac:dyDescent="0.25">
      <c r="A19" s="46" t="s">
        <v>300</v>
      </c>
      <c r="B19" s="47">
        <v>0</v>
      </c>
      <c r="C19" s="47">
        <v>0</v>
      </c>
      <c r="D19" s="47">
        <v>0</v>
      </c>
      <c r="E19" s="47">
        <v>1000</v>
      </c>
      <c r="F19" s="47">
        <v>51102</v>
      </c>
      <c r="G19" s="47">
        <v>0</v>
      </c>
      <c r="H19" s="47">
        <v>0</v>
      </c>
      <c r="I19" s="47">
        <v>0</v>
      </c>
      <c r="J19" s="47">
        <v>0</v>
      </c>
      <c r="K19" s="47">
        <v>0</v>
      </c>
      <c r="L19" s="47">
        <v>0</v>
      </c>
    </row>
    <row r="20" spans="1:12" s="11" customFormat="1" x14ac:dyDescent="0.25">
      <c r="A20" s="48" t="s">
        <v>301</v>
      </c>
      <c r="B20" s="49">
        <v>36800</v>
      </c>
      <c r="C20" s="49">
        <v>35536</v>
      </c>
      <c r="D20" s="49">
        <v>1603567</v>
      </c>
      <c r="E20" s="49">
        <v>1588087</v>
      </c>
      <c r="F20" s="49">
        <v>1575300</v>
      </c>
      <c r="G20" s="49">
        <v>1560881</v>
      </c>
      <c r="H20" s="49">
        <v>1548484</v>
      </c>
      <c r="I20" s="49">
        <v>1535257</v>
      </c>
      <c r="J20" s="49">
        <v>1509895</v>
      </c>
      <c r="K20" s="49">
        <v>1495452</v>
      </c>
      <c r="L20" s="49">
        <v>1482468</v>
      </c>
    </row>
    <row r="21" spans="1:12" s="11" customFormat="1" x14ac:dyDescent="0.25">
      <c r="A21" s="46" t="s">
        <v>302</v>
      </c>
      <c r="B21" s="47">
        <v>6356617</v>
      </c>
      <c r="C21" s="47">
        <v>6279920</v>
      </c>
      <c r="D21" s="47">
        <v>6202984</v>
      </c>
      <c r="E21" s="47">
        <v>6122386</v>
      </c>
      <c r="F21" s="47">
        <v>6305943</v>
      </c>
      <c r="G21" s="47">
        <v>6222653</v>
      </c>
      <c r="H21" s="47">
        <v>6143150</v>
      </c>
      <c r="I21" s="47">
        <v>6059584</v>
      </c>
      <c r="J21" s="47">
        <v>5956429</v>
      </c>
      <c r="K21" s="47">
        <v>5872427</v>
      </c>
      <c r="L21" s="47">
        <v>5792444</v>
      </c>
    </row>
    <row r="22" spans="1:12" s="11" customFormat="1" x14ac:dyDescent="0.25">
      <c r="A22" s="48" t="s">
        <v>303</v>
      </c>
      <c r="B22" s="49">
        <v>0</v>
      </c>
      <c r="C22" s="49">
        <v>0</v>
      </c>
      <c r="D22" s="49">
        <v>0</v>
      </c>
      <c r="E22" s="49">
        <v>7424</v>
      </c>
      <c r="F22" s="49">
        <v>7106</v>
      </c>
      <c r="G22" s="49">
        <v>7358</v>
      </c>
      <c r="H22" s="49">
        <v>7013</v>
      </c>
      <c r="I22" s="49">
        <v>6668</v>
      </c>
      <c r="J22" s="49">
        <v>6323</v>
      </c>
      <c r="K22" s="49">
        <v>5978</v>
      </c>
      <c r="L22" s="49">
        <v>5982</v>
      </c>
    </row>
    <row r="23" spans="1:12" s="11" customFormat="1" x14ac:dyDescent="0.25">
      <c r="A23" s="46" t="s">
        <v>293</v>
      </c>
      <c r="B23" s="47">
        <v>7511</v>
      </c>
      <c r="C23" s="47">
        <v>3755</v>
      </c>
      <c r="D23" s="47">
        <v>0</v>
      </c>
      <c r="E23" s="47">
        <v>0</v>
      </c>
      <c r="F23" s="47">
        <v>0</v>
      </c>
      <c r="G23" s="47">
        <v>0</v>
      </c>
      <c r="H23" s="47">
        <v>0</v>
      </c>
      <c r="I23" s="47">
        <v>0</v>
      </c>
      <c r="J23" s="47">
        <v>0</v>
      </c>
      <c r="K23" s="47">
        <v>0</v>
      </c>
      <c r="L23" s="47">
        <v>0</v>
      </c>
    </row>
    <row r="24" spans="1:12" s="11" customFormat="1" x14ac:dyDescent="0.25">
      <c r="A24" s="48" t="s">
        <v>294</v>
      </c>
      <c r="B24" s="49">
        <v>1361</v>
      </c>
      <c r="C24" s="49">
        <v>1361</v>
      </c>
      <c r="D24" s="49">
        <v>9104</v>
      </c>
      <c r="E24" s="49">
        <v>1361</v>
      </c>
      <c r="F24" s="49">
        <v>0</v>
      </c>
      <c r="G24" s="49">
        <v>0</v>
      </c>
      <c r="H24" s="49">
        <v>0</v>
      </c>
      <c r="I24" s="49">
        <v>0</v>
      </c>
      <c r="J24" s="49">
        <v>0</v>
      </c>
      <c r="K24" s="49">
        <v>0</v>
      </c>
      <c r="L24" s="49">
        <v>0</v>
      </c>
    </row>
    <row r="25" spans="1:12" s="52" customFormat="1" x14ac:dyDescent="0.25">
      <c r="A25" s="50" t="s">
        <v>304</v>
      </c>
      <c r="B25" s="51">
        <f>B12+B4</f>
        <v>10326500</v>
      </c>
      <c r="C25" s="51">
        <f t="shared" ref="C25:L25" si="2">C12+C4</f>
        <v>11907321</v>
      </c>
      <c r="D25" s="51">
        <f t="shared" si="2"/>
        <v>11680072</v>
      </c>
      <c r="E25" s="51">
        <f t="shared" si="2"/>
        <v>11649440</v>
      </c>
      <c r="F25" s="51">
        <f t="shared" si="2"/>
        <v>12927075</v>
      </c>
      <c r="G25" s="51">
        <f t="shared" si="2"/>
        <v>13126590</v>
      </c>
      <c r="H25" s="51">
        <f t="shared" si="2"/>
        <v>12796562</v>
      </c>
      <c r="I25" s="51">
        <f t="shared" si="2"/>
        <v>12761919</v>
      </c>
      <c r="J25" s="51">
        <f t="shared" si="2"/>
        <v>14551864</v>
      </c>
      <c r="K25" s="51">
        <f t="shared" si="2"/>
        <v>14541251</v>
      </c>
      <c r="L25" s="51">
        <f t="shared" si="2"/>
        <v>14086169</v>
      </c>
    </row>
    <row r="26" spans="1:12" s="52" customFormat="1" x14ac:dyDescent="0.25">
      <c r="A26" s="44"/>
      <c r="B26" s="45"/>
      <c r="C26" s="45"/>
      <c r="D26" s="45"/>
      <c r="E26" s="45"/>
      <c r="F26" s="45"/>
      <c r="G26" s="45"/>
      <c r="H26" s="45"/>
      <c r="I26" s="45"/>
      <c r="J26" s="45"/>
      <c r="K26" s="45"/>
      <c r="L26" s="45"/>
    </row>
    <row r="27" spans="1:12" s="32" customFormat="1" x14ac:dyDescent="0.25">
      <c r="A27" s="13" t="s">
        <v>305</v>
      </c>
      <c r="B27" s="53">
        <f>SUM(B28:B39)</f>
        <v>884398</v>
      </c>
      <c r="C27" s="53">
        <f t="shared" ref="C27:L27" si="3">SUM(C28:C39)</f>
        <v>847093</v>
      </c>
      <c r="D27" s="53">
        <f t="shared" si="3"/>
        <v>472280</v>
      </c>
      <c r="E27" s="53">
        <f t="shared" si="3"/>
        <v>392722</v>
      </c>
      <c r="F27" s="53">
        <f t="shared" si="3"/>
        <v>954179</v>
      </c>
      <c r="G27" s="53">
        <f t="shared" si="3"/>
        <v>1077777</v>
      </c>
      <c r="H27" s="53">
        <f t="shared" si="3"/>
        <v>743808</v>
      </c>
      <c r="I27" s="53">
        <f t="shared" si="3"/>
        <v>733938</v>
      </c>
      <c r="J27" s="53">
        <f t="shared" si="3"/>
        <v>1050593</v>
      </c>
      <c r="K27" s="53">
        <f t="shared" si="3"/>
        <v>1286447</v>
      </c>
      <c r="L27" s="53">
        <f t="shared" si="3"/>
        <v>692926</v>
      </c>
    </row>
    <row r="28" spans="1:12" s="11" customFormat="1" x14ac:dyDescent="0.25">
      <c r="A28" s="42" t="s">
        <v>306</v>
      </c>
      <c r="B28" s="43">
        <v>175417</v>
      </c>
      <c r="C28" s="43">
        <v>130639</v>
      </c>
      <c r="D28" s="43">
        <v>134508</v>
      </c>
      <c r="E28" s="43">
        <v>41771</v>
      </c>
      <c r="F28" s="43">
        <v>44579</v>
      </c>
      <c r="G28" s="43">
        <v>41849</v>
      </c>
      <c r="H28" s="43">
        <v>67484</v>
      </c>
      <c r="I28" s="43">
        <v>69021</v>
      </c>
      <c r="J28" s="43">
        <v>103080</v>
      </c>
      <c r="K28" s="43">
        <v>105192</v>
      </c>
      <c r="L28" s="43">
        <v>110609</v>
      </c>
    </row>
    <row r="29" spans="1:12" s="11" customFormat="1" x14ac:dyDescent="0.25">
      <c r="A29" s="54" t="s">
        <v>307</v>
      </c>
      <c r="B29" s="55">
        <v>214556</v>
      </c>
      <c r="C29" s="55">
        <v>205733</v>
      </c>
      <c r="D29" s="55">
        <v>91380</v>
      </c>
      <c r="E29" s="55">
        <v>83476</v>
      </c>
      <c r="F29" s="55">
        <v>3002</v>
      </c>
      <c r="G29" s="55">
        <v>25446</v>
      </c>
      <c r="H29" s="55">
        <v>1889</v>
      </c>
      <c r="I29" s="55">
        <v>4459</v>
      </c>
      <c r="J29" s="55">
        <v>18220</v>
      </c>
      <c r="K29" s="55">
        <v>5398</v>
      </c>
      <c r="L29" s="55">
        <v>20019</v>
      </c>
    </row>
    <row r="30" spans="1:12" s="11" customFormat="1" x14ac:dyDescent="0.25">
      <c r="A30" s="48" t="s">
        <v>308</v>
      </c>
      <c r="B30" s="56">
        <v>0</v>
      </c>
      <c r="C30" s="56">
        <v>0</v>
      </c>
      <c r="D30" s="56">
        <v>0</v>
      </c>
      <c r="E30" s="56">
        <v>1584</v>
      </c>
      <c r="F30" s="56">
        <v>1584</v>
      </c>
      <c r="G30" s="56">
        <v>1700</v>
      </c>
      <c r="H30" s="56">
        <v>1700</v>
      </c>
      <c r="I30" s="56">
        <v>1700</v>
      </c>
      <c r="J30" s="56">
        <v>1700</v>
      </c>
      <c r="K30" s="56">
        <v>1700</v>
      </c>
      <c r="L30" s="56">
        <v>1791</v>
      </c>
    </row>
    <row r="31" spans="1:12" s="11" customFormat="1" ht="13.5" customHeight="1" x14ac:dyDescent="0.25">
      <c r="A31" s="54" t="s">
        <v>289</v>
      </c>
      <c r="B31" s="55">
        <v>0</v>
      </c>
      <c r="C31" s="55">
        <v>0</v>
      </c>
      <c r="D31" s="55">
        <v>0</v>
      </c>
      <c r="E31" s="55">
        <v>911</v>
      </c>
      <c r="F31" s="55">
        <v>0</v>
      </c>
      <c r="G31" s="55">
        <v>107488</v>
      </c>
      <c r="H31" s="55">
        <v>129693</v>
      </c>
      <c r="I31" s="55">
        <v>147330</v>
      </c>
      <c r="J31" s="55">
        <v>95084</v>
      </c>
      <c r="K31" s="55">
        <v>127584</v>
      </c>
      <c r="L31" s="55">
        <v>48869</v>
      </c>
    </row>
    <row r="32" spans="1:12" s="11" customFormat="1" ht="13.5" customHeight="1" x14ac:dyDescent="0.25">
      <c r="A32" s="48" t="s">
        <v>309</v>
      </c>
      <c r="B32" s="56">
        <v>0</v>
      </c>
      <c r="C32" s="56">
        <v>0</v>
      </c>
      <c r="D32" s="56">
        <v>0</v>
      </c>
      <c r="E32" s="56">
        <v>0</v>
      </c>
      <c r="F32" s="56">
        <v>0</v>
      </c>
      <c r="G32" s="56">
        <v>0</v>
      </c>
      <c r="H32" s="56">
        <v>0</v>
      </c>
      <c r="I32" s="56">
        <v>0</v>
      </c>
      <c r="J32" s="56">
        <v>17336</v>
      </c>
      <c r="K32" s="56">
        <v>0</v>
      </c>
      <c r="L32" s="56">
        <v>26199</v>
      </c>
    </row>
    <row r="33" spans="1:12" s="11" customFormat="1" x14ac:dyDescent="0.25">
      <c r="A33" s="54" t="s">
        <v>310</v>
      </c>
      <c r="B33" s="55">
        <v>25211</v>
      </c>
      <c r="C33" s="55">
        <v>36101</v>
      </c>
      <c r="D33" s="55">
        <v>15341</v>
      </c>
      <c r="E33" s="55">
        <v>19195</v>
      </c>
      <c r="F33" s="55">
        <v>21497</v>
      </c>
      <c r="G33" s="55">
        <v>14564</v>
      </c>
      <c r="H33" s="55">
        <v>17373</v>
      </c>
      <c r="I33" s="55">
        <v>20539</v>
      </c>
      <c r="J33" s="55">
        <v>23387</v>
      </c>
      <c r="K33" s="55">
        <v>13060</v>
      </c>
      <c r="L33" s="55">
        <v>15821</v>
      </c>
    </row>
    <row r="34" spans="1:12" s="11" customFormat="1" x14ac:dyDescent="0.25">
      <c r="A34" s="48" t="s">
        <v>311</v>
      </c>
      <c r="B34" s="56">
        <v>19061</v>
      </c>
      <c r="C34" s="56">
        <v>17936</v>
      </c>
      <c r="D34" s="56">
        <v>16127</v>
      </c>
      <c r="E34" s="56">
        <v>29289</v>
      </c>
      <c r="F34" s="56">
        <v>23494</v>
      </c>
      <c r="G34" s="56">
        <v>49165</v>
      </c>
      <c r="H34" s="56">
        <v>98404</v>
      </c>
      <c r="I34" s="56">
        <v>68565</v>
      </c>
      <c r="J34" s="56">
        <v>40721</v>
      </c>
      <c r="K34" s="56">
        <v>32881</v>
      </c>
      <c r="L34" s="56">
        <v>44736</v>
      </c>
    </row>
    <row r="35" spans="1:12" s="11" customFormat="1" x14ac:dyDescent="0.25">
      <c r="A35" s="54" t="s">
        <v>267</v>
      </c>
      <c r="B35" s="55">
        <v>141742</v>
      </c>
      <c r="C35" s="55">
        <v>142508</v>
      </c>
      <c r="D35" s="55">
        <v>111032</v>
      </c>
      <c r="E35" s="55">
        <v>112061</v>
      </c>
      <c r="F35" s="55">
        <v>115673</v>
      </c>
      <c r="G35" s="55">
        <v>115303</v>
      </c>
      <c r="H35" s="55">
        <v>115420</v>
      </c>
      <c r="I35" s="55">
        <v>114512</v>
      </c>
      <c r="J35" s="55">
        <v>76507</v>
      </c>
      <c r="K35" s="55">
        <v>75534</v>
      </c>
      <c r="L35" s="55">
        <v>74184</v>
      </c>
    </row>
    <row r="36" spans="1:12" s="11" customFormat="1" x14ac:dyDescent="0.25">
      <c r="A36" s="48" t="s">
        <v>312</v>
      </c>
      <c r="B36" s="56">
        <v>298750</v>
      </c>
      <c r="C36" s="56">
        <v>298750</v>
      </c>
      <c r="D36" s="56">
        <v>1586</v>
      </c>
      <c r="E36" s="56">
        <v>1586</v>
      </c>
      <c r="F36" s="56">
        <v>606176</v>
      </c>
      <c r="G36" s="56">
        <v>606091</v>
      </c>
      <c r="H36" s="56">
        <v>196618</v>
      </c>
      <c r="I36" s="56">
        <v>196532</v>
      </c>
      <c r="J36" s="56">
        <v>581919</v>
      </c>
      <c r="K36" s="56">
        <v>834541</v>
      </c>
      <c r="L36" s="56">
        <v>250444</v>
      </c>
    </row>
    <row r="37" spans="1:12" s="11" customFormat="1" x14ac:dyDescent="0.25">
      <c r="A37" s="54" t="s">
        <v>313</v>
      </c>
      <c r="B37" s="55">
        <v>0</v>
      </c>
      <c r="C37" s="55">
        <v>0</v>
      </c>
      <c r="D37" s="55">
        <v>7319</v>
      </c>
      <c r="E37" s="55">
        <v>18297</v>
      </c>
      <c r="F37" s="55">
        <v>29275</v>
      </c>
      <c r="G37" s="55">
        <v>40254</v>
      </c>
      <c r="H37" s="55">
        <v>45811</v>
      </c>
      <c r="I37" s="55">
        <v>46003</v>
      </c>
      <c r="J37" s="55">
        <v>41307</v>
      </c>
      <c r="K37" s="55">
        <v>40336</v>
      </c>
      <c r="L37" s="55">
        <v>40940</v>
      </c>
    </row>
    <row r="38" spans="1:12" s="11" customFormat="1" x14ac:dyDescent="0.25">
      <c r="A38" s="48" t="s">
        <v>314</v>
      </c>
      <c r="B38" s="56">
        <v>0</v>
      </c>
      <c r="C38" s="56">
        <v>0</v>
      </c>
      <c r="D38" s="56">
        <v>0</v>
      </c>
      <c r="E38" s="56">
        <v>0</v>
      </c>
      <c r="F38" s="56">
        <v>23474</v>
      </c>
      <c r="G38" s="56">
        <v>27382</v>
      </c>
      <c r="H38" s="56">
        <v>31369</v>
      </c>
      <c r="I38" s="56">
        <v>35343</v>
      </c>
      <c r="J38" s="56">
        <v>28426</v>
      </c>
      <c r="K38" s="56">
        <v>28411</v>
      </c>
      <c r="L38" s="56">
        <v>32321</v>
      </c>
    </row>
    <row r="39" spans="1:12" s="11" customFormat="1" x14ac:dyDescent="0.25">
      <c r="A39" s="54" t="s">
        <v>315</v>
      </c>
      <c r="B39" s="55">
        <v>9661</v>
      </c>
      <c r="C39" s="55">
        <v>15426</v>
      </c>
      <c r="D39" s="55">
        <v>94987</v>
      </c>
      <c r="E39" s="55">
        <v>84552</v>
      </c>
      <c r="F39" s="55">
        <v>85425</v>
      </c>
      <c r="G39" s="55">
        <v>48535</v>
      </c>
      <c r="H39" s="55">
        <v>38047</v>
      </c>
      <c r="I39" s="55">
        <v>29934</v>
      </c>
      <c r="J39" s="55">
        <v>22906</v>
      </c>
      <c r="K39" s="55">
        <v>21810</v>
      </c>
      <c r="L39" s="55">
        <v>26993</v>
      </c>
    </row>
    <row r="40" spans="1:12" s="32" customFormat="1" ht="15" customHeight="1" x14ac:dyDescent="0.25">
      <c r="A40" s="44" t="s">
        <v>295</v>
      </c>
      <c r="B40" s="45">
        <f>SUM(B41:B50)</f>
        <v>2340036</v>
      </c>
      <c r="C40" s="45">
        <f t="shared" ref="C40:L40" si="4">SUM(C41:C50)</f>
        <v>4114402</v>
      </c>
      <c r="D40" s="45">
        <f t="shared" si="4"/>
        <v>4263605</v>
      </c>
      <c r="E40" s="45">
        <f t="shared" si="4"/>
        <v>4316021</v>
      </c>
      <c r="F40" s="45">
        <f t="shared" si="4"/>
        <v>4827991</v>
      </c>
      <c r="G40" s="45">
        <f t="shared" si="4"/>
        <v>5002659</v>
      </c>
      <c r="H40" s="45">
        <f t="shared" si="4"/>
        <v>4876007</v>
      </c>
      <c r="I40" s="45">
        <f t="shared" si="4"/>
        <v>4899158</v>
      </c>
      <c r="J40" s="45">
        <f t="shared" si="4"/>
        <v>6295058</v>
      </c>
      <c r="K40" s="45">
        <f t="shared" si="4"/>
        <v>6204326</v>
      </c>
      <c r="L40" s="45">
        <f t="shared" si="4"/>
        <v>6311753</v>
      </c>
    </row>
    <row r="41" spans="1:12" s="11" customFormat="1" x14ac:dyDescent="0.25">
      <c r="A41" s="54" t="s">
        <v>306</v>
      </c>
      <c r="B41" s="55">
        <v>1080</v>
      </c>
      <c r="C41" s="55">
        <v>1779841</v>
      </c>
      <c r="D41" s="55">
        <v>1779561</v>
      </c>
      <c r="E41" s="55">
        <v>1783483</v>
      </c>
      <c r="F41" s="55">
        <v>1781123</v>
      </c>
      <c r="G41" s="55">
        <v>1785056</v>
      </c>
      <c r="H41" s="55">
        <v>1782696</v>
      </c>
      <c r="I41" s="55">
        <v>1758277</v>
      </c>
      <c r="J41" s="55">
        <v>1800854</v>
      </c>
      <c r="K41" s="55">
        <v>1840578</v>
      </c>
      <c r="L41" s="55">
        <v>1874094</v>
      </c>
    </row>
    <row r="42" spans="1:12" s="11" customFormat="1" x14ac:dyDescent="0.25">
      <c r="A42" s="48" t="s">
        <v>308</v>
      </c>
      <c r="B42" s="56">
        <v>0</v>
      </c>
      <c r="C42" s="56">
        <v>0</v>
      </c>
      <c r="D42" s="56">
        <v>0</v>
      </c>
      <c r="E42" s="56">
        <v>6029</v>
      </c>
      <c r="F42" s="56">
        <v>5624</v>
      </c>
      <c r="G42" s="56">
        <v>5729</v>
      </c>
      <c r="H42" s="56">
        <v>5419</v>
      </c>
      <c r="I42" s="56">
        <v>5105</v>
      </c>
      <c r="J42" s="56">
        <v>4788</v>
      </c>
      <c r="K42" s="56">
        <v>4468</v>
      </c>
      <c r="L42" s="56">
        <v>4516</v>
      </c>
    </row>
    <row r="43" spans="1:12" s="11" customFormat="1" x14ac:dyDescent="0.25">
      <c r="A43" s="54" t="s">
        <v>267</v>
      </c>
      <c r="B43" s="55">
        <v>35852</v>
      </c>
      <c r="C43" s="55">
        <v>35852</v>
      </c>
      <c r="D43" s="55">
        <v>35852</v>
      </c>
      <c r="E43" s="55">
        <v>15899</v>
      </c>
      <c r="F43" s="55">
        <v>12014</v>
      </c>
      <c r="G43" s="55">
        <v>12014</v>
      </c>
      <c r="H43" s="55">
        <v>12014</v>
      </c>
      <c r="I43" s="55">
        <v>12014</v>
      </c>
      <c r="J43" s="55">
        <v>1240</v>
      </c>
      <c r="K43" s="55">
        <v>1240</v>
      </c>
      <c r="L43" s="55">
        <v>1240</v>
      </c>
    </row>
    <row r="44" spans="1:12" s="11" customFormat="1" x14ac:dyDescent="0.25">
      <c r="A44" s="48" t="s">
        <v>316</v>
      </c>
      <c r="B44" s="56">
        <v>0</v>
      </c>
      <c r="C44" s="56">
        <v>0</v>
      </c>
      <c r="D44" s="56">
        <v>176148</v>
      </c>
      <c r="E44" s="56">
        <v>167240</v>
      </c>
      <c r="F44" s="56">
        <v>158355</v>
      </c>
      <c r="G44" s="56">
        <v>149493</v>
      </c>
      <c r="H44" s="56">
        <v>140935</v>
      </c>
      <c r="I44" s="56">
        <v>131783</v>
      </c>
      <c r="J44" s="56">
        <v>114057</v>
      </c>
      <c r="K44" s="56">
        <v>105567</v>
      </c>
      <c r="L44" s="56">
        <v>97197</v>
      </c>
    </row>
    <row r="45" spans="1:12" s="11" customFormat="1" x14ac:dyDescent="0.25">
      <c r="A45" s="54" t="s">
        <v>289</v>
      </c>
      <c r="B45" s="55">
        <v>0</v>
      </c>
      <c r="C45" s="55">
        <v>0</v>
      </c>
      <c r="D45" s="55">
        <v>0</v>
      </c>
      <c r="E45" s="55">
        <v>292</v>
      </c>
      <c r="F45" s="55">
        <v>0</v>
      </c>
      <c r="G45" s="55">
        <v>92075</v>
      </c>
      <c r="H45" s="55">
        <v>83767</v>
      </c>
      <c r="I45" s="55">
        <v>55185</v>
      </c>
      <c r="J45" s="55">
        <v>9141</v>
      </c>
      <c r="K45" s="55">
        <v>0</v>
      </c>
      <c r="L45" s="55">
        <v>0</v>
      </c>
    </row>
    <row r="46" spans="1:12" s="11" customFormat="1" x14ac:dyDescent="0.25">
      <c r="A46" s="48" t="s">
        <v>309</v>
      </c>
      <c r="B46" s="56">
        <v>0</v>
      </c>
      <c r="C46" s="56">
        <v>0</v>
      </c>
      <c r="D46" s="56">
        <v>0</v>
      </c>
      <c r="E46" s="56">
        <v>0</v>
      </c>
      <c r="F46" s="56">
        <v>0</v>
      </c>
      <c r="G46" s="56">
        <v>0</v>
      </c>
      <c r="H46" s="56">
        <v>0</v>
      </c>
      <c r="I46" s="56">
        <v>0</v>
      </c>
      <c r="J46" s="56">
        <v>4108</v>
      </c>
      <c r="K46" s="56">
        <v>3697</v>
      </c>
      <c r="L46" s="56">
        <v>9681</v>
      </c>
    </row>
    <row r="47" spans="1:12" s="11" customFormat="1" x14ac:dyDescent="0.25">
      <c r="A47" s="54" t="s">
        <v>317</v>
      </c>
      <c r="B47" s="55">
        <v>2156162</v>
      </c>
      <c r="C47" s="55">
        <v>2154148</v>
      </c>
      <c r="D47" s="55">
        <v>2120009</v>
      </c>
      <c r="E47" s="55">
        <v>2197258</v>
      </c>
      <c r="F47" s="55">
        <v>1814375</v>
      </c>
      <c r="G47" s="55">
        <v>1889659</v>
      </c>
      <c r="H47" s="55">
        <v>1782843</v>
      </c>
      <c r="I47" s="55">
        <v>1859083</v>
      </c>
      <c r="J47" s="55">
        <v>1748257</v>
      </c>
      <c r="K47" s="55">
        <v>1606027</v>
      </c>
      <c r="L47" s="55">
        <v>1643730</v>
      </c>
    </row>
    <row r="48" spans="1:12" s="11" customFormat="1" x14ac:dyDescent="0.25">
      <c r="A48" s="48" t="s">
        <v>314</v>
      </c>
      <c r="B48" s="56">
        <v>72915</v>
      </c>
      <c r="C48" s="56">
        <v>72915</v>
      </c>
      <c r="D48" s="56">
        <v>72915</v>
      </c>
      <c r="E48" s="56">
        <v>72915</v>
      </c>
      <c r="F48" s="56">
        <v>164536</v>
      </c>
      <c r="G48" s="56">
        <v>160474</v>
      </c>
      <c r="H48" s="56">
        <v>156391</v>
      </c>
      <c r="I48" s="56">
        <v>152314</v>
      </c>
      <c r="J48" s="56">
        <v>152749</v>
      </c>
      <c r="K48" s="56">
        <v>148503</v>
      </c>
      <c r="L48" s="56">
        <v>144062</v>
      </c>
    </row>
    <row r="49" spans="1:12" s="11" customFormat="1" x14ac:dyDescent="0.25">
      <c r="A49" s="54" t="s">
        <v>318</v>
      </c>
      <c r="B49" s="55">
        <v>0</v>
      </c>
      <c r="C49" s="55"/>
      <c r="D49" s="55">
        <v>0</v>
      </c>
      <c r="E49" s="55">
        <v>0</v>
      </c>
      <c r="F49" s="55">
        <v>836995</v>
      </c>
      <c r="G49" s="55">
        <v>851872</v>
      </c>
      <c r="H49" s="55">
        <v>866326</v>
      </c>
      <c r="I49" s="55">
        <v>880997</v>
      </c>
      <c r="J49" s="55">
        <v>2412379</v>
      </c>
      <c r="K49" s="55">
        <v>2451341</v>
      </c>
      <c r="L49" s="55">
        <v>2492036</v>
      </c>
    </row>
    <row r="50" spans="1:12" s="11" customFormat="1" x14ac:dyDescent="0.25">
      <c r="A50" s="48" t="s">
        <v>315</v>
      </c>
      <c r="B50" s="56">
        <v>74027</v>
      </c>
      <c r="C50" s="56">
        <v>71646</v>
      </c>
      <c r="D50" s="56">
        <v>79120</v>
      </c>
      <c r="E50" s="56">
        <v>72905</v>
      </c>
      <c r="F50" s="56">
        <v>54969</v>
      </c>
      <c r="G50" s="56">
        <v>56287</v>
      </c>
      <c r="H50" s="56">
        <v>45616</v>
      </c>
      <c r="I50" s="56">
        <v>44400</v>
      </c>
      <c r="J50" s="56">
        <v>47485</v>
      </c>
      <c r="K50" s="56">
        <v>42905</v>
      </c>
      <c r="L50" s="56">
        <v>45197</v>
      </c>
    </row>
    <row r="51" spans="1:12" s="52" customFormat="1" x14ac:dyDescent="0.25">
      <c r="A51" s="57" t="s">
        <v>319</v>
      </c>
      <c r="B51" s="58">
        <f>SUM(B40,B27)</f>
        <v>3224434</v>
      </c>
      <c r="C51" s="58">
        <f t="shared" ref="C51:L51" si="5">SUM(C40,C27)</f>
        <v>4961495</v>
      </c>
      <c r="D51" s="58">
        <f t="shared" si="5"/>
        <v>4735885</v>
      </c>
      <c r="E51" s="58">
        <f t="shared" si="5"/>
        <v>4708743</v>
      </c>
      <c r="F51" s="58">
        <f t="shared" si="5"/>
        <v>5782170</v>
      </c>
      <c r="G51" s="58">
        <f t="shared" si="5"/>
        <v>6080436</v>
      </c>
      <c r="H51" s="58">
        <f t="shared" si="5"/>
        <v>5619815</v>
      </c>
      <c r="I51" s="58">
        <f t="shared" si="5"/>
        <v>5633096</v>
      </c>
      <c r="J51" s="58">
        <f t="shared" si="5"/>
        <v>7345651</v>
      </c>
      <c r="K51" s="58">
        <f t="shared" si="5"/>
        <v>7490773</v>
      </c>
      <c r="L51" s="58">
        <f t="shared" si="5"/>
        <v>7004679</v>
      </c>
    </row>
    <row r="52" spans="1:12" s="52" customFormat="1" x14ac:dyDescent="0.25">
      <c r="A52" s="44"/>
      <c r="B52" s="45"/>
      <c r="C52" s="45"/>
      <c r="D52" s="45"/>
      <c r="E52" s="45"/>
      <c r="F52" s="45"/>
      <c r="G52" s="45"/>
      <c r="H52" s="45"/>
      <c r="I52" s="45"/>
      <c r="J52" s="45"/>
      <c r="K52" s="45"/>
      <c r="L52" s="45"/>
    </row>
    <row r="53" spans="1:12" s="32" customFormat="1" x14ac:dyDescent="0.25">
      <c r="A53" s="57" t="s">
        <v>320</v>
      </c>
      <c r="B53" s="58">
        <f>SUM(B54:B59)</f>
        <v>7102066</v>
      </c>
      <c r="C53" s="58">
        <f t="shared" ref="C53:L53" si="6">SUM(C54:C59)</f>
        <v>6945826</v>
      </c>
      <c r="D53" s="58">
        <f t="shared" si="6"/>
        <v>6944187</v>
      </c>
      <c r="E53" s="58">
        <f t="shared" si="6"/>
        <v>6940697</v>
      </c>
      <c r="F53" s="58">
        <f t="shared" si="6"/>
        <v>7144905</v>
      </c>
      <c r="G53" s="58">
        <f t="shared" si="6"/>
        <v>7046154</v>
      </c>
      <c r="H53" s="58">
        <f t="shared" si="6"/>
        <v>7176747</v>
      </c>
      <c r="I53" s="58">
        <f t="shared" si="6"/>
        <v>7128823</v>
      </c>
      <c r="J53" s="58">
        <f t="shared" si="6"/>
        <v>7206213</v>
      </c>
      <c r="K53" s="58">
        <f t="shared" si="6"/>
        <v>7050478</v>
      </c>
      <c r="L53" s="58">
        <f t="shared" si="6"/>
        <v>7081490</v>
      </c>
    </row>
    <row r="54" spans="1:12" s="11" customFormat="1" x14ac:dyDescent="0.25">
      <c r="A54" s="48" t="s">
        <v>321</v>
      </c>
      <c r="B54" s="56">
        <v>5975433</v>
      </c>
      <c r="C54" s="56">
        <v>5975433</v>
      </c>
      <c r="D54" s="56">
        <v>5975433</v>
      </c>
      <c r="E54" s="56">
        <v>5975433</v>
      </c>
      <c r="F54" s="56">
        <v>5975433</v>
      </c>
      <c r="G54" s="56">
        <v>5975433</v>
      </c>
      <c r="H54" s="56">
        <v>5975433</v>
      </c>
      <c r="I54" s="56">
        <v>5975433</v>
      </c>
      <c r="J54" s="56">
        <v>5975433</v>
      </c>
      <c r="K54" s="56">
        <v>5975433</v>
      </c>
      <c r="L54" s="56">
        <v>5975433</v>
      </c>
    </row>
    <row r="55" spans="1:12" s="11" customFormat="1" x14ac:dyDescent="0.25">
      <c r="A55" s="54" t="s">
        <v>322</v>
      </c>
      <c r="B55" s="55">
        <v>1929098</v>
      </c>
      <c r="C55" s="55">
        <v>1929098</v>
      </c>
      <c r="D55" s="55">
        <v>1929098</v>
      </c>
      <c r="E55" s="55">
        <v>1929098</v>
      </c>
      <c r="F55" s="55">
        <v>1929098</v>
      </c>
      <c r="G55" s="55">
        <v>1929098</v>
      </c>
      <c r="H55" s="55">
        <v>1929098</v>
      </c>
      <c r="I55" s="55">
        <v>1929098</v>
      </c>
      <c r="J55" s="55">
        <v>1929098</v>
      </c>
      <c r="K55" s="55">
        <v>1929098</v>
      </c>
      <c r="L55" s="55">
        <v>1929098</v>
      </c>
    </row>
    <row r="56" spans="1:12" s="11" customFormat="1" x14ac:dyDescent="0.25">
      <c r="A56" s="48" t="s">
        <v>323</v>
      </c>
      <c r="B56" s="56">
        <v>554588</v>
      </c>
      <c r="C56" s="56">
        <v>554588</v>
      </c>
      <c r="D56" s="56">
        <v>554588</v>
      </c>
      <c r="E56" s="56">
        <v>554588</v>
      </c>
      <c r="F56" s="56">
        <v>1084883</v>
      </c>
      <c r="G56" s="56">
        <v>1084883</v>
      </c>
      <c r="H56" s="56">
        <v>1084883</v>
      </c>
      <c r="I56" s="56">
        <v>1084883</v>
      </c>
      <c r="J56" s="56">
        <v>2187137</v>
      </c>
      <c r="K56" s="56">
        <v>1934515</v>
      </c>
      <c r="L56" s="56">
        <v>1934622</v>
      </c>
    </row>
    <row r="57" spans="1:12" s="11" customFormat="1" x14ac:dyDescent="0.25">
      <c r="A57" s="54" t="s">
        <v>324</v>
      </c>
      <c r="B57" s="55">
        <v>-976752</v>
      </c>
      <c r="C57" s="55">
        <v>-971151</v>
      </c>
      <c r="D57" s="55">
        <v>-964994</v>
      </c>
      <c r="E57" s="55">
        <v>-958478</v>
      </c>
      <c r="F57" s="55">
        <v>-948623</v>
      </c>
      <c r="G57" s="55">
        <v>-938897</v>
      </c>
      <c r="H57" s="55">
        <v>-928708</v>
      </c>
      <c r="I57" s="55">
        <v>-917819</v>
      </c>
      <c r="J57" s="55">
        <v>-919658</v>
      </c>
      <c r="K57" s="55">
        <v>-2893847</v>
      </c>
      <c r="L57" s="55">
        <v>-2837415</v>
      </c>
    </row>
    <row r="58" spans="1:12" s="11" customFormat="1" x14ac:dyDescent="0.25">
      <c r="A58" s="48" t="s">
        <v>325</v>
      </c>
      <c r="B58" s="56">
        <v>-380301</v>
      </c>
      <c r="C58" s="56">
        <v>-378298</v>
      </c>
      <c r="D58" s="56">
        <v>-375935</v>
      </c>
      <c r="E58" s="56">
        <v>-371569</v>
      </c>
      <c r="F58" s="56">
        <v>-895886</v>
      </c>
      <c r="G58" s="56">
        <v>-1048450</v>
      </c>
      <c r="H58" s="56">
        <v>-1055655</v>
      </c>
      <c r="I58" s="56">
        <v>-1045054</v>
      </c>
      <c r="J58" s="56">
        <v>-1965797</v>
      </c>
      <c r="K58" s="56">
        <v>108611</v>
      </c>
      <c r="L58" s="56">
        <v>83084</v>
      </c>
    </row>
    <row r="59" spans="1:12" s="11" customFormat="1" x14ac:dyDescent="0.25">
      <c r="A59" s="54" t="s">
        <v>11</v>
      </c>
      <c r="B59" s="55">
        <v>0</v>
      </c>
      <c r="C59" s="55">
        <v>-163844</v>
      </c>
      <c r="D59" s="55">
        <v>-174003</v>
      </c>
      <c r="E59" s="55">
        <v>-188375</v>
      </c>
      <c r="F59" s="55">
        <v>0</v>
      </c>
      <c r="G59" s="55">
        <v>44087</v>
      </c>
      <c r="H59" s="55">
        <v>171696</v>
      </c>
      <c r="I59" s="55">
        <v>102282</v>
      </c>
      <c r="J59" s="55">
        <v>0</v>
      </c>
      <c r="K59" s="55">
        <v>-3332</v>
      </c>
      <c r="L59" s="55">
        <v>-3332</v>
      </c>
    </row>
    <row r="60" spans="1:12" s="32" customFormat="1" x14ac:dyDescent="0.25">
      <c r="A60" s="44" t="s">
        <v>326</v>
      </c>
      <c r="B60" s="45">
        <f>B53+B51</f>
        <v>10326500</v>
      </c>
      <c r="C60" s="45">
        <f t="shared" ref="C60:L60" si="7">C53+C51</f>
        <v>11907321</v>
      </c>
      <c r="D60" s="45">
        <f t="shared" si="7"/>
        <v>11680072</v>
      </c>
      <c r="E60" s="45">
        <f t="shared" si="7"/>
        <v>11649440</v>
      </c>
      <c r="F60" s="45">
        <f t="shared" si="7"/>
        <v>12927075</v>
      </c>
      <c r="G60" s="45">
        <f t="shared" si="7"/>
        <v>13126590</v>
      </c>
      <c r="H60" s="45">
        <f t="shared" si="7"/>
        <v>12796562</v>
      </c>
      <c r="I60" s="45">
        <f t="shared" si="7"/>
        <v>12761919</v>
      </c>
      <c r="J60" s="45">
        <f t="shared" si="7"/>
        <v>14551864</v>
      </c>
      <c r="K60" s="45">
        <f t="shared" si="7"/>
        <v>14541251</v>
      </c>
      <c r="L60" s="45">
        <f t="shared" si="7"/>
        <v>14086169</v>
      </c>
    </row>
    <row r="61" spans="1:12" s="52" customFormat="1" x14ac:dyDescent="0.25">
      <c r="A61" s="57"/>
      <c r="B61" s="59"/>
      <c r="C61" s="59"/>
      <c r="D61" s="59"/>
      <c r="E61" s="59"/>
      <c r="F61" s="59"/>
      <c r="G61" s="59"/>
      <c r="H61" s="59"/>
      <c r="I61" s="59"/>
      <c r="J61" s="59"/>
      <c r="K61" s="59"/>
    </row>
    <row r="62" spans="1:12" s="52" customFormat="1" x14ac:dyDescent="0.25">
      <c r="A62" s="50"/>
      <c r="B62" s="60"/>
      <c r="C62" s="60"/>
      <c r="D62" s="60"/>
      <c r="E62" s="60"/>
      <c r="F62" s="60"/>
      <c r="G62" s="60"/>
      <c r="H62" s="60"/>
      <c r="I62" s="60"/>
      <c r="J62" s="60"/>
      <c r="K62" s="60"/>
    </row>
    <row r="63" spans="1:12" s="52" customFormat="1" x14ac:dyDescent="0.25">
      <c r="A63" s="50"/>
      <c r="B63" s="60"/>
      <c r="C63" s="60"/>
      <c r="D63" s="60"/>
      <c r="E63" s="60"/>
      <c r="F63" s="60"/>
      <c r="G63" s="60"/>
      <c r="H63" s="60"/>
      <c r="I63" s="60"/>
      <c r="J63" s="60"/>
      <c r="K63" s="60"/>
    </row>
    <row r="64" spans="1:12" x14ac:dyDescent="0.2">
      <c r="B64" s="61"/>
      <c r="C64" s="61"/>
      <c r="D64" s="61"/>
      <c r="E64" s="61"/>
      <c r="F64" s="61"/>
      <c r="G64" s="61"/>
      <c r="H64" s="61"/>
      <c r="I64" s="61"/>
      <c r="J64" s="61"/>
      <c r="K64" s="61"/>
    </row>
    <row r="65" spans="2:11" x14ac:dyDescent="0.2">
      <c r="B65" s="61"/>
      <c r="C65" s="61"/>
      <c r="D65" s="61"/>
      <c r="E65" s="61"/>
      <c r="F65" s="61"/>
      <c r="G65" s="61"/>
      <c r="H65" s="61"/>
      <c r="I65" s="61"/>
      <c r="J65" s="61"/>
      <c r="K65" s="61"/>
    </row>
    <row r="66" spans="2:11" x14ac:dyDescent="0.2">
      <c r="B66" s="61"/>
      <c r="C66" s="61"/>
      <c r="D66" s="61"/>
      <c r="E66" s="61"/>
      <c r="F66" s="61"/>
      <c r="G66" s="61"/>
      <c r="H66" s="61"/>
      <c r="I66" s="61"/>
      <c r="J66" s="61"/>
      <c r="K66" s="61"/>
    </row>
    <row r="67" spans="2:11" x14ac:dyDescent="0.2">
      <c r="B67" s="61"/>
      <c r="C67" s="61"/>
      <c r="D67" s="61"/>
      <c r="E67" s="61"/>
      <c r="F67" s="61"/>
      <c r="G67" s="61"/>
      <c r="H67" s="61"/>
      <c r="I67" s="61"/>
      <c r="J67" s="61"/>
      <c r="K67" s="61"/>
    </row>
    <row r="68" spans="2:11" x14ac:dyDescent="0.2">
      <c r="B68" s="61"/>
      <c r="C68" s="61"/>
      <c r="D68" s="61"/>
      <c r="E68" s="61"/>
      <c r="F68" s="61"/>
      <c r="G68" s="61"/>
      <c r="H68" s="61"/>
      <c r="I68" s="61"/>
      <c r="J68" s="61"/>
      <c r="K68" s="61"/>
    </row>
    <row r="69" spans="2:11" x14ac:dyDescent="0.2">
      <c r="B69" s="61"/>
      <c r="C69" s="61"/>
      <c r="D69" s="61"/>
      <c r="E69" s="61"/>
      <c r="F69" s="61"/>
      <c r="G69" s="61"/>
      <c r="H69" s="61"/>
      <c r="I69" s="61"/>
      <c r="J69" s="61"/>
      <c r="K69" s="61"/>
    </row>
    <row r="70" spans="2:11" x14ac:dyDescent="0.2">
      <c r="B70" s="61"/>
      <c r="C70" s="61"/>
      <c r="D70" s="61"/>
      <c r="E70" s="61"/>
      <c r="F70" s="61"/>
      <c r="G70" s="61"/>
      <c r="H70" s="61"/>
      <c r="I70" s="61"/>
      <c r="J70" s="61"/>
      <c r="K70" s="61"/>
    </row>
    <row r="71" spans="2:11" x14ac:dyDescent="0.2">
      <c r="B71" s="61"/>
      <c r="C71" s="61"/>
      <c r="D71" s="61"/>
      <c r="E71" s="61"/>
      <c r="F71" s="61"/>
      <c r="G71" s="61"/>
      <c r="H71" s="61"/>
      <c r="I71" s="61"/>
      <c r="J71" s="61"/>
      <c r="K71" s="61"/>
    </row>
    <row r="72" spans="2:11" x14ac:dyDescent="0.2">
      <c r="B72" s="61"/>
      <c r="C72" s="61"/>
      <c r="D72" s="61"/>
      <c r="E72" s="61"/>
      <c r="F72" s="61"/>
      <c r="G72" s="61"/>
      <c r="H72" s="61"/>
      <c r="I72" s="61"/>
      <c r="J72" s="61"/>
      <c r="K72" s="61"/>
    </row>
  </sheetData>
  <mergeCells count="1">
    <mergeCell ref="B1:L1"/>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CBCA-798F-4768-B5A6-FEFFC0EAB29D}">
  <sheetPr codeName="Planilha5"/>
  <dimension ref="A1:Z30"/>
  <sheetViews>
    <sheetView showGridLines="0" zoomScale="85" zoomScaleNormal="85" workbookViewId="0">
      <pane xSplit="1" ySplit="3" topLeftCell="B4" activePane="bottomRight" state="frozen"/>
      <selection activeCell="M14" sqref="M13:M14"/>
      <selection pane="topRight" activeCell="M14" sqref="M13:M14"/>
      <selection pane="bottomLeft" activeCell="M14" sqref="M13:M14"/>
      <selection pane="bottomRight"/>
    </sheetView>
  </sheetViews>
  <sheetFormatPr defaultColWidth="9.140625" defaultRowHeight="12.75" x14ac:dyDescent="0.2"/>
  <cols>
    <col min="1" max="1" width="59.7109375" style="9" bestFit="1" customWidth="1"/>
    <col min="2" max="13" width="11.5703125" style="9" customWidth="1"/>
    <col min="14" max="14" width="10.85546875" style="9" customWidth="1"/>
    <col min="15" max="26" width="9.140625" style="10"/>
    <col min="27" max="16384" width="9.140625" style="9"/>
  </cols>
  <sheetData>
    <row r="1" spans="1:26" ht="54.75" customHeight="1" x14ac:dyDescent="0.2">
      <c r="A1" s="8"/>
      <c r="B1" s="281" t="s">
        <v>211</v>
      </c>
      <c r="C1" s="281"/>
      <c r="D1" s="281"/>
      <c r="E1" s="281"/>
      <c r="F1" s="281"/>
      <c r="G1" s="281"/>
      <c r="H1" s="281"/>
      <c r="I1" s="281"/>
      <c r="J1" s="281"/>
      <c r="K1" s="281"/>
      <c r="L1" s="281"/>
      <c r="M1" s="281"/>
      <c r="N1" s="281"/>
      <c r="O1" s="173"/>
      <c r="P1" s="173"/>
      <c r="Q1" s="173"/>
      <c r="R1" s="173"/>
      <c r="S1" s="173"/>
      <c r="T1" s="173"/>
      <c r="U1" s="173"/>
      <c r="V1" s="173"/>
      <c r="W1" s="173"/>
      <c r="X1" s="173"/>
      <c r="Y1" s="173"/>
      <c r="Z1" s="173"/>
    </row>
    <row r="2" spans="1:26" ht="8.25" customHeight="1" x14ac:dyDescent="0.2"/>
    <row r="3" spans="1:26" s="35" customFormat="1" ht="13.5" thickBot="1" x14ac:dyDescent="0.3">
      <c r="A3" s="5" t="s">
        <v>212</v>
      </c>
      <c r="B3" s="7">
        <v>2018</v>
      </c>
      <c r="C3" s="7" t="s">
        <v>1</v>
      </c>
      <c r="D3" s="7" t="s">
        <v>2</v>
      </c>
      <c r="E3" s="7" t="s">
        <v>3</v>
      </c>
      <c r="F3" s="7" t="s">
        <v>4</v>
      </c>
      <c r="G3" s="7">
        <v>2019</v>
      </c>
      <c r="H3" s="7" t="s">
        <v>5</v>
      </c>
      <c r="I3" s="7" t="s">
        <v>6</v>
      </c>
      <c r="J3" s="7" t="s">
        <v>7</v>
      </c>
      <c r="K3" s="7" t="s">
        <v>8</v>
      </c>
      <c r="L3" s="7">
        <v>2020</v>
      </c>
      <c r="M3" s="7" t="s">
        <v>17</v>
      </c>
      <c r="N3" s="7" t="s">
        <v>24</v>
      </c>
      <c r="O3" s="199"/>
      <c r="P3" s="199"/>
      <c r="Q3" s="199"/>
      <c r="R3" s="199"/>
      <c r="S3" s="199"/>
      <c r="T3" s="199"/>
      <c r="U3" s="199"/>
      <c r="V3" s="199"/>
      <c r="W3" s="199"/>
      <c r="X3" s="199"/>
      <c r="Y3" s="199"/>
      <c r="Z3" s="199"/>
    </row>
    <row r="4" spans="1:26" x14ac:dyDescent="0.2">
      <c r="A4" s="200" t="s">
        <v>213</v>
      </c>
      <c r="B4" s="201">
        <v>-751603</v>
      </c>
      <c r="C4" s="201">
        <v>-222998</v>
      </c>
      <c r="D4" s="201">
        <v>-76100</v>
      </c>
      <c r="E4" s="201">
        <v>-119914</v>
      </c>
      <c r="F4" s="201">
        <v>-122099</v>
      </c>
      <c r="G4" s="201">
        <v>-541111</v>
      </c>
      <c r="H4" s="201">
        <v>-82336</v>
      </c>
      <c r="I4" s="201">
        <v>-137133</v>
      </c>
      <c r="J4" s="201">
        <v>-168418</v>
      </c>
      <c r="K4" s="201">
        <v>-214942</v>
      </c>
      <c r="L4" s="201">
        <v>-602829</v>
      </c>
      <c r="M4" s="201">
        <v>-219719</v>
      </c>
      <c r="N4" s="201">
        <v>-197214</v>
      </c>
    </row>
    <row r="5" spans="1:26" s="11" customFormat="1" ht="13.5" customHeight="1" x14ac:dyDescent="0.25">
      <c r="A5" s="202" t="s">
        <v>267</v>
      </c>
      <c r="B5" s="177">
        <v>-114509</v>
      </c>
      <c r="C5" s="177">
        <v>-28238</v>
      </c>
      <c r="D5" s="177">
        <v>-29119</v>
      </c>
      <c r="E5" s="177">
        <v>-34345</v>
      </c>
      <c r="F5" s="177">
        <v>-34904</v>
      </c>
      <c r="G5" s="177">
        <v>-126606</v>
      </c>
      <c r="H5" s="177">
        <v>-33931</v>
      </c>
      <c r="I5" s="177">
        <v>-35427</v>
      </c>
      <c r="J5" s="177">
        <v>-39461</v>
      </c>
      <c r="K5" s="177">
        <v>-40039</v>
      </c>
      <c r="L5" s="177">
        <v>-148858</v>
      </c>
      <c r="M5" s="177">
        <v>-39049</v>
      </c>
      <c r="N5" s="177">
        <v>-39468</v>
      </c>
      <c r="O5" s="37"/>
      <c r="P5" s="37"/>
      <c r="Q5" s="37"/>
      <c r="R5" s="37"/>
      <c r="S5" s="37"/>
      <c r="T5" s="37"/>
      <c r="U5" s="37"/>
      <c r="V5" s="37"/>
      <c r="W5" s="37"/>
      <c r="X5" s="37"/>
      <c r="Y5" s="37"/>
      <c r="Z5" s="37"/>
    </row>
    <row r="6" spans="1:26" s="36" customFormat="1" x14ac:dyDescent="0.25">
      <c r="A6" s="200" t="s">
        <v>268</v>
      </c>
      <c r="B6" s="201">
        <v>-140894</v>
      </c>
      <c r="C6" s="201">
        <v>-39008</v>
      </c>
      <c r="D6" s="201">
        <v>-22143</v>
      </c>
      <c r="E6" s="201">
        <v>-25097</v>
      </c>
      <c r="F6" s="201">
        <v>-20096</v>
      </c>
      <c r="G6" s="201">
        <v>-106344</v>
      </c>
      <c r="H6" s="201">
        <v>-19895</v>
      </c>
      <c r="I6" s="201">
        <v>-15423</v>
      </c>
      <c r="J6" s="201">
        <v>-18502</v>
      </c>
      <c r="K6" s="201">
        <v>-14459</v>
      </c>
      <c r="L6" s="201">
        <v>-68279</v>
      </c>
      <c r="M6" s="201">
        <v>-19945</v>
      </c>
      <c r="N6" s="201">
        <v>-16615</v>
      </c>
      <c r="O6" s="37"/>
      <c r="P6" s="37"/>
      <c r="Q6" s="37"/>
      <c r="R6" s="37"/>
      <c r="S6" s="37"/>
      <c r="T6" s="37"/>
      <c r="U6" s="37"/>
      <c r="V6" s="37"/>
      <c r="W6" s="37"/>
      <c r="X6" s="37"/>
      <c r="Y6" s="37"/>
      <c r="Z6" s="37"/>
    </row>
    <row r="7" spans="1:26" s="11" customFormat="1" x14ac:dyDescent="0.25">
      <c r="A7" s="202" t="s">
        <v>214</v>
      </c>
      <c r="B7" s="177">
        <v>0</v>
      </c>
      <c r="C7" s="177">
        <v>-102504</v>
      </c>
      <c r="D7" s="177">
        <v>-2287</v>
      </c>
      <c r="E7" s="177">
        <v>-5955</v>
      </c>
      <c r="F7" s="177">
        <v>-336</v>
      </c>
      <c r="G7" s="177">
        <v>-111082</v>
      </c>
      <c r="H7" s="177">
        <v>0</v>
      </c>
      <c r="I7" s="177">
        <v>0</v>
      </c>
      <c r="J7" s="177">
        <v>-5961</v>
      </c>
      <c r="K7" s="177">
        <v>-9037</v>
      </c>
      <c r="L7" s="177">
        <v>-14998</v>
      </c>
      <c r="M7" s="177">
        <v>0</v>
      </c>
      <c r="N7" s="177">
        <v>0</v>
      </c>
      <c r="O7" s="37"/>
      <c r="P7" s="37"/>
      <c r="Q7" s="37"/>
      <c r="R7" s="37"/>
      <c r="S7" s="37"/>
      <c r="T7" s="37"/>
      <c r="U7" s="37"/>
      <c r="V7" s="37"/>
      <c r="W7" s="37"/>
      <c r="X7" s="37"/>
      <c r="Y7" s="37"/>
      <c r="Z7" s="37"/>
    </row>
    <row r="8" spans="1:26" s="36" customFormat="1" x14ac:dyDescent="0.25">
      <c r="A8" s="200" t="s">
        <v>215</v>
      </c>
      <c r="B8" s="201">
        <v>-2238</v>
      </c>
      <c r="C8" s="201">
        <v>-366</v>
      </c>
      <c r="D8" s="201">
        <v>-438</v>
      </c>
      <c r="E8" s="201">
        <v>-364</v>
      </c>
      <c r="F8" s="201">
        <v>-5732</v>
      </c>
      <c r="G8" s="201">
        <v>-6900</v>
      </c>
      <c r="H8" s="201">
        <v>-1240</v>
      </c>
      <c r="I8" s="201">
        <v>-1230</v>
      </c>
      <c r="J8" s="201">
        <v>-1251</v>
      </c>
      <c r="K8" s="201">
        <v>-5044</v>
      </c>
      <c r="L8" s="201">
        <v>-8765</v>
      </c>
      <c r="M8" s="201">
        <v>-2134</v>
      </c>
      <c r="N8" s="201">
        <v>-1670</v>
      </c>
      <c r="O8" s="37"/>
      <c r="P8" s="37"/>
      <c r="Q8" s="37"/>
      <c r="R8" s="37"/>
      <c r="S8" s="37"/>
      <c r="T8" s="37"/>
      <c r="U8" s="37"/>
      <c r="V8" s="37"/>
      <c r="W8" s="37"/>
      <c r="X8" s="37"/>
      <c r="Y8" s="37"/>
      <c r="Z8" s="37"/>
    </row>
    <row r="9" spans="1:26" s="11" customFormat="1" x14ac:dyDescent="0.25">
      <c r="A9" s="202" t="s">
        <v>269</v>
      </c>
      <c r="B9" s="177">
        <v>-10330</v>
      </c>
      <c r="C9" s="177">
        <v>-3372</v>
      </c>
      <c r="D9" s="177">
        <v>-3380</v>
      </c>
      <c r="E9" s="177">
        <v>-3364</v>
      </c>
      <c r="F9" s="177">
        <v>-3372</v>
      </c>
      <c r="G9" s="177">
        <v>-13488</v>
      </c>
      <c r="H9" s="177">
        <v>122</v>
      </c>
      <c r="I9" s="177">
        <v>122</v>
      </c>
      <c r="J9" s="177">
        <v>122</v>
      </c>
      <c r="K9" s="177">
        <v>123</v>
      </c>
      <c r="L9" s="177">
        <v>489</v>
      </c>
      <c r="M9" s="177">
        <v>438</v>
      </c>
      <c r="N9" s="177">
        <v>-1314</v>
      </c>
      <c r="O9" s="37"/>
      <c r="P9" s="37"/>
      <c r="Q9" s="37"/>
      <c r="R9" s="37"/>
      <c r="S9" s="37"/>
      <c r="T9" s="37"/>
      <c r="U9" s="37"/>
      <c r="V9" s="37"/>
      <c r="W9" s="37"/>
      <c r="X9" s="37"/>
      <c r="Y9" s="37"/>
      <c r="Z9" s="37"/>
    </row>
    <row r="10" spans="1:26" s="36" customFormat="1" x14ac:dyDescent="0.25">
      <c r="A10" s="200" t="s">
        <v>270</v>
      </c>
      <c r="B10" s="201">
        <v>-4628</v>
      </c>
      <c r="C10" s="201">
        <v>-1204</v>
      </c>
      <c r="D10" s="201">
        <v>-966</v>
      </c>
      <c r="E10" s="201">
        <v>-1531</v>
      </c>
      <c r="F10" s="201">
        <v>-870</v>
      </c>
      <c r="G10" s="201">
        <v>-4571</v>
      </c>
      <c r="H10" s="201">
        <v>-517</v>
      </c>
      <c r="I10" s="201">
        <v>-495</v>
      </c>
      <c r="J10" s="201">
        <v>-227</v>
      </c>
      <c r="K10" s="201">
        <v>-437</v>
      </c>
      <c r="L10" s="201">
        <v>-1676</v>
      </c>
      <c r="M10" s="201">
        <v>-538</v>
      </c>
      <c r="N10" s="201">
        <v>-303</v>
      </c>
      <c r="O10" s="37"/>
      <c r="P10" s="37"/>
      <c r="Q10" s="37"/>
      <c r="R10" s="37"/>
      <c r="S10" s="37"/>
      <c r="T10" s="37"/>
      <c r="U10" s="37"/>
      <c r="V10" s="37"/>
      <c r="W10" s="37"/>
      <c r="X10" s="37"/>
      <c r="Y10" s="37"/>
      <c r="Z10" s="37"/>
    </row>
    <row r="11" spans="1:26" s="11" customFormat="1" x14ac:dyDescent="0.25">
      <c r="A11" s="202" t="s">
        <v>271</v>
      </c>
      <c r="B11" s="177">
        <v>-59246</v>
      </c>
      <c r="C11" s="177">
        <v>-12898</v>
      </c>
      <c r="D11" s="177">
        <v>-12619</v>
      </c>
      <c r="E11" s="177">
        <v>-9216</v>
      </c>
      <c r="F11" s="177">
        <v>-11700</v>
      </c>
      <c r="G11" s="177">
        <v>-46433</v>
      </c>
      <c r="H11" s="177">
        <v>-6186</v>
      </c>
      <c r="I11" s="177">
        <v>-7401</v>
      </c>
      <c r="J11" s="177">
        <v>-6314</v>
      </c>
      <c r="K11" s="177">
        <v>-14639</v>
      </c>
      <c r="L11" s="177">
        <v>-34540</v>
      </c>
      <c r="M11" s="177">
        <v>-7760</v>
      </c>
      <c r="N11" s="177">
        <v>-8571</v>
      </c>
      <c r="O11" s="37"/>
      <c r="P11" s="37"/>
      <c r="Q11" s="37"/>
      <c r="R11" s="37"/>
      <c r="S11" s="37"/>
      <c r="T11" s="37"/>
      <c r="U11" s="37"/>
      <c r="V11" s="37"/>
      <c r="W11" s="37"/>
      <c r="X11" s="37"/>
      <c r="Y11" s="37"/>
      <c r="Z11" s="37"/>
    </row>
    <row r="12" spans="1:26" s="36" customFormat="1" x14ac:dyDescent="0.25">
      <c r="A12" s="200" t="s">
        <v>216</v>
      </c>
      <c r="B12" s="201">
        <v>0</v>
      </c>
      <c r="C12" s="201">
        <v>-409</v>
      </c>
      <c r="D12" s="201">
        <v>-384</v>
      </c>
      <c r="E12" s="201">
        <v>-894</v>
      </c>
      <c r="F12" s="201">
        <v>-1863</v>
      </c>
      <c r="G12" s="201">
        <v>-3550</v>
      </c>
      <c r="H12" s="201">
        <v>-2250</v>
      </c>
      <c r="I12" s="201">
        <v>-1919</v>
      </c>
      <c r="J12" s="201">
        <v>-723</v>
      </c>
      <c r="K12" s="201">
        <v>-1074</v>
      </c>
      <c r="L12" s="201">
        <v>-5966</v>
      </c>
      <c r="M12" s="201">
        <v>-1036</v>
      </c>
      <c r="N12" s="201">
        <v>-1046</v>
      </c>
      <c r="O12" s="37"/>
      <c r="P12" s="37"/>
      <c r="Q12" s="37"/>
      <c r="R12" s="37"/>
      <c r="S12" s="37"/>
      <c r="T12" s="37"/>
      <c r="U12" s="37"/>
      <c r="V12" s="37"/>
      <c r="W12" s="37"/>
      <c r="X12" s="37"/>
      <c r="Y12" s="37"/>
      <c r="Z12" s="37"/>
    </row>
    <row r="13" spans="1:26" s="11" customFormat="1" x14ac:dyDescent="0.25">
      <c r="A13" s="202" t="s">
        <v>272</v>
      </c>
      <c r="B13" s="177">
        <v>-316345</v>
      </c>
      <c r="C13" s="177">
        <v>-78510</v>
      </c>
      <c r="D13" s="177">
        <v>-92530</v>
      </c>
      <c r="E13" s="177">
        <v>-96289</v>
      </c>
      <c r="F13" s="177">
        <v>-112236</v>
      </c>
      <c r="G13" s="177">
        <v>-379565</v>
      </c>
      <c r="H13" s="177">
        <v>-100395</v>
      </c>
      <c r="I13" s="177">
        <v>-99876</v>
      </c>
      <c r="J13" s="177">
        <v>-95376</v>
      </c>
      <c r="K13" s="177">
        <v>-101682</v>
      </c>
      <c r="L13" s="177">
        <v>-397329</v>
      </c>
      <c r="M13" s="177">
        <v>-97855</v>
      </c>
      <c r="N13" s="177">
        <v>-97371</v>
      </c>
      <c r="O13" s="37"/>
      <c r="P13" s="37"/>
      <c r="Q13" s="37"/>
      <c r="R13" s="37"/>
      <c r="S13" s="37"/>
      <c r="T13" s="37"/>
      <c r="U13" s="37"/>
      <c r="V13" s="37"/>
      <c r="W13" s="37"/>
      <c r="X13" s="37"/>
      <c r="Y13" s="37"/>
      <c r="Z13" s="37"/>
    </row>
    <row r="14" spans="1:26" s="11" customFormat="1" x14ac:dyDescent="0.25">
      <c r="A14" s="203" t="s">
        <v>217</v>
      </c>
      <c r="B14" s="175">
        <v>-4640</v>
      </c>
      <c r="C14" s="175">
        <v>-714</v>
      </c>
      <c r="D14" s="175">
        <v>-747</v>
      </c>
      <c r="E14" s="175">
        <v>-98</v>
      </c>
      <c r="F14" s="175">
        <v>-28</v>
      </c>
      <c r="G14" s="175">
        <v>-1587</v>
      </c>
      <c r="H14" s="175">
        <v>-663</v>
      </c>
      <c r="I14" s="175">
        <v>-418</v>
      </c>
      <c r="J14" s="175">
        <v>-283</v>
      </c>
      <c r="K14" s="175">
        <v>-463</v>
      </c>
      <c r="L14" s="175">
        <v>-1827</v>
      </c>
      <c r="M14" s="175">
        <v>-253</v>
      </c>
      <c r="N14" s="175">
        <v>-338</v>
      </c>
      <c r="O14" s="37"/>
      <c r="P14" s="37"/>
      <c r="Q14" s="37"/>
      <c r="R14" s="37"/>
      <c r="S14" s="37"/>
      <c r="T14" s="37"/>
      <c r="U14" s="37"/>
      <c r="V14" s="37"/>
      <c r="W14" s="37"/>
      <c r="X14" s="37"/>
      <c r="Y14" s="37"/>
      <c r="Z14" s="37"/>
    </row>
    <row r="15" spans="1:26" s="10" customFormat="1" x14ac:dyDescent="0.2">
      <c r="A15" s="204" t="s">
        <v>273</v>
      </c>
      <c r="B15" s="180">
        <v>-52000</v>
      </c>
      <c r="C15" s="180">
        <v>0</v>
      </c>
      <c r="D15" s="180">
        <v>0</v>
      </c>
      <c r="E15" s="180">
        <v>0</v>
      </c>
      <c r="F15" s="180">
        <v>0</v>
      </c>
      <c r="G15" s="180">
        <v>0</v>
      </c>
      <c r="H15" s="180">
        <v>0</v>
      </c>
      <c r="I15" s="180">
        <v>0</v>
      </c>
      <c r="J15" s="180">
        <v>0</v>
      </c>
      <c r="K15" s="180">
        <v>0</v>
      </c>
      <c r="L15" s="180">
        <v>0</v>
      </c>
      <c r="M15" s="180">
        <v>0</v>
      </c>
      <c r="N15" s="180">
        <v>0</v>
      </c>
    </row>
    <row r="16" spans="1:26" s="37" customFormat="1" x14ac:dyDescent="0.25">
      <c r="A16" s="203" t="s">
        <v>274</v>
      </c>
      <c r="B16" s="175">
        <v>29353</v>
      </c>
      <c r="C16" s="175">
        <v>0</v>
      </c>
      <c r="D16" s="175">
        <v>0</v>
      </c>
      <c r="E16" s="175">
        <v>0</v>
      </c>
      <c r="F16" s="175">
        <v>14835</v>
      </c>
      <c r="G16" s="175">
        <v>14835</v>
      </c>
      <c r="H16" s="175">
        <v>0</v>
      </c>
      <c r="I16" s="175">
        <v>0</v>
      </c>
      <c r="J16" s="175">
        <v>0</v>
      </c>
      <c r="K16" s="175">
        <v>-4206</v>
      </c>
      <c r="L16" s="175">
        <v>-4206</v>
      </c>
      <c r="M16" s="175">
        <v>0</v>
      </c>
      <c r="N16" s="175">
        <v>0</v>
      </c>
    </row>
    <row r="17" spans="1:14" s="10" customFormat="1" x14ac:dyDescent="0.2">
      <c r="A17" s="204" t="s">
        <v>275</v>
      </c>
      <c r="B17" s="180">
        <v>0</v>
      </c>
      <c r="C17" s="180">
        <v>0</v>
      </c>
      <c r="D17" s="180">
        <v>0</v>
      </c>
      <c r="E17" s="180">
        <v>23152</v>
      </c>
      <c r="F17" s="180"/>
      <c r="G17" s="180">
        <v>23152</v>
      </c>
      <c r="H17" s="180">
        <v>0</v>
      </c>
      <c r="I17" s="180">
        <v>0</v>
      </c>
      <c r="J17" s="180">
        <v>0</v>
      </c>
      <c r="K17" s="180">
        <v>0</v>
      </c>
      <c r="L17" s="180">
        <v>0</v>
      </c>
      <c r="M17" s="180">
        <v>0</v>
      </c>
      <c r="N17" s="180">
        <v>0</v>
      </c>
    </row>
    <row r="18" spans="1:14" s="37" customFormat="1" x14ac:dyDescent="0.25">
      <c r="A18" s="203" t="s">
        <v>276</v>
      </c>
      <c r="B18" s="175">
        <v>-9505</v>
      </c>
      <c r="C18" s="175">
        <v>0</v>
      </c>
      <c r="D18" s="175">
        <v>0</v>
      </c>
      <c r="E18" s="175">
        <v>0</v>
      </c>
      <c r="F18" s="175">
        <v>0</v>
      </c>
      <c r="G18" s="175">
        <v>0</v>
      </c>
      <c r="H18" s="175">
        <v>0</v>
      </c>
      <c r="I18" s="175">
        <v>0</v>
      </c>
      <c r="J18" s="175">
        <v>0</v>
      </c>
      <c r="K18" s="175">
        <v>0</v>
      </c>
      <c r="L18" s="175">
        <v>0</v>
      </c>
      <c r="M18" s="175">
        <v>0</v>
      </c>
      <c r="N18" s="175">
        <v>0</v>
      </c>
    </row>
    <row r="19" spans="1:14" s="10" customFormat="1" x14ac:dyDescent="0.2">
      <c r="A19" s="204" t="s">
        <v>277</v>
      </c>
      <c r="B19" s="180">
        <v>3370</v>
      </c>
      <c r="C19" s="180">
        <v>4796</v>
      </c>
      <c r="D19" s="180">
        <v>2654</v>
      </c>
      <c r="E19" s="180">
        <v>339</v>
      </c>
      <c r="F19" s="180">
        <v>264</v>
      </c>
      <c r="G19" s="180">
        <v>8053</v>
      </c>
      <c r="H19" s="180">
        <v>54</v>
      </c>
      <c r="I19" s="180">
        <v>0</v>
      </c>
      <c r="J19" s="180">
        <v>12</v>
      </c>
      <c r="K19" s="180">
        <v>0</v>
      </c>
      <c r="L19" s="180">
        <v>66</v>
      </c>
      <c r="M19" s="180">
        <v>0</v>
      </c>
      <c r="N19" s="180">
        <v>0</v>
      </c>
    </row>
    <row r="20" spans="1:14" s="37" customFormat="1" x14ac:dyDescent="0.25">
      <c r="A20" s="203" t="s">
        <v>278</v>
      </c>
      <c r="B20" s="175">
        <v>410186</v>
      </c>
      <c r="C20" s="175">
        <v>36307</v>
      </c>
      <c r="D20" s="175">
        <v>-23855</v>
      </c>
      <c r="E20" s="175">
        <v>-5259</v>
      </c>
      <c r="F20" s="175">
        <v>324759</v>
      </c>
      <c r="G20" s="175">
        <v>331952</v>
      </c>
      <c r="H20" s="175">
        <v>-26979</v>
      </c>
      <c r="I20" s="175">
        <v>134167</v>
      </c>
      <c r="J20" s="175">
        <v>22052</v>
      </c>
      <c r="K20" s="175">
        <v>137404</v>
      </c>
      <c r="L20" s="175">
        <v>266644</v>
      </c>
      <c r="M20" s="175">
        <v>202872</v>
      </c>
      <c r="N20" s="175">
        <v>7937</v>
      </c>
    </row>
    <row r="21" spans="1:14" s="37" customFormat="1" x14ac:dyDescent="0.25">
      <c r="A21" s="204" t="s">
        <v>279</v>
      </c>
      <c r="B21" s="180">
        <v>0</v>
      </c>
      <c r="C21" s="180">
        <v>0</v>
      </c>
      <c r="D21" s="180">
        <v>0</v>
      </c>
      <c r="E21" s="180">
        <v>0</v>
      </c>
      <c r="F21" s="180">
        <v>0</v>
      </c>
      <c r="G21" s="180">
        <v>0</v>
      </c>
      <c r="H21" s="180">
        <v>0</v>
      </c>
      <c r="I21" s="180">
        <v>-23643</v>
      </c>
      <c r="J21" s="180">
        <v>-23163</v>
      </c>
      <c r="K21" s="180">
        <v>-16478</v>
      </c>
      <c r="L21" s="180">
        <v>-63284</v>
      </c>
      <c r="M21" s="180">
        <v>-39781</v>
      </c>
      <c r="N21" s="180">
        <v>0</v>
      </c>
    </row>
    <row r="22" spans="1:14" s="10" customFormat="1" x14ac:dyDescent="0.2">
      <c r="A22" s="203" t="s">
        <v>280</v>
      </c>
      <c r="B22" s="175">
        <v>62652</v>
      </c>
      <c r="C22" s="175">
        <v>0</v>
      </c>
      <c r="D22" s="175">
        <v>0</v>
      </c>
      <c r="E22" s="175">
        <v>0</v>
      </c>
      <c r="F22" s="175">
        <v>120405</v>
      </c>
      <c r="G22" s="175">
        <v>120405</v>
      </c>
      <c r="H22" s="175">
        <v>0</v>
      </c>
      <c r="I22" s="175">
        <v>0</v>
      </c>
      <c r="J22" s="175">
        <v>0</v>
      </c>
      <c r="K22" s="175">
        <v>7589</v>
      </c>
      <c r="L22" s="175">
        <v>7589</v>
      </c>
      <c r="M22" s="175">
        <v>0</v>
      </c>
      <c r="N22" s="175">
        <v>0</v>
      </c>
    </row>
    <row r="23" spans="1:14" s="37" customFormat="1" x14ac:dyDescent="0.25">
      <c r="A23" s="204" t="s">
        <v>281</v>
      </c>
      <c r="B23" s="180">
        <v>0</v>
      </c>
      <c r="C23" s="180">
        <v>0</v>
      </c>
      <c r="D23" s="180">
        <v>0</v>
      </c>
      <c r="E23" s="180">
        <v>0</v>
      </c>
      <c r="F23" s="180">
        <v>-230040</v>
      </c>
      <c r="G23" s="180">
        <v>-230040</v>
      </c>
      <c r="H23" s="180">
        <v>0</v>
      </c>
      <c r="I23" s="180">
        <v>0</v>
      </c>
      <c r="J23" s="180">
        <v>0</v>
      </c>
      <c r="K23" s="180">
        <v>0</v>
      </c>
      <c r="L23" s="180">
        <v>0</v>
      </c>
      <c r="M23" s="180">
        <v>0</v>
      </c>
      <c r="N23" s="180">
        <v>0</v>
      </c>
    </row>
    <row r="24" spans="1:14" s="10" customFormat="1" x14ac:dyDescent="0.2">
      <c r="A24" s="203" t="s">
        <v>282</v>
      </c>
      <c r="B24" s="175">
        <v>9873</v>
      </c>
      <c r="C24" s="175">
        <v>-81</v>
      </c>
      <c r="D24" s="175">
        <v>-132</v>
      </c>
      <c r="E24" s="175">
        <v>91</v>
      </c>
      <c r="F24" s="175">
        <v>6170</v>
      </c>
      <c r="G24" s="175">
        <v>6048</v>
      </c>
      <c r="H24" s="175">
        <v>-15</v>
      </c>
      <c r="I24" s="175">
        <v>315</v>
      </c>
      <c r="J24" s="175">
        <v>164</v>
      </c>
      <c r="K24" s="175">
        <v>63</v>
      </c>
      <c r="L24" s="175">
        <v>527</v>
      </c>
      <c r="M24" s="175">
        <v>-268</v>
      </c>
      <c r="N24" s="175">
        <v>-51</v>
      </c>
    </row>
    <row r="25" spans="1:14" s="37" customFormat="1" x14ac:dyDescent="0.25">
      <c r="A25" s="204" t="s">
        <v>283</v>
      </c>
      <c r="B25" s="180">
        <v>0</v>
      </c>
      <c r="C25" s="180">
        <v>0</v>
      </c>
      <c r="D25" s="180">
        <v>0</v>
      </c>
      <c r="E25" s="180">
        <v>0</v>
      </c>
      <c r="F25" s="180">
        <v>0</v>
      </c>
      <c r="G25" s="180">
        <v>0</v>
      </c>
      <c r="H25" s="180">
        <v>24840</v>
      </c>
      <c r="I25" s="180">
        <v>-2599</v>
      </c>
      <c r="J25" s="180">
        <v>-8405</v>
      </c>
      <c r="K25" s="180">
        <v>-35280</v>
      </c>
      <c r="L25" s="180">
        <v>-21444</v>
      </c>
      <c r="M25" s="180">
        <v>19260</v>
      </c>
      <c r="N25" s="180">
        <v>-33696</v>
      </c>
    </row>
    <row r="26" spans="1:14" s="10" customFormat="1" x14ac:dyDescent="0.2">
      <c r="A26" s="203" t="s">
        <v>284</v>
      </c>
      <c r="B26" s="175">
        <f>-21028-865+367-2927</f>
        <v>-24453</v>
      </c>
      <c r="C26" s="175">
        <f>-9782+253</f>
        <v>-9529</v>
      </c>
      <c r="D26" s="175">
        <f>-5590-617</f>
        <v>-6207</v>
      </c>
      <c r="E26" s="175">
        <f>-7290-1316</f>
        <v>-8606</v>
      </c>
      <c r="F26" s="175">
        <f>1560+1316+364</f>
        <v>3240</v>
      </c>
      <c r="G26" s="175">
        <v>-21102</v>
      </c>
      <c r="H26" s="175">
        <v>-2352</v>
      </c>
      <c r="I26" s="175">
        <v>3352</v>
      </c>
      <c r="J26" s="175">
        <f>-3557+12268</f>
        <v>8711</v>
      </c>
      <c r="K26" s="175">
        <f>-15547</f>
        <v>-15547</v>
      </c>
      <c r="L26" s="175">
        <v>-5836</v>
      </c>
      <c r="M26" s="175">
        <v>-768</v>
      </c>
      <c r="N26" s="175">
        <v>630</v>
      </c>
    </row>
    <row r="27" spans="1:14" s="37" customFormat="1" x14ac:dyDescent="0.25">
      <c r="A27" s="204" t="s">
        <v>285</v>
      </c>
      <c r="B27" s="180">
        <v>0</v>
      </c>
      <c r="C27" s="180">
        <v>0</v>
      </c>
      <c r="D27" s="180">
        <v>0</v>
      </c>
      <c r="E27" s="180">
        <v>0</v>
      </c>
      <c r="F27" s="180">
        <v>0</v>
      </c>
      <c r="G27" s="180">
        <v>0</v>
      </c>
      <c r="H27" s="180">
        <v>0</v>
      </c>
      <c r="I27" s="180">
        <v>0</v>
      </c>
      <c r="J27" s="180">
        <v>0</v>
      </c>
      <c r="K27" s="180">
        <v>0</v>
      </c>
      <c r="L27" s="180">
        <v>0</v>
      </c>
      <c r="M27" s="180">
        <v>-1245</v>
      </c>
      <c r="N27" s="180">
        <v>-659</v>
      </c>
    </row>
    <row r="28" spans="1:14" s="10" customFormat="1" ht="13.5" thickBot="1" x14ac:dyDescent="0.25">
      <c r="A28" s="203" t="s">
        <v>286</v>
      </c>
      <c r="B28" s="175">
        <v>0</v>
      </c>
      <c r="C28" s="175">
        <v>0</v>
      </c>
      <c r="D28" s="175">
        <v>0</v>
      </c>
      <c r="E28" s="175">
        <v>0</v>
      </c>
      <c r="F28" s="175">
        <v>0</v>
      </c>
      <c r="G28" s="175">
        <v>0</v>
      </c>
      <c r="H28" s="175">
        <v>0</v>
      </c>
      <c r="I28" s="175">
        <v>0</v>
      </c>
      <c r="J28" s="175">
        <v>0</v>
      </c>
      <c r="K28" s="175">
        <v>0</v>
      </c>
      <c r="L28" s="175">
        <v>0</v>
      </c>
      <c r="M28" s="175">
        <v>-1476</v>
      </c>
      <c r="N28" s="175">
        <v>-3131</v>
      </c>
    </row>
    <row r="29" spans="1:14" s="10" customFormat="1" ht="13.5" thickBot="1" x14ac:dyDescent="0.25">
      <c r="A29" s="205" t="s">
        <v>12</v>
      </c>
      <c r="B29" s="206">
        <f t="shared" ref="B29:M29" si="0">SUM(B4:B28)</f>
        <v>-974957</v>
      </c>
      <c r="C29" s="206">
        <f t="shared" si="0"/>
        <v>-458728</v>
      </c>
      <c r="D29" s="206">
        <f t="shared" si="0"/>
        <v>-268253</v>
      </c>
      <c r="E29" s="206">
        <f t="shared" si="0"/>
        <v>-287350</v>
      </c>
      <c r="F29" s="206">
        <f t="shared" si="0"/>
        <v>-73603</v>
      </c>
      <c r="G29" s="206">
        <f t="shared" si="0"/>
        <v>-1087934</v>
      </c>
      <c r="H29" s="206">
        <f t="shared" si="0"/>
        <v>-251743</v>
      </c>
      <c r="I29" s="206">
        <f t="shared" si="0"/>
        <v>-187608</v>
      </c>
      <c r="J29" s="206">
        <f t="shared" si="0"/>
        <v>-337023</v>
      </c>
      <c r="K29" s="206">
        <f t="shared" si="0"/>
        <v>-328148</v>
      </c>
      <c r="L29" s="206">
        <f t="shared" si="0"/>
        <v>-1104522</v>
      </c>
      <c r="M29" s="206">
        <f t="shared" si="0"/>
        <v>-209257</v>
      </c>
      <c r="N29" s="206">
        <f t="shared" ref="N29" si="1">SUM(N4:N28)</f>
        <v>-392880</v>
      </c>
    </row>
    <row r="30" spans="1:14" x14ac:dyDescent="0.2">
      <c r="A30" s="16"/>
      <c r="B30" s="207"/>
      <c r="C30" s="16"/>
      <c r="D30" s="207"/>
      <c r="E30" s="207"/>
      <c r="F30" s="16"/>
      <c r="G30" s="16"/>
      <c r="H30" s="16"/>
      <c r="I30" s="208"/>
      <c r="J30" s="208"/>
      <c r="K30" s="208"/>
      <c r="L30" s="208"/>
      <c r="M30" s="208"/>
      <c r="N30" s="16"/>
    </row>
  </sheetData>
  <mergeCells count="1">
    <mergeCell ref="B1:N1"/>
  </mergeCells>
  <pageMargins left="0.511811024" right="0.511811024" top="0.78740157499999996" bottom="0.78740157499999996" header="0.31496062000000002" footer="0.31496062000000002"/>
  <pageSetup paperSize="9" orientation="portrait" r:id="rId1"/>
  <ignoredErrors>
    <ignoredError sqref="G29:L29 B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871ED-4145-4520-9735-7830B17737A1}">
  <sheetPr codeName="Planilha10"/>
  <dimension ref="A1:V31"/>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sheetView>
  </sheetViews>
  <sheetFormatPr defaultColWidth="9.140625" defaultRowHeight="12" x14ac:dyDescent="0.2"/>
  <cols>
    <col min="1" max="1" width="59.7109375" style="63" bestFit="1" customWidth="1"/>
    <col min="2" max="2" width="18.85546875" style="63" customWidth="1"/>
    <col min="3" max="3" width="12.7109375" style="63" customWidth="1"/>
    <col min="4" max="4" width="14.5703125" style="63" bestFit="1" customWidth="1"/>
    <col min="5" max="5" width="11.42578125" style="63" customWidth="1"/>
    <col min="6" max="6" width="13.140625" style="63" customWidth="1"/>
    <col min="7" max="9" width="11.42578125" style="63" customWidth="1"/>
    <col min="10" max="16384" width="9.140625" style="63"/>
  </cols>
  <sheetData>
    <row r="1" spans="1:22" s="9" customFormat="1" ht="54.75" customHeight="1" x14ac:dyDescent="0.2">
      <c r="A1" s="8"/>
      <c r="B1" s="281" t="s">
        <v>247</v>
      </c>
      <c r="C1" s="281"/>
      <c r="D1" s="281"/>
      <c r="E1" s="281"/>
      <c r="F1" s="281"/>
      <c r="G1" s="281"/>
      <c r="H1" s="281"/>
      <c r="I1" s="173"/>
      <c r="J1" s="105"/>
      <c r="K1" s="105"/>
      <c r="L1" s="105"/>
      <c r="M1" s="105"/>
      <c r="N1" s="105"/>
      <c r="O1" s="105"/>
      <c r="P1" s="105"/>
      <c r="Q1" s="105"/>
      <c r="R1" s="105"/>
      <c r="S1" s="105"/>
      <c r="T1" s="105"/>
      <c r="U1" s="105"/>
      <c r="V1" s="65"/>
    </row>
    <row r="2" spans="1:22" ht="8.25" customHeight="1" x14ac:dyDescent="0.2"/>
    <row r="3" spans="1:22" s="102" customFormat="1" ht="12.75" thickBot="1" x14ac:dyDescent="0.3">
      <c r="A3" s="103" t="s">
        <v>248</v>
      </c>
      <c r="B3" s="114" t="s">
        <v>131</v>
      </c>
      <c r="C3" s="114" t="s">
        <v>132</v>
      </c>
      <c r="D3" s="114" t="s">
        <v>133</v>
      </c>
      <c r="E3" s="114" t="s">
        <v>134</v>
      </c>
      <c r="F3" s="114">
        <v>2020</v>
      </c>
      <c r="G3" s="114" t="s">
        <v>135</v>
      </c>
      <c r="H3" s="114" t="s">
        <v>136</v>
      </c>
      <c r="I3" s="243"/>
    </row>
    <row r="4" spans="1:22" x14ac:dyDescent="0.2">
      <c r="A4" s="106" t="s">
        <v>249</v>
      </c>
      <c r="B4" s="113">
        <v>1817931</v>
      </c>
      <c r="C4" s="113">
        <v>1791704</v>
      </c>
      <c r="D4" s="113">
        <v>1769541</v>
      </c>
      <c r="E4" s="113">
        <v>1825562</v>
      </c>
      <c r="F4" s="113">
        <f>E4</f>
        <v>1825562</v>
      </c>
      <c r="G4" s="113">
        <v>1852144</v>
      </c>
      <c r="H4" s="119">
        <v>1900420</v>
      </c>
      <c r="I4" s="244"/>
    </row>
    <row r="5" spans="1:22" x14ac:dyDescent="0.2">
      <c r="A5" s="107" t="s">
        <v>250</v>
      </c>
      <c r="B5" s="112">
        <v>950183</v>
      </c>
      <c r="C5" s="112">
        <v>784549</v>
      </c>
      <c r="D5" s="112">
        <v>872593</v>
      </c>
      <c r="E5" s="112">
        <v>713384</v>
      </c>
      <c r="F5" s="112">
        <f t="shared" ref="F5:F6" si="0">E5</f>
        <v>713384</v>
      </c>
      <c r="G5" s="112">
        <v>870126</v>
      </c>
      <c r="H5" s="120">
        <v>542877</v>
      </c>
      <c r="I5" s="244"/>
    </row>
    <row r="6" spans="1:22" ht="12.75" thickBot="1" x14ac:dyDescent="0.25">
      <c r="A6" s="109" t="s">
        <v>251</v>
      </c>
      <c r="B6" s="113">
        <v>199563</v>
      </c>
      <c r="C6" s="113">
        <v>213460</v>
      </c>
      <c r="D6" s="113">
        <v>202515</v>
      </c>
      <c r="E6" s="113">
        <v>104225</v>
      </c>
      <c r="F6" s="113">
        <f t="shared" si="0"/>
        <v>104225</v>
      </c>
      <c r="G6" s="113">
        <v>127584</v>
      </c>
      <c r="H6" s="119">
        <v>48869</v>
      </c>
      <c r="I6" s="244"/>
    </row>
    <row r="7" spans="1:22" ht="12.75" thickBot="1" x14ac:dyDescent="0.25">
      <c r="A7" s="108" t="s">
        <v>252</v>
      </c>
      <c r="B7" s="110">
        <f>B4-B5+B6</f>
        <v>1067311</v>
      </c>
      <c r="C7" s="110">
        <f t="shared" ref="C7:H7" si="1">C4-C5+C6</f>
        <v>1220615</v>
      </c>
      <c r="D7" s="110">
        <f t="shared" si="1"/>
        <v>1099463</v>
      </c>
      <c r="E7" s="110">
        <f t="shared" si="1"/>
        <v>1216403</v>
      </c>
      <c r="F7" s="110">
        <f t="shared" si="1"/>
        <v>1216403</v>
      </c>
      <c r="G7" s="110">
        <f t="shared" si="1"/>
        <v>1109602</v>
      </c>
      <c r="H7" s="121">
        <f t="shared" si="1"/>
        <v>1406412</v>
      </c>
      <c r="I7" s="242"/>
    </row>
    <row r="8" spans="1:22" x14ac:dyDescent="0.2">
      <c r="A8" s="109" t="s">
        <v>46</v>
      </c>
      <c r="B8" s="113">
        <v>1196865</v>
      </c>
      <c r="C8" s="113">
        <v>1401920</v>
      </c>
      <c r="D8" s="113">
        <v>1407395</v>
      </c>
      <c r="E8" s="113">
        <v>1210055</v>
      </c>
      <c r="F8" s="113">
        <f t="shared" ref="F8:F9" si="2">E8</f>
        <v>1210055</v>
      </c>
      <c r="G8" s="113">
        <v>1346346</v>
      </c>
      <c r="H8" s="119">
        <v>1178200</v>
      </c>
      <c r="I8" s="244"/>
    </row>
    <row r="9" spans="1:22" ht="12.75" thickBot="1" x14ac:dyDescent="0.25">
      <c r="A9" s="123" t="s">
        <v>253</v>
      </c>
      <c r="B9" s="130">
        <v>1046413</v>
      </c>
      <c r="C9" s="130">
        <v>1115097</v>
      </c>
      <c r="D9" s="130">
        <v>1116430</v>
      </c>
      <c r="E9" s="130">
        <v>1014104</v>
      </c>
      <c r="F9" s="130">
        <f t="shared" si="2"/>
        <v>1014104</v>
      </c>
      <c r="G9" s="130">
        <v>960325</v>
      </c>
      <c r="H9" s="131">
        <v>894766</v>
      </c>
      <c r="I9" s="244"/>
    </row>
    <row r="10" spans="1:22" ht="12.75" thickBot="1" x14ac:dyDescent="0.25">
      <c r="A10" s="126" t="s">
        <v>254</v>
      </c>
      <c r="B10" s="128">
        <f>B7/B8</f>
        <v>0.89175554469384599</v>
      </c>
      <c r="C10" s="128">
        <f t="shared" ref="C10:H10" si="3">C7/C8</f>
        <v>0.87067379023054092</v>
      </c>
      <c r="D10" s="128">
        <f t="shared" si="3"/>
        <v>0.78120428166932521</v>
      </c>
      <c r="E10" s="128">
        <f t="shared" si="3"/>
        <v>1.0052460425352567</v>
      </c>
      <c r="F10" s="128">
        <f t="shared" si="3"/>
        <v>1.0052460425352567</v>
      </c>
      <c r="G10" s="128">
        <f t="shared" si="3"/>
        <v>0.82415812874253724</v>
      </c>
      <c r="H10" s="128">
        <f t="shared" si="3"/>
        <v>1.193695467662536</v>
      </c>
      <c r="I10" s="245"/>
    </row>
    <row r="11" spans="1:22" x14ac:dyDescent="0.2">
      <c r="A11" s="127" t="s">
        <v>255</v>
      </c>
      <c r="B11" s="129">
        <f>B7/B9</f>
        <v>1.0199710821635435</v>
      </c>
      <c r="C11" s="129">
        <f t="shared" ref="C11:H11" si="4">C7/C9</f>
        <v>1.0946267454759542</v>
      </c>
      <c r="D11" s="129">
        <f t="shared" si="4"/>
        <v>0.98480245066864913</v>
      </c>
      <c r="E11" s="129">
        <f t="shared" si="4"/>
        <v>1.1994854571128799</v>
      </c>
      <c r="F11" s="129">
        <f t="shared" si="4"/>
        <v>1.1994854571128799</v>
      </c>
      <c r="G11" s="129">
        <f t="shared" si="4"/>
        <v>1.1554442506443132</v>
      </c>
      <c r="H11" s="129">
        <f t="shared" si="4"/>
        <v>1.5718210124211247</v>
      </c>
      <c r="I11" s="245"/>
    </row>
    <row r="12" spans="1:22" x14ac:dyDescent="0.2">
      <c r="A12" s="157" t="s">
        <v>256</v>
      </c>
      <c r="B12" s="135"/>
      <c r="C12" s="135"/>
      <c r="D12" s="135"/>
      <c r="E12" s="135"/>
      <c r="F12" s="135"/>
      <c r="G12" s="135"/>
      <c r="H12" s="135"/>
      <c r="I12" s="242"/>
    </row>
    <row r="13" spans="1:22" x14ac:dyDescent="0.2">
      <c r="H13" s="122"/>
      <c r="I13" s="246"/>
    </row>
    <row r="14" spans="1:22" ht="12.75" thickBot="1" x14ac:dyDescent="0.25">
      <c r="A14" s="103" t="s">
        <v>257</v>
      </c>
      <c r="B14" s="114"/>
      <c r="C14" s="114"/>
      <c r="D14" s="114"/>
      <c r="E14" s="114"/>
      <c r="F14" s="114"/>
      <c r="G14" s="114"/>
      <c r="H14" s="114"/>
      <c r="I14" s="243"/>
    </row>
    <row r="15" spans="1:22" x14ac:dyDescent="0.2">
      <c r="A15" s="106" t="s">
        <v>48</v>
      </c>
      <c r="B15" s="136">
        <v>1</v>
      </c>
      <c r="C15" s="136">
        <v>1</v>
      </c>
      <c r="D15" s="136">
        <v>0.17</v>
      </c>
      <c r="E15" s="136">
        <v>0.17</v>
      </c>
      <c r="F15" s="136">
        <f>E15</f>
        <v>0.17</v>
      </c>
      <c r="G15" s="136">
        <v>0.17</v>
      </c>
      <c r="H15" s="137">
        <v>0.16</v>
      </c>
      <c r="I15" s="247"/>
    </row>
    <row r="16" spans="1:22" ht="12.75" thickBot="1" x14ac:dyDescent="0.25">
      <c r="A16" s="107" t="s">
        <v>47</v>
      </c>
      <c r="B16" s="138">
        <v>0</v>
      </c>
      <c r="C16" s="138">
        <v>0</v>
      </c>
      <c r="D16" s="138">
        <v>0.83</v>
      </c>
      <c r="E16" s="138">
        <v>0.83</v>
      </c>
      <c r="F16" s="138">
        <f>E16</f>
        <v>0.83</v>
      </c>
      <c r="G16" s="138">
        <v>0.83</v>
      </c>
      <c r="H16" s="139">
        <v>0.84</v>
      </c>
      <c r="I16" s="248"/>
    </row>
    <row r="17" spans="1:10" ht="12.75" thickBot="1" x14ac:dyDescent="0.25">
      <c r="A17" s="108" t="s">
        <v>12</v>
      </c>
      <c r="B17" s="141">
        <f>SUM(B15:B16)</f>
        <v>1</v>
      </c>
      <c r="C17" s="141">
        <f t="shared" ref="C17:H17" si="5">SUM(C15:C16)</f>
        <v>1</v>
      </c>
      <c r="D17" s="141">
        <f t="shared" si="5"/>
        <v>1</v>
      </c>
      <c r="E17" s="141">
        <f t="shared" si="5"/>
        <v>1</v>
      </c>
      <c r="F17" s="141">
        <f t="shared" si="5"/>
        <v>1</v>
      </c>
      <c r="G17" s="141">
        <f t="shared" si="5"/>
        <v>1</v>
      </c>
      <c r="H17" s="141">
        <f t="shared" si="5"/>
        <v>1</v>
      </c>
      <c r="I17" s="249"/>
    </row>
    <row r="18" spans="1:10" ht="12.75" thickBot="1" x14ac:dyDescent="0.25">
      <c r="I18" s="246"/>
    </row>
    <row r="19" spans="1:10" s="133" customFormat="1" ht="12.75" thickBot="1" x14ac:dyDescent="0.25">
      <c r="A19" s="132" t="s">
        <v>258</v>
      </c>
      <c r="B19" s="140">
        <v>4.2</v>
      </c>
      <c r="C19" s="140">
        <v>4</v>
      </c>
      <c r="D19" s="140">
        <v>8</v>
      </c>
      <c r="E19" s="140">
        <v>7.8</v>
      </c>
      <c r="F19" s="140">
        <f>E19</f>
        <v>7.8</v>
      </c>
      <c r="G19" s="140">
        <v>7.5</v>
      </c>
      <c r="H19" s="140">
        <v>7.3</v>
      </c>
      <c r="I19" s="250"/>
    </row>
    <row r="20" spans="1:10" x14ac:dyDescent="0.2">
      <c r="I20" s="246"/>
    </row>
    <row r="21" spans="1:10" ht="24.75" thickBot="1" x14ac:dyDescent="0.25">
      <c r="A21" s="103" t="s">
        <v>259</v>
      </c>
      <c r="B21" s="104" t="s">
        <v>260</v>
      </c>
      <c r="C21" s="104" t="s">
        <v>261</v>
      </c>
      <c r="D21" s="160" t="s">
        <v>262</v>
      </c>
      <c r="E21" s="143"/>
      <c r="F21" s="143"/>
      <c r="G21" s="143"/>
      <c r="H21" s="143"/>
      <c r="I21" s="143"/>
      <c r="J21" s="144"/>
    </row>
    <row r="22" spans="1:10" x14ac:dyDescent="0.2">
      <c r="A22" s="106" t="s">
        <v>49</v>
      </c>
      <c r="B22" s="136" t="s">
        <v>263</v>
      </c>
      <c r="C22" s="149">
        <v>44914</v>
      </c>
      <c r="D22" s="156">
        <v>75.000150000000005</v>
      </c>
      <c r="E22" s="145"/>
      <c r="F22" s="145"/>
      <c r="G22" s="145"/>
      <c r="H22" s="146"/>
      <c r="I22" s="145"/>
      <c r="J22" s="144"/>
    </row>
    <row r="23" spans="1:10" x14ac:dyDescent="0.2">
      <c r="A23" s="152" t="s">
        <v>53</v>
      </c>
      <c r="B23" s="153" t="s">
        <v>263</v>
      </c>
      <c r="C23" s="154">
        <v>45279</v>
      </c>
      <c r="D23" s="150">
        <v>74.992649984999986</v>
      </c>
      <c r="E23" s="145"/>
      <c r="F23" s="145"/>
      <c r="G23" s="145"/>
      <c r="H23" s="146"/>
      <c r="I23" s="145"/>
      <c r="J23" s="144"/>
    </row>
    <row r="24" spans="1:10" x14ac:dyDescent="0.2">
      <c r="A24" s="106" t="s">
        <v>55</v>
      </c>
      <c r="B24" s="136" t="s">
        <v>263</v>
      </c>
      <c r="C24" s="149">
        <v>45645</v>
      </c>
      <c r="D24" s="155">
        <v>75.003900007500008</v>
      </c>
      <c r="E24" s="145"/>
      <c r="F24" s="145"/>
      <c r="G24" s="145"/>
      <c r="H24" s="146"/>
      <c r="I24" s="145"/>
      <c r="J24" s="144"/>
    </row>
    <row r="25" spans="1:10" x14ac:dyDescent="0.2">
      <c r="A25" s="152" t="s">
        <v>54</v>
      </c>
      <c r="B25" s="153" t="s">
        <v>263</v>
      </c>
      <c r="C25" s="154">
        <v>46010</v>
      </c>
      <c r="D25" s="150">
        <v>75.003900007500008</v>
      </c>
      <c r="E25" s="145"/>
      <c r="F25" s="145"/>
      <c r="G25" s="145"/>
      <c r="H25" s="146"/>
      <c r="I25" s="145"/>
      <c r="J25" s="144"/>
    </row>
    <row r="26" spans="1:10" x14ac:dyDescent="0.2">
      <c r="A26" s="109" t="s">
        <v>50</v>
      </c>
      <c r="B26" s="136" t="s">
        <v>264</v>
      </c>
      <c r="C26" s="149">
        <v>46980</v>
      </c>
      <c r="D26" s="155">
        <v>538.9112760881851</v>
      </c>
      <c r="E26" s="145"/>
      <c r="F26" s="145"/>
      <c r="G26" s="145"/>
      <c r="H26" s="146"/>
      <c r="I26" s="145"/>
      <c r="J26" s="144"/>
    </row>
    <row r="27" spans="1:10" x14ac:dyDescent="0.2">
      <c r="A27" s="107" t="s">
        <v>51</v>
      </c>
      <c r="B27" s="138" t="s">
        <v>264</v>
      </c>
      <c r="C27" s="148">
        <v>47345</v>
      </c>
      <c r="D27" s="150">
        <v>538.91208445590757</v>
      </c>
      <c r="E27" s="145"/>
      <c r="F27" s="145"/>
      <c r="G27" s="145"/>
      <c r="H27" s="146"/>
      <c r="I27" s="145"/>
      <c r="J27" s="144"/>
    </row>
    <row r="28" spans="1:10" ht="12.75" thickBot="1" x14ac:dyDescent="0.25">
      <c r="A28" s="109" t="s">
        <v>52</v>
      </c>
      <c r="B28" s="136" t="s">
        <v>264</v>
      </c>
      <c r="C28" s="149">
        <v>47710</v>
      </c>
      <c r="D28" s="155">
        <v>538.91208445590757</v>
      </c>
      <c r="E28" s="145"/>
      <c r="F28" s="145"/>
      <c r="G28" s="145"/>
      <c r="H28" s="146"/>
      <c r="I28" s="145"/>
      <c r="J28" s="144"/>
    </row>
    <row r="29" spans="1:10" ht="12.75" thickBot="1" x14ac:dyDescent="0.25">
      <c r="A29" s="108" t="s">
        <v>12</v>
      </c>
      <c r="B29" s="111" t="s">
        <v>18</v>
      </c>
      <c r="C29" s="111" t="s">
        <v>18</v>
      </c>
      <c r="D29" s="151">
        <f>SUM(D22:D28)</f>
        <v>1916.7360450000001</v>
      </c>
      <c r="E29" s="147"/>
      <c r="F29" s="158"/>
      <c r="G29" s="147"/>
      <c r="H29" s="147"/>
      <c r="I29" s="147"/>
      <c r="J29" s="144"/>
    </row>
    <row r="30" spans="1:10" x14ac:dyDescent="0.2">
      <c r="A30" s="157"/>
      <c r="D30" s="159"/>
      <c r="E30" s="144"/>
      <c r="F30" s="144"/>
      <c r="G30" s="144"/>
      <c r="H30" s="144"/>
      <c r="I30" s="144"/>
      <c r="J30" s="144"/>
    </row>
    <row r="31" spans="1:10" x14ac:dyDescent="0.2">
      <c r="D31" s="144"/>
      <c r="E31" s="144"/>
      <c r="F31" s="144"/>
      <c r="G31" s="144"/>
      <c r="H31" s="144"/>
      <c r="I31" s="144"/>
      <c r="J31" s="144"/>
    </row>
  </sheetData>
  <mergeCells count="1">
    <mergeCell ref="B1:H1"/>
  </mergeCells>
  <pageMargins left="0.511811024" right="0.511811024" top="0.78740157499999996" bottom="0.78740157499999996" header="0.31496062000000002" footer="0.31496062000000002"/>
  <pageSetup paperSize="9" orientation="portrait" r:id="rId1"/>
  <ignoredErrors>
    <ignoredError sqref="F7:H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D79C-1A15-46A3-BB39-0A15DF9256B0}">
  <sheetPr codeName="Planilha6"/>
  <dimension ref="A1:Z24"/>
  <sheetViews>
    <sheetView showGridLines="0" zoomScale="85" zoomScaleNormal="85" workbookViewId="0">
      <pane xSplit="1" ySplit="1" topLeftCell="D2" activePane="bottomRight" state="frozen"/>
      <selection activeCell="M14" sqref="M13:M14"/>
      <selection pane="topRight" activeCell="M14" sqref="M13:M14"/>
      <selection pane="bottomLeft" activeCell="M14" sqref="M13:M14"/>
      <selection pane="bottomRight" activeCell="O13" sqref="O13"/>
    </sheetView>
  </sheetViews>
  <sheetFormatPr defaultColWidth="9.140625" defaultRowHeight="14.25" x14ac:dyDescent="0.2"/>
  <cols>
    <col min="1" max="1" width="37.7109375" style="4" customWidth="1"/>
    <col min="2" max="2" width="19.5703125" style="4" customWidth="1"/>
    <col min="3" max="6" width="16.7109375" style="4" customWidth="1"/>
    <col min="7" max="7" width="25" style="4" customWidth="1"/>
    <col min="8" max="16" width="11.28515625" style="4" customWidth="1"/>
    <col min="17" max="16384" width="9.140625" style="4"/>
  </cols>
  <sheetData>
    <row r="1" spans="1:26" s="9" customFormat="1" ht="54.75" customHeight="1" x14ac:dyDescent="0.2">
      <c r="A1" s="8"/>
      <c r="B1" s="281" t="s">
        <v>218</v>
      </c>
      <c r="C1" s="281"/>
      <c r="D1" s="281"/>
      <c r="E1" s="281"/>
      <c r="F1" s="281"/>
      <c r="G1" s="281"/>
      <c r="H1" s="281"/>
      <c r="I1" s="281"/>
      <c r="J1" s="281"/>
      <c r="K1" s="281"/>
      <c r="L1" s="281"/>
      <c r="M1" s="281"/>
      <c r="N1" s="281"/>
      <c r="O1" s="281"/>
      <c r="P1" s="173"/>
      <c r="Q1" s="173"/>
      <c r="R1" s="173"/>
      <c r="S1" s="173"/>
      <c r="T1" s="173"/>
      <c r="U1" s="173"/>
      <c r="V1" s="173"/>
      <c r="W1" s="173"/>
      <c r="X1" s="173"/>
      <c r="Y1" s="173"/>
      <c r="Z1" s="173"/>
    </row>
    <row r="2" spans="1:26" s="9" customFormat="1" ht="8.25" customHeight="1" x14ac:dyDescent="0.2"/>
    <row r="3" spans="1:26" s="11" customFormat="1" ht="25.5" x14ac:dyDescent="0.25">
      <c r="A3" s="209" t="s">
        <v>219</v>
      </c>
      <c r="B3" s="219" t="s">
        <v>220</v>
      </c>
      <c r="C3" s="219" t="s">
        <v>222</v>
      </c>
      <c r="D3" s="219" t="s">
        <v>223</v>
      </c>
      <c r="E3" s="219" t="s">
        <v>224</v>
      </c>
      <c r="F3" s="219" t="s">
        <v>225</v>
      </c>
      <c r="G3" s="219" t="s">
        <v>221</v>
      </c>
      <c r="H3" s="219" t="s">
        <v>226</v>
      </c>
      <c r="I3" s="210"/>
      <c r="J3" s="210"/>
      <c r="K3" s="210"/>
      <c r="L3" s="210"/>
      <c r="M3" s="210"/>
      <c r="N3" s="210"/>
      <c r="O3" s="210"/>
      <c r="P3" s="251"/>
    </row>
    <row r="4" spans="1:26" s="176" customFormat="1" ht="12.75" x14ac:dyDescent="0.25">
      <c r="A4" s="189" t="s">
        <v>13</v>
      </c>
      <c r="B4" s="212">
        <v>2040</v>
      </c>
      <c r="C4" s="213">
        <v>54527</v>
      </c>
      <c r="D4" s="214">
        <v>10.199999999999999</v>
      </c>
      <c r="E4" s="176">
        <v>14</v>
      </c>
      <c r="F4" s="176">
        <v>1999</v>
      </c>
      <c r="G4" s="176" t="s">
        <v>21</v>
      </c>
      <c r="P4" s="183"/>
    </row>
    <row r="5" spans="1:26" s="218" customFormat="1" ht="12.75" x14ac:dyDescent="0.25">
      <c r="A5" s="195" t="s">
        <v>14</v>
      </c>
      <c r="B5" s="215">
        <v>177</v>
      </c>
      <c r="C5" s="216">
        <v>44448</v>
      </c>
      <c r="D5" s="217">
        <v>2.4</v>
      </c>
      <c r="E5" s="215">
        <v>2</v>
      </c>
      <c r="F5" s="178">
        <v>1978</v>
      </c>
      <c r="G5" s="174" t="s">
        <v>22</v>
      </c>
      <c r="H5" s="174" t="s">
        <v>20</v>
      </c>
      <c r="I5" s="215"/>
      <c r="J5" s="215"/>
      <c r="K5" s="215"/>
      <c r="L5" s="215"/>
      <c r="M5" s="215"/>
      <c r="N5" s="215"/>
      <c r="O5" s="215"/>
      <c r="P5" s="252"/>
    </row>
    <row r="6" spans="1:26" s="218" customFormat="1" ht="12.75" x14ac:dyDescent="0.25">
      <c r="A6" s="189" t="s">
        <v>15</v>
      </c>
      <c r="B6" s="212">
        <v>56</v>
      </c>
      <c r="C6" s="213">
        <v>44196</v>
      </c>
      <c r="D6" s="214">
        <v>1</v>
      </c>
      <c r="E6" s="212">
        <v>2</v>
      </c>
      <c r="F6" s="176">
        <v>1972</v>
      </c>
      <c r="G6" s="176" t="s">
        <v>23</v>
      </c>
      <c r="H6" s="176" t="s">
        <v>19</v>
      </c>
      <c r="I6" s="212"/>
      <c r="J6" s="212"/>
      <c r="K6" s="212"/>
      <c r="L6" s="212"/>
      <c r="M6" s="212"/>
      <c r="N6" s="212"/>
      <c r="O6" s="212"/>
      <c r="P6" s="252"/>
    </row>
    <row r="7" spans="1:26" s="11" customFormat="1" ht="12.75" x14ac:dyDescent="0.25">
      <c r="A7" s="12"/>
      <c r="B7" s="14"/>
      <c r="C7" s="15"/>
      <c r="D7" s="211"/>
      <c r="E7" s="14"/>
      <c r="F7" s="14"/>
      <c r="G7" s="14"/>
      <c r="H7" s="14"/>
      <c r="I7" s="14"/>
      <c r="J7" s="14"/>
      <c r="K7" s="14"/>
      <c r="L7" s="14"/>
      <c r="M7" s="14"/>
      <c r="N7" s="14"/>
      <c r="O7" s="14"/>
      <c r="P7" s="251"/>
    </row>
    <row r="8" spans="1:26" s="11" customFormat="1" ht="21.95" customHeight="1" thickBot="1" x14ac:dyDescent="0.3">
      <c r="A8" s="5" t="s">
        <v>244</v>
      </c>
      <c r="B8" s="7" t="s">
        <v>227</v>
      </c>
      <c r="C8" s="7" t="s">
        <v>228</v>
      </c>
      <c r="D8" s="7" t="s">
        <v>229</v>
      </c>
      <c r="E8" s="7" t="s">
        <v>230</v>
      </c>
      <c r="F8" s="7" t="s">
        <v>231</v>
      </c>
      <c r="G8" s="7" t="s">
        <v>232</v>
      </c>
      <c r="H8" s="7" t="s">
        <v>233</v>
      </c>
      <c r="I8" s="7" t="s">
        <v>234</v>
      </c>
      <c r="J8" s="7" t="s">
        <v>131</v>
      </c>
      <c r="K8" s="7" t="s">
        <v>132</v>
      </c>
      <c r="L8" s="7" t="s">
        <v>133</v>
      </c>
      <c r="M8" s="7" t="s">
        <v>134</v>
      </c>
      <c r="N8" s="7" t="s">
        <v>135</v>
      </c>
      <c r="O8" s="7" t="s">
        <v>136</v>
      </c>
      <c r="P8" s="37"/>
    </row>
    <row r="9" spans="1:26" s="16" customFormat="1" ht="12.75" x14ac:dyDescent="0.2">
      <c r="A9" s="188" t="s">
        <v>235</v>
      </c>
      <c r="B9" s="220"/>
      <c r="C9" s="220"/>
      <c r="D9" s="220"/>
      <c r="E9" s="220"/>
      <c r="F9" s="221"/>
      <c r="G9" s="221"/>
      <c r="H9" s="221"/>
      <c r="I9" s="221"/>
      <c r="J9" s="221"/>
      <c r="K9" s="221"/>
      <c r="L9" s="221"/>
      <c r="M9" s="221"/>
      <c r="N9" s="221"/>
      <c r="O9" s="221"/>
    </row>
    <row r="10" spans="1:26" s="218" customFormat="1" ht="12.75" x14ac:dyDescent="0.25">
      <c r="A10" s="189" t="s">
        <v>13</v>
      </c>
      <c r="B10" s="222">
        <v>1540</v>
      </c>
      <c r="C10" s="222">
        <v>1540</v>
      </c>
      <c r="D10" s="222">
        <v>1540</v>
      </c>
      <c r="E10" s="222">
        <v>1540</v>
      </c>
      <c r="F10" s="222">
        <v>1540</v>
      </c>
      <c r="G10" s="222">
        <v>1540</v>
      </c>
      <c r="H10" s="222">
        <v>1540</v>
      </c>
      <c r="I10" s="222">
        <v>1540</v>
      </c>
      <c r="J10" s="222">
        <v>1540</v>
      </c>
      <c r="K10" s="222">
        <v>1540</v>
      </c>
      <c r="L10" s="222">
        <v>1540</v>
      </c>
      <c r="M10" s="222">
        <v>1540</v>
      </c>
      <c r="N10" s="222">
        <f>M10</f>
        <v>1540</v>
      </c>
      <c r="O10" s="222">
        <f>N10</f>
        <v>1540</v>
      </c>
    </row>
    <row r="11" spans="1:26" s="218" customFormat="1" ht="12.75" x14ac:dyDescent="0.25">
      <c r="A11" s="195" t="s">
        <v>14</v>
      </c>
      <c r="B11" s="220">
        <v>87</v>
      </c>
      <c r="C11" s="220">
        <v>87</v>
      </c>
      <c r="D11" s="220">
        <v>87</v>
      </c>
      <c r="E11" s="220">
        <v>87</v>
      </c>
      <c r="F11" s="220">
        <v>87</v>
      </c>
      <c r="G11" s="220">
        <v>87</v>
      </c>
      <c r="H11" s="220">
        <v>87</v>
      </c>
      <c r="I11" s="220">
        <v>87</v>
      </c>
      <c r="J11" s="220">
        <v>87</v>
      </c>
      <c r="K11" s="220">
        <v>87</v>
      </c>
      <c r="L11" s="220">
        <v>87</v>
      </c>
      <c r="M11" s="220">
        <v>87</v>
      </c>
      <c r="N11" s="220">
        <f>M11</f>
        <v>87</v>
      </c>
      <c r="O11" s="220">
        <f>N11</f>
        <v>87</v>
      </c>
    </row>
    <row r="12" spans="1:26" s="218" customFormat="1" ht="12.75" x14ac:dyDescent="0.25">
      <c r="A12" s="189" t="s">
        <v>15</v>
      </c>
      <c r="B12" s="222">
        <v>28</v>
      </c>
      <c r="C12" s="222">
        <v>28</v>
      </c>
      <c r="D12" s="222">
        <v>28</v>
      </c>
      <c r="E12" s="222">
        <v>28</v>
      </c>
      <c r="F12" s="222">
        <v>28</v>
      </c>
      <c r="G12" s="222">
        <v>28</v>
      </c>
      <c r="H12" s="222">
        <v>28</v>
      </c>
      <c r="I12" s="222">
        <v>28</v>
      </c>
      <c r="J12" s="222">
        <v>28</v>
      </c>
      <c r="K12" s="222">
        <v>28</v>
      </c>
      <c r="L12" s="222">
        <v>28</v>
      </c>
      <c r="M12" s="222">
        <v>28</v>
      </c>
      <c r="N12" s="197" t="s">
        <v>18</v>
      </c>
      <c r="O12" s="197" t="s">
        <v>18</v>
      </c>
    </row>
    <row r="13" spans="1:26" s="218" customFormat="1" ht="12.75" x14ac:dyDescent="0.25">
      <c r="A13" s="188" t="s">
        <v>246</v>
      </c>
      <c r="B13" s="220"/>
      <c r="C13" s="220"/>
      <c r="D13" s="220"/>
      <c r="E13" s="221"/>
      <c r="F13" s="221"/>
      <c r="G13" s="221"/>
      <c r="H13" s="221"/>
      <c r="I13" s="221"/>
      <c r="J13" s="221"/>
      <c r="K13" s="221"/>
      <c r="L13" s="221"/>
      <c r="M13" s="221"/>
      <c r="N13" s="221"/>
      <c r="O13" s="221"/>
    </row>
    <row r="14" spans="1:26" s="218" customFormat="1" ht="12.75" x14ac:dyDescent="0.25">
      <c r="A14" s="189" t="s">
        <v>13</v>
      </c>
      <c r="B14" s="222">
        <v>941.8</v>
      </c>
      <c r="C14" s="222">
        <v>941.8</v>
      </c>
      <c r="D14" s="197">
        <v>887</v>
      </c>
      <c r="E14" s="197">
        <v>887</v>
      </c>
      <c r="F14" s="197">
        <v>887</v>
      </c>
      <c r="G14" s="197">
        <v>887</v>
      </c>
      <c r="H14" s="197">
        <v>887</v>
      </c>
      <c r="I14" s="197">
        <v>887</v>
      </c>
      <c r="J14" s="197">
        <v>887</v>
      </c>
      <c r="K14" s="197">
        <v>887</v>
      </c>
      <c r="L14" s="197">
        <v>887</v>
      </c>
      <c r="M14" s="197">
        <v>887</v>
      </c>
      <c r="N14" s="197">
        <f>M14</f>
        <v>887</v>
      </c>
      <c r="O14" s="197">
        <f>N14</f>
        <v>887</v>
      </c>
    </row>
    <row r="15" spans="1:26" s="218" customFormat="1" ht="12.75" x14ac:dyDescent="0.25">
      <c r="A15" s="195" t="s">
        <v>14</v>
      </c>
      <c r="B15" s="220">
        <v>48</v>
      </c>
      <c r="C15" s="220">
        <v>48</v>
      </c>
      <c r="D15" s="221">
        <v>48</v>
      </c>
      <c r="E15" s="221">
        <v>48</v>
      </c>
      <c r="F15" s="221">
        <v>48</v>
      </c>
      <c r="G15" s="221">
        <v>48</v>
      </c>
      <c r="H15" s="221">
        <v>48</v>
      </c>
      <c r="I15" s="221">
        <v>48</v>
      </c>
      <c r="J15" s="221">
        <v>48</v>
      </c>
      <c r="K15" s="221">
        <v>48</v>
      </c>
      <c r="L15" s="221">
        <v>48</v>
      </c>
      <c r="M15" s="221">
        <v>48</v>
      </c>
      <c r="N15" s="221">
        <f>M15</f>
        <v>48</v>
      </c>
      <c r="O15" s="221">
        <f>N15</f>
        <v>48</v>
      </c>
    </row>
    <row r="16" spans="1:26" s="218" customFormat="1" ht="12.75" x14ac:dyDescent="0.25">
      <c r="A16" s="189" t="s">
        <v>15</v>
      </c>
      <c r="B16" s="197">
        <v>13</v>
      </c>
      <c r="C16" s="197">
        <v>13</v>
      </c>
      <c r="D16" s="197">
        <v>13</v>
      </c>
      <c r="E16" s="197">
        <v>13</v>
      </c>
      <c r="F16" s="197">
        <v>13</v>
      </c>
      <c r="G16" s="197">
        <v>13</v>
      </c>
      <c r="H16" s="197">
        <v>13</v>
      </c>
      <c r="I16" s="197">
        <v>13</v>
      </c>
      <c r="J16" s="197">
        <v>13</v>
      </c>
      <c r="K16" s="197">
        <v>13</v>
      </c>
      <c r="L16" s="197">
        <v>13</v>
      </c>
      <c r="M16" s="197">
        <v>13</v>
      </c>
      <c r="N16" s="197" t="s">
        <v>18</v>
      </c>
      <c r="O16" s="197" t="s">
        <v>18</v>
      </c>
    </row>
    <row r="17" spans="1:15" s="16" customFormat="1" ht="12.75" x14ac:dyDescent="0.2">
      <c r="A17" s="223" t="s">
        <v>236</v>
      </c>
      <c r="B17" s="224">
        <v>0.93700000000000006</v>
      </c>
      <c r="C17" s="224">
        <v>0.93799999999999994</v>
      </c>
      <c r="D17" s="224">
        <v>0.93700000000000006</v>
      </c>
      <c r="E17" s="224">
        <v>0.93700000000000006</v>
      </c>
      <c r="F17" s="224">
        <v>0.93799999999999994</v>
      </c>
      <c r="G17" s="224">
        <v>0.93899999999999995</v>
      </c>
      <c r="H17" s="224">
        <v>0.94</v>
      </c>
      <c r="I17" s="224">
        <v>0.93899999999999995</v>
      </c>
      <c r="J17" s="224">
        <v>0.94099999999999995</v>
      </c>
      <c r="K17" s="224">
        <v>0.94499999999999995</v>
      </c>
      <c r="L17" s="224">
        <v>0.95</v>
      </c>
      <c r="M17" s="224">
        <v>0.95699999999999996</v>
      </c>
      <c r="N17" s="224">
        <v>0.95799999999999996</v>
      </c>
      <c r="O17" s="224">
        <v>0.95899999999999996</v>
      </c>
    </row>
    <row r="18" spans="1:15" s="9" customFormat="1" ht="12.75" x14ac:dyDescent="0.2"/>
    <row r="19" spans="1:15" s="11" customFormat="1" ht="21.95" customHeight="1" thickBot="1" x14ac:dyDescent="0.3">
      <c r="A19" s="5" t="s">
        <v>245</v>
      </c>
      <c r="B19" s="7" t="s">
        <v>227</v>
      </c>
      <c r="C19" s="7" t="s">
        <v>228</v>
      </c>
      <c r="D19" s="7" t="s">
        <v>229</v>
      </c>
      <c r="E19" s="7" t="s">
        <v>230</v>
      </c>
      <c r="F19" s="7" t="s">
        <v>231</v>
      </c>
      <c r="G19" s="7" t="s">
        <v>232</v>
      </c>
      <c r="H19" s="7" t="s">
        <v>233</v>
      </c>
      <c r="I19" s="7" t="s">
        <v>234</v>
      </c>
      <c r="J19" s="7" t="s">
        <v>131</v>
      </c>
      <c r="K19" s="7" t="s">
        <v>132</v>
      </c>
      <c r="L19" s="7" t="s">
        <v>133</v>
      </c>
      <c r="M19" s="7" t="s">
        <v>134</v>
      </c>
      <c r="N19" s="7" t="s">
        <v>135</v>
      </c>
      <c r="O19" s="7" t="s">
        <v>136</v>
      </c>
    </row>
    <row r="20" spans="1:15" s="218" customFormat="1" ht="12.75" x14ac:dyDescent="0.25">
      <c r="A20" s="189" t="s">
        <v>13</v>
      </c>
      <c r="B20" s="222">
        <v>1129</v>
      </c>
      <c r="C20" s="222">
        <v>938</v>
      </c>
      <c r="D20" s="222">
        <v>925</v>
      </c>
      <c r="E20" s="222">
        <v>1068</v>
      </c>
      <c r="F20" s="222">
        <v>1065</v>
      </c>
      <c r="G20" s="222">
        <v>920</v>
      </c>
      <c r="H20" s="222">
        <v>942</v>
      </c>
      <c r="I20" s="222">
        <v>1020</v>
      </c>
      <c r="J20" s="222">
        <v>1093</v>
      </c>
      <c r="K20" s="222">
        <v>923</v>
      </c>
      <c r="L20" s="222">
        <v>958</v>
      </c>
      <c r="M20" s="222">
        <v>965</v>
      </c>
      <c r="N20" s="222">
        <v>867</v>
      </c>
      <c r="O20" s="222">
        <v>726</v>
      </c>
    </row>
    <row r="21" spans="1:15" s="218" customFormat="1" ht="12.75" x14ac:dyDescent="0.25">
      <c r="A21" s="195" t="s">
        <v>14</v>
      </c>
      <c r="B21" s="220">
        <v>23</v>
      </c>
      <c r="C21" s="220">
        <v>38</v>
      </c>
      <c r="D21" s="220">
        <v>63</v>
      </c>
      <c r="E21" s="220">
        <v>31</v>
      </c>
      <c r="F21" s="220">
        <v>11</v>
      </c>
      <c r="G21" s="220">
        <v>26</v>
      </c>
      <c r="H21" s="220">
        <v>57</v>
      </c>
      <c r="I21" s="220">
        <v>50</v>
      </c>
      <c r="J21" s="220">
        <v>11</v>
      </c>
      <c r="K21" s="220">
        <v>34</v>
      </c>
      <c r="L21" s="220">
        <v>61</v>
      </c>
      <c r="M21" s="220">
        <v>46</v>
      </c>
      <c r="N21" s="220">
        <v>3</v>
      </c>
      <c r="O21" s="220">
        <v>42</v>
      </c>
    </row>
    <row r="22" spans="1:15" s="218" customFormat="1" ht="12.75" x14ac:dyDescent="0.25">
      <c r="A22" s="189" t="s">
        <v>15</v>
      </c>
      <c r="B22" s="222">
        <v>3</v>
      </c>
      <c r="C22" s="222">
        <v>9</v>
      </c>
      <c r="D22" s="222">
        <v>9</v>
      </c>
      <c r="E22" s="222">
        <v>2</v>
      </c>
      <c r="F22" s="222">
        <v>1</v>
      </c>
      <c r="G22" s="222">
        <v>3</v>
      </c>
      <c r="H22" s="222">
        <v>14</v>
      </c>
      <c r="I22" s="222">
        <v>4</v>
      </c>
      <c r="J22" s="222">
        <v>1</v>
      </c>
      <c r="K22" s="222">
        <v>9</v>
      </c>
      <c r="L22" s="222">
        <v>21</v>
      </c>
      <c r="M22" s="222">
        <v>5</v>
      </c>
      <c r="N22" s="197">
        <v>0</v>
      </c>
      <c r="O22" s="197">
        <v>0</v>
      </c>
    </row>
    <row r="23" spans="1:15" s="196" customFormat="1" ht="12.75" x14ac:dyDescent="0.25">
      <c r="A23" s="225" t="s">
        <v>12</v>
      </c>
      <c r="B23" s="226">
        <f>SUM(B20:B22)</f>
        <v>1155</v>
      </c>
      <c r="C23" s="226">
        <f t="shared" ref="C23:E23" si="0">SUM(C20:C22)</f>
        <v>985</v>
      </c>
      <c r="D23" s="226">
        <f t="shared" si="0"/>
        <v>997</v>
      </c>
      <c r="E23" s="226">
        <f t="shared" si="0"/>
        <v>1101</v>
      </c>
      <c r="F23" s="226">
        <f t="shared" ref="F23:O23" si="1">SUM(F20:F22)</f>
        <v>1077</v>
      </c>
      <c r="G23" s="226">
        <f t="shared" si="1"/>
        <v>949</v>
      </c>
      <c r="H23" s="226">
        <f t="shared" si="1"/>
        <v>1013</v>
      </c>
      <c r="I23" s="226">
        <f t="shared" si="1"/>
        <v>1074</v>
      </c>
      <c r="J23" s="226">
        <f t="shared" si="1"/>
        <v>1105</v>
      </c>
      <c r="K23" s="226">
        <f t="shared" si="1"/>
        <v>966</v>
      </c>
      <c r="L23" s="226">
        <f t="shared" si="1"/>
        <v>1040</v>
      </c>
      <c r="M23" s="226">
        <f t="shared" si="1"/>
        <v>1016</v>
      </c>
      <c r="N23" s="226">
        <f t="shared" si="1"/>
        <v>870</v>
      </c>
      <c r="O23" s="226">
        <f t="shared" si="1"/>
        <v>768</v>
      </c>
    </row>
    <row r="24" spans="1:15" s="227" customFormat="1" x14ac:dyDescent="0.2"/>
  </sheetData>
  <mergeCells count="1">
    <mergeCell ref="B1:O1"/>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16A7-88E9-4CD8-BCEF-3D73604E180A}">
  <sheetPr codeName="Planilha7"/>
  <dimension ref="A1:AC56"/>
  <sheetViews>
    <sheetView showGridLines="0" zoomScale="85" zoomScaleNormal="85" workbookViewId="0">
      <pane xSplit="1" ySplit="1" topLeftCell="M2" activePane="bottomRight" state="frozen"/>
      <selection activeCell="M13" sqref="M13:M14"/>
      <selection pane="topRight" activeCell="M13" sqref="M13:M14"/>
      <selection pane="bottomLeft" activeCell="M13" sqref="M13:M14"/>
      <selection pane="bottomRight" activeCell="AD9" sqref="AD9"/>
    </sheetView>
  </sheetViews>
  <sheetFormatPr defaultColWidth="9.140625" defaultRowHeight="12.75" x14ac:dyDescent="0.2"/>
  <cols>
    <col min="1" max="1" width="37.7109375" style="9" customWidth="1"/>
    <col min="2" max="17" width="11.28515625" style="9" customWidth="1"/>
    <col min="18" max="26" width="9.7109375" style="9" bestFit="1" customWidth="1"/>
    <col min="27" max="16384" width="9.140625" style="9"/>
  </cols>
  <sheetData>
    <row r="1" spans="1:27" ht="54.75" customHeight="1" x14ac:dyDescent="0.2">
      <c r="A1" s="8"/>
      <c r="B1" s="281" t="s">
        <v>27</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row>
    <row r="2" spans="1:27" s="10" customFormat="1" ht="10.5" customHeight="1" x14ac:dyDescent="0.2"/>
    <row r="3" spans="1:27" s="11" customFormat="1" ht="13.5" thickBot="1" x14ac:dyDescent="0.3">
      <c r="A3" s="5" t="s">
        <v>179</v>
      </c>
      <c r="B3" s="6">
        <v>43831</v>
      </c>
      <c r="C3" s="6" t="s">
        <v>180</v>
      </c>
      <c r="D3" s="6">
        <v>43891</v>
      </c>
      <c r="E3" s="6" t="s">
        <v>181</v>
      </c>
      <c r="F3" s="6" t="s">
        <v>182</v>
      </c>
      <c r="G3" s="6">
        <v>43983</v>
      </c>
      <c r="H3" s="6">
        <v>44013</v>
      </c>
      <c r="I3" s="6" t="s">
        <v>183</v>
      </c>
      <c r="J3" s="6" t="s">
        <v>184</v>
      </c>
      <c r="K3" s="6" t="s">
        <v>185</v>
      </c>
      <c r="L3" s="6">
        <v>44136</v>
      </c>
      <c r="M3" s="6" t="s">
        <v>186</v>
      </c>
      <c r="N3" s="31">
        <v>2020</v>
      </c>
      <c r="O3" s="6">
        <v>44197</v>
      </c>
      <c r="P3" s="6" t="s">
        <v>187</v>
      </c>
      <c r="Q3" s="6">
        <v>44256</v>
      </c>
      <c r="R3" s="6" t="s">
        <v>188</v>
      </c>
      <c r="S3" s="6" t="s">
        <v>189</v>
      </c>
      <c r="T3" s="6">
        <v>44348</v>
      </c>
      <c r="U3" s="6">
        <v>44378</v>
      </c>
      <c r="V3" s="6" t="s">
        <v>190</v>
      </c>
      <c r="W3" s="6" t="s">
        <v>191</v>
      </c>
      <c r="X3" s="6" t="s">
        <v>192</v>
      </c>
      <c r="Y3" s="6">
        <v>44501</v>
      </c>
      <c r="Z3" s="6" t="s">
        <v>193</v>
      </c>
      <c r="AA3" s="31" t="s">
        <v>26</v>
      </c>
    </row>
    <row r="4" spans="1:27" s="218" customFormat="1" x14ac:dyDescent="0.25">
      <c r="A4" s="228" t="s">
        <v>237</v>
      </c>
      <c r="B4" s="229">
        <f t="shared" ref="B4:N4" si="0">B21</f>
        <v>0.86</v>
      </c>
      <c r="C4" s="229">
        <f t="shared" si="0"/>
        <v>1.05</v>
      </c>
      <c r="D4" s="229">
        <f t="shared" si="0"/>
        <v>1.24</v>
      </c>
      <c r="E4" s="229">
        <f t="shared" si="0"/>
        <v>1.04</v>
      </c>
      <c r="F4" s="229">
        <f t="shared" si="0"/>
        <v>0.96</v>
      </c>
      <c r="G4" s="229">
        <f t="shared" si="0"/>
        <v>0.76</v>
      </c>
      <c r="H4" s="229">
        <f t="shared" si="0"/>
        <v>0.69</v>
      </c>
      <c r="I4" s="229">
        <f t="shared" si="0"/>
        <v>0.63</v>
      </c>
      <c r="J4" s="229">
        <f t="shared" si="0"/>
        <v>0.66</v>
      </c>
      <c r="K4" s="229">
        <f t="shared" si="0"/>
        <v>0.64</v>
      </c>
      <c r="L4" s="229">
        <f t="shared" si="0"/>
        <v>0.63</v>
      </c>
      <c r="M4" s="229">
        <f t="shared" si="0"/>
        <v>0.8</v>
      </c>
      <c r="N4" s="230">
        <f t="shared" si="0"/>
        <v>0.81048673376029268</v>
      </c>
      <c r="O4" s="229">
        <f>O21</f>
        <v>0.67</v>
      </c>
      <c r="P4" s="229">
        <f t="shared" ref="P4:AA4" si="1">P21</f>
        <v>0.87</v>
      </c>
      <c r="Q4" s="229">
        <f t="shared" si="1"/>
        <v>1.1100000000000001</v>
      </c>
      <c r="R4" s="229">
        <f t="shared" si="1"/>
        <v>1.19</v>
      </c>
      <c r="S4" s="229">
        <f t="shared" si="1"/>
        <v>1.1100000000000001</v>
      </c>
      <c r="T4" s="229">
        <f t="shared" si="1"/>
        <v>0.69</v>
      </c>
      <c r="U4" s="229">
        <f t="shared" si="1"/>
        <v>0.53</v>
      </c>
      <c r="V4" s="229">
        <f t="shared" si="1"/>
        <v>0.51</v>
      </c>
      <c r="W4" s="229">
        <f t="shared" si="1"/>
        <v>0.5</v>
      </c>
      <c r="X4" s="229">
        <f t="shared" si="1"/>
        <v>0.54</v>
      </c>
      <c r="Y4" s="229">
        <f t="shared" si="1"/>
        <v>0.56999999999999995</v>
      </c>
      <c r="Z4" s="229">
        <f t="shared" si="1"/>
        <v>0.93</v>
      </c>
      <c r="AA4" s="230">
        <f t="shared" si="1"/>
        <v>0.72819937465514062</v>
      </c>
    </row>
    <row r="5" spans="1:27" s="218" customFormat="1" x14ac:dyDescent="0.25">
      <c r="A5" s="189" t="s">
        <v>238</v>
      </c>
      <c r="B5" s="222">
        <f t="shared" ref="B5:N5" si="2">B15</f>
        <v>998</v>
      </c>
      <c r="C5" s="222">
        <f t="shared" si="2"/>
        <v>895</v>
      </c>
      <c r="D5" s="222">
        <f t="shared" si="2"/>
        <v>746</v>
      </c>
      <c r="E5" s="222">
        <f t="shared" si="2"/>
        <v>729</v>
      </c>
      <c r="F5" s="222">
        <f t="shared" si="2"/>
        <v>751</v>
      </c>
      <c r="G5" s="222">
        <f t="shared" si="2"/>
        <v>865</v>
      </c>
      <c r="H5" s="222">
        <f t="shared" si="2"/>
        <v>956</v>
      </c>
      <c r="I5" s="222">
        <f t="shared" si="2"/>
        <v>1027</v>
      </c>
      <c r="J5" s="222">
        <f t="shared" si="2"/>
        <v>1061</v>
      </c>
      <c r="K5" s="222">
        <f t="shared" si="2"/>
        <v>1035</v>
      </c>
      <c r="L5" s="222">
        <f t="shared" si="2"/>
        <v>964</v>
      </c>
      <c r="M5" s="222">
        <f t="shared" si="2"/>
        <v>903</v>
      </c>
      <c r="N5" s="231">
        <f t="shared" si="2"/>
        <v>910.98633879781426</v>
      </c>
      <c r="O5" s="222">
        <f>O15</f>
        <v>1121</v>
      </c>
      <c r="P5" s="222">
        <f t="shared" ref="P5:AA5" si="3">P15</f>
        <v>906</v>
      </c>
      <c r="Q5" s="222">
        <f t="shared" si="3"/>
        <v>764</v>
      </c>
      <c r="R5" s="222">
        <f t="shared" si="3"/>
        <v>633</v>
      </c>
      <c r="S5" s="222">
        <f t="shared" si="3"/>
        <v>626</v>
      </c>
      <c r="T5" s="222">
        <f t="shared" si="3"/>
        <v>858</v>
      </c>
      <c r="U5" s="222">
        <f t="shared" si="3"/>
        <v>984</v>
      </c>
      <c r="V5" s="222">
        <f t="shared" si="3"/>
        <v>1048</v>
      </c>
      <c r="W5" s="222">
        <f t="shared" si="3"/>
        <v>1064</v>
      </c>
      <c r="X5" s="222">
        <f t="shared" si="3"/>
        <v>1046</v>
      </c>
      <c r="Y5" s="222">
        <f t="shared" si="3"/>
        <v>995</v>
      </c>
      <c r="Z5" s="222">
        <f t="shared" si="3"/>
        <v>829</v>
      </c>
      <c r="AA5" s="231">
        <f t="shared" si="3"/>
        <v>906.37260273972606</v>
      </c>
    </row>
    <row r="6" spans="1:27" s="218" customFormat="1" x14ac:dyDescent="0.25">
      <c r="A6" s="232" t="s">
        <v>239</v>
      </c>
      <c r="B6" s="220">
        <f t="shared" ref="B6:N6" si="4">B26</f>
        <v>887</v>
      </c>
      <c r="C6" s="220">
        <f t="shared" si="4"/>
        <v>950</v>
      </c>
      <c r="D6" s="220">
        <f t="shared" si="4"/>
        <v>932</v>
      </c>
      <c r="E6" s="220">
        <f t="shared" si="4"/>
        <v>812</v>
      </c>
      <c r="F6" s="220">
        <f t="shared" si="4"/>
        <v>783</v>
      </c>
      <c r="G6" s="220">
        <f t="shared" si="4"/>
        <v>725</v>
      </c>
      <c r="H6" s="220">
        <f t="shared" si="4"/>
        <v>715</v>
      </c>
      <c r="I6" s="220">
        <f t="shared" si="4"/>
        <v>703</v>
      </c>
      <c r="J6" s="220">
        <f t="shared" si="4"/>
        <v>746</v>
      </c>
      <c r="K6" s="220">
        <f t="shared" si="4"/>
        <v>715</v>
      </c>
      <c r="L6" s="220">
        <f t="shared" si="4"/>
        <v>675</v>
      </c>
      <c r="M6" s="220">
        <f t="shared" si="4"/>
        <v>778</v>
      </c>
      <c r="N6" s="233">
        <f t="shared" si="4"/>
        <v>784.68032786885249</v>
      </c>
      <c r="O6" s="220">
        <f>O26</f>
        <v>798</v>
      </c>
      <c r="P6" s="220">
        <f t="shared" ref="P6:AA6" si="5">P26</f>
        <v>809</v>
      </c>
      <c r="Q6" s="220">
        <f t="shared" si="5"/>
        <v>865</v>
      </c>
      <c r="R6" s="220">
        <f t="shared" si="5"/>
        <v>791</v>
      </c>
      <c r="S6" s="220">
        <f t="shared" si="5"/>
        <v>748</v>
      </c>
      <c r="T6" s="220">
        <f t="shared" si="5"/>
        <v>674</v>
      </c>
      <c r="U6" s="220">
        <f t="shared" si="5"/>
        <v>620</v>
      </c>
      <c r="V6" s="220">
        <f t="shared" si="5"/>
        <v>631</v>
      </c>
      <c r="W6" s="220">
        <f t="shared" si="5"/>
        <v>624</v>
      </c>
      <c r="X6" s="220">
        <f t="shared" si="5"/>
        <v>655</v>
      </c>
      <c r="Y6" s="220">
        <f t="shared" si="5"/>
        <v>656</v>
      </c>
      <c r="Z6" s="220">
        <f t="shared" si="5"/>
        <v>803</v>
      </c>
      <c r="AA6" s="233">
        <f t="shared" si="5"/>
        <v>722.52602739726024</v>
      </c>
    </row>
    <row r="7" spans="1:27" s="218" customFormat="1" x14ac:dyDescent="0.25">
      <c r="A7" s="193" t="s">
        <v>243</v>
      </c>
      <c r="B7" s="234">
        <f t="shared" ref="B7:N7" si="6">B5-B6</f>
        <v>111</v>
      </c>
      <c r="C7" s="234">
        <f t="shared" si="6"/>
        <v>-55</v>
      </c>
      <c r="D7" s="234">
        <f t="shared" si="6"/>
        <v>-186</v>
      </c>
      <c r="E7" s="234">
        <f t="shared" si="6"/>
        <v>-83</v>
      </c>
      <c r="F7" s="234">
        <f t="shared" si="6"/>
        <v>-32</v>
      </c>
      <c r="G7" s="234">
        <f t="shared" si="6"/>
        <v>140</v>
      </c>
      <c r="H7" s="234">
        <f t="shared" si="6"/>
        <v>241</v>
      </c>
      <c r="I7" s="234">
        <f t="shared" si="6"/>
        <v>324</v>
      </c>
      <c r="J7" s="234">
        <f t="shared" si="6"/>
        <v>315</v>
      </c>
      <c r="K7" s="234">
        <f t="shared" si="6"/>
        <v>320</v>
      </c>
      <c r="L7" s="234">
        <f t="shared" si="6"/>
        <v>289</v>
      </c>
      <c r="M7" s="234">
        <f t="shared" si="6"/>
        <v>125</v>
      </c>
      <c r="N7" s="235">
        <f t="shared" si="6"/>
        <v>126.30601092896177</v>
      </c>
      <c r="O7" s="234">
        <f>O5-O6</f>
        <v>323</v>
      </c>
      <c r="P7" s="234">
        <f t="shared" ref="P7:AA7" si="7">P5-P6</f>
        <v>97</v>
      </c>
      <c r="Q7" s="234">
        <f t="shared" si="7"/>
        <v>-101</v>
      </c>
      <c r="R7" s="234">
        <f t="shared" si="7"/>
        <v>-158</v>
      </c>
      <c r="S7" s="234">
        <f t="shared" si="7"/>
        <v>-122</v>
      </c>
      <c r="T7" s="234">
        <f t="shared" si="7"/>
        <v>184</v>
      </c>
      <c r="U7" s="234">
        <f t="shared" si="7"/>
        <v>364</v>
      </c>
      <c r="V7" s="234">
        <f t="shared" si="7"/>
        <v>417</v>
      </c>
      <c r="W7" s="234">
        <f t="shared" si="7"/>
        <v>440</v>
      </c>
      <c r="X7" s="234">
        <f t="shared" si="7"/>
        <v>391</v>
      </c>
      <c r="Y7" s="234">
        <f t="shared" si="7"/>
        <v>339</v>
      </c>
      <c r="Z7" s="234">
        <f t="shared" si="7"/>
        <v>26</v>
      </c>
      <c r="AA7" s="235">
        <f t="shared" si="7"/>
        <v>183.84657534246583</v>
      </c>
    </row>
    <row r="8" spans="1:27" s="218" customFormat="1" x14ac:dyDescent="0.25">
      <c r="A8" s="232" t="s">
        <v>204</v>
      </c>
      <c r="B8" s="220">
        <f t="shared" ref="B8:N8" si="8">B32</f>
        <v>1090</v>
      </c>
      <c r="C8" s="220">
        <f t="shared" si="8"/>
        <v>1096</v>
      </c>
      <c r="D8" s="220">
        <f t="shared" si="8"/>
        <v>1102</v>
      </c>
      <c r="E8" s="220">
        <f t="shared" si="8"/>
        <v>1097</v>
      </c>
      <c r="F8" s="220">
        <f t="shared" si="8"/>
        <v>1151</v>
      </c>
      <c r="G8" s="220">
        <f t="shared" si="8"/>
        <v>1171</v>
      </c>
      <c r="H8" s="220">
        <f t="shared" si="8"/>
        <v>1177</v>
      </c>
      <c r="I8" s="220">
        <f t="shared" si="8"/>
        <v>1018</v>
      </c>
      <c r="J8" s="220">
        <f t="shared" si="8"/>
        <v>1045</v>
      </c>
      <c r="K8" s="220">
        <f t="shared" si="8"/>
        <v>1068</v>
      </c>
      <c r="L8" s="220">
        <f t="shared" si="8"/>
        <v>1067</v>
      </c>
      <c r="M8" s="220">
        <f t="shared" si="8"/>
        <v>1137</v>
      </c>
      <c r="N8" s="233">
        <f t="shared" si="8"/>
        <v>1101.6857923497269</v>
      </c>
      <c r="O8" s="220">
        <f>O32</f>
        <v>1200</v>
      </c>
      <c r="P8" s="220">
        <f t="shared" ref="P8:AA8" si="9">P32</f>
        <v>1152</v>
      </c>
      <c r="Q8" s="220">
        <f t="shared" si="9"/>
        <v>1208</v>
      </c>
      <c r="R8" s="220">
        <f t="shared" si="9"/>
        <v>1091</v>
      </c>
      <c r="S8" s="220">
        <f t="shared" si="9"/>
        <v>1037</v>
      </c>
      <c r="T8" s="220">
        <f t="shared" si="9"/>
        <v>1008</v>
      </c>
      <c r="U8" s="220">
        <f t="shared" si="9"/>
        <v>1051</v>
      </c>
      <c r="V8" s="220">
        <f t="shared" si="9"/>
        <v>1058</v>
      </c>
      <c r="W8" s="220">
        <f t="shared" si="9"/>
        <v>1090</v>
      </c>
      <c r="X8" s="220">
        <f t="shared" si="9"/>
        <v>1101</v>
      </c>
      <c r="Y8" s="220">
        <f t="shared" si="9"/>
        <v>1049</v>
      </c>
      <c r="Z8" s="220">
        <f t="shared" si="9"/>
        <v>1066</v>
      </c>
      <c r="AA8" s="233">
        <f t="shared" si="9"/>
        <v>1092.4575342465753</v>
      </c>
    </row>
    <row r="9" spans="1:27" s="218" customFormat="1" x14ac:dyDescent="0.25">
      <c r="A9" s="193" t="s">
        <v>243</v>
      </c>
      <c r="B9" s="234">
        <f t="shared" ref="B9:N9" si="10">B8-B6</f>
        <v>203</v>
      </c>
      <c r="C9" s="234">
        <f t="shared" si="10"/>
        <v>146</v>
      </c>
      <c r="D9" s="234">
        <f t="shared" si="10"/>
        <v>170</v>
      </c>
      <c r="E9" s="234">
        <f t="shared" si="10"/>
        <v>285</v>
      </c>
      <c r="F9" s="234">
        <f t="shared" si="10"/>
        <v>368</v>
      </c>
      <c r="G9" s="234">
        <f t="shared" si="10"/>
        <v>446</v>
      </c>
      <c r="H9" s="234">
        <f t="shared" si="10"/>
        <v>462</v>
      </c>
      <c r="I9" s="234">
        <f t="shared" si="10"/>
        <v>315</v>
      </c>
      <c r="J9" s="234">
        <f t="shared" si="10"/>
        <v>299</v>
      </c>
      <c r="K9" s="234">
        <f t="shared" si="10"/>
        <v>353</v>
      </c>
      <c r="L9" s="234">
        <f t="shared" si="10"/>
        <v>392</v>
      </c>
      <c r="M9" s="234">
        <f t="shared" si="10"/>
        <v>359</v>
      </c>
      <c r="N9" s="235">
        <f t="shared" si="10"/>
        <v>317.00546448087437</v>
      </c>
      <c r="O9" s="234">
        <f>O8-O6</f>
        <v>402</v>
      </c>
      <c r="P9" s="234">
        <f t="shared" ref="P9:AA9" si="11">P8-P6</f>
        <v>343</v>
      </c>
      <c r="Q9" s="234">
        <f t="shared" si="11"/>
        <v>343</v>
      </c>
      <c r="R9" s="234">
        <f t="shared" si="11"/>
        <v>300</v>
      </c>
      <c r="S9" s="234">
        <f t="shared" si="11"/>
        <v>289</v>
      </c>
      <c r="T9" s="234">
        <f t="shared" si="11"/>
        <v>334</v>
      </c>
      <c r="U9" s="234">
        <f t="shared" si="11"/>
        <v>431</v>
      </c>
      <c r="V9" s="234">
        <f t="shared" si="11"/>
        <v>427</v>
      </c>
      <c r="W9" s="234">
        <f t="shared" si="11"/>
        <v>466</v>
      </c>
      <c r="X9" s="234">
        <f t="shared" si="11"/>
        <v>446</v>
      </c>
      <c r="Y9" s="234">
        <f t="shared" si="11"/>
        <v>393</v>
      </c>
      <c r="Z9" s="234">
        <f t="shared" si="11"/>
        <v>263</v>
      </c>
      <c r="AA9" s="235">
        <f t="shared" si="11"/>
        <v>369.93150684931504</v>
      </c>
    </row>
    <row r="10" spans="1:27" s="218" customFormat="1" x14ac:dyDescent="0.25">
      <c r="A10" s="191" t="s">
        <v>240</v>
      </c>
      <c r="B10" s="236">
        <f t="shared" ref="B10:N10" si="12">B38</f>
        <v>209</v>
      </c>
      <c r="C10" s="236">
        <f t="shared" si="12"/>
        <v>153</v>
      </c>
      <c r="D10" s="236">
        <f t="shared" si="12"/>
        <v>170</v>
      </c>
      <c r="E10" s="236">
        <f t="shared" si="12"/>
        <v>284.7</v>
      </c>
      <c r="F10" s="236">
        <f t="shared" si="12"/>
        <v>368</v>
      </c>
      <c r="G10" s="236">
        <f t="shared" si="12"/>
        <v>447</v>
      </c>
      <c r="H10" s="236">
        <f t="shared" si="12"/>
        <v>462.19685215053801</v>
      </c>
      <c r="I10" s="236">
        <f t="shared" si="12"/>
        <v>353.19685215053761</v>
      </c>
      <c r="J10" s="236">
        <f t="shared" si="12"/>
        <v>358.19685138888889</v>
      </c>
      <c r="K10" s="236">
        <f t="shared" si="12"/>
        <v>352.19685215053801</v>
      </c>
      <c r="L10" s="236">
        <f t="shared" si="12"/>
        <v>389.19685138888883</v>
      </c>
      <c r="M10" s="236">
        <f t="shared" si="12"/>
        <v>317.5</v>
      </c>
      <c r="N10" s="237">
        <f t="shared" si="12"/>
        <v>317</v>
      </c>
      <c r="O10" s="236">
        <f>O38</f>
        <v>407.49999999999989</v>
      </c>
      <c r="P10" s="236">
        <f t="shared" ref="P10:AA10" si="13">P38</f>
        <v>345.4</v>
      </c>
      <c r="Q10" s="236">
        <f t="shared" si="13"/>
        <v>327.4592352150537</v>
      </c>
      <c r="R10" s="236">
        <f t="shared" si="13"/>
        <v>292.2852972222222</v>
      </c>
      <c r="S10" s="236">
        <f t="shared" si="13"/>
        <v>288.28272177419359</v>
      </c>
      <c r="T10" s="236">
        <f t="shared" si="13"/>
        <v>310.3061208333333</v>
      </c>
      <c r="U10" s="236">
        <f t="shared" si="13"/>
        <v>418.05000000000007</v>
      </c>
      <c r="V10" s="236">
        <f t="shared" si="13"/>
        <v>428.91440053763449</v>
      </c>
      <c r="W10" s="236">
        <f t="shared" si="13"/>
        <v>480.55</v>
      </c>
      <c r="X10" s="236">
        <f t="shared" si="13"/>
        <v>418.04999999999995</v>
      </c>
      <c r="Y10" s="236">
        <f t="shared" si="13"/>
        <v>367.04999999999995</v>
      </c>
      <c r="Z10" s="236">
        <f t="shared" si="13"/>
        <v>367.05</v>
      </c>
      <c r="AA10" s="237">
        <f t="shared" si="13"/>
        <v>371.209423630137</v>
      </c>
    </row>
    <row r="11" spans="1:27" s="218" customFormat="1" x14ac:dyDescent="0.25">
      <c r="A11" s="189" t="s">
        <v>241</v>
      </c>
      <c r="B11" s="222">
        <f t="shared" ref="B11:N11" si="14">B6+B10</f>
        <v>1096</v>
      </c>
      <c r="C11" s="222">
        <f t="shared" si="14"/>
        <v>1103</v>
      </c>
      <c r="D11" s="222">
        <f t="shared" si="14"/>
        <v>1102</v>
      </c>
      <c r="E11" s="222">
        <f t="shared" si="14"/>
        <v>1096.7</v>
      </c>
      <c r="F11" s="222">
        <f t="shared" si="14"/>
        <v>1151</v>
      </c>
      <c r="G11" s="222">
        <f t="shared" si="14"/>
        <v>1172</v>
      </c>
      <c r="H11" s="222">
        <f t="shared" si="14"/>
        <v>1177.196852150538</v>
      </c>
      <c r="I11" s="222">
        <f t="shared" si="14"/>
        <v>1056.1968521505376</v>
      </c>
      <c r="J11" s="222">
        <f t="shared" si="14"/>
        <v>1104.1968513888889</v>
      </c>
      <c r="K11" s="222">
        <f t="shared" si="14"/>
        <v>1067.196852150538</v>
      </c>
      <c r="L11" s="222">
        <f t="shared" si="14"/>
        <v>1064.1968513888887</v>
      </c>
      <c r="M11" s="222">
        <f t="shared" si="14"/>
        <v>1095.5</v>
      </c>
      <c r="N11" s="231">
        <f t="shared" si="14"/>
        <v>1101.6803278688526</v>
      </c>
      <c r="O11" s="222">
        <f t="shared" ref="O11:AA11" si="15">O6+O10</f>
        <v>1205.5</v>
      </c>
      <c r="P11" s="222">
        <f t="shared" si="15"/>
        <v>1154.4000000000001</v>
      </c>
      <c r="Q11" s="222">
        <f t="shared" si="15"/>
        <v>1192.4592352150537</v>
      </c>
      <c r="R11" s="222">
        <f t="shared" si="15"/>
        <v>1083.2852972222222</v>
      </c>
      <c r="S11" s="222">
        <f t="shared" si="15"/>
        <v>1036.2827217741935</v>
      </c>
      <c r="T11" s="222">
        <f t="shared" si="15"/>
        <v>984.30612083333335</v>
      </c>
      <c r="U11" s="222">
        <f t="shared" si="15"/>
        <v>1038.0500000000002</v>
      </c>
      <c r="V11" s="222">
        <f t="shared" si="15"/>
        <v>1059.9144005376345</v>
      </c>
      <c r="W11" s="222">
        <f t="shared" si="15"/>
        <v>1104.55</v>
      </c>
      <c r="X11" s="222">
        <f t="shared" si="15"/>
        <v>1073.05</v>
      </c>
      <c r="Y11" s="222">
        <f t="shared" si="15"/>
        <v>1023.05</v>
      </c>
      <c r="Z11" s="222">
        <f t="shared" si="15"/>
        <v>1170.05</v>
      </c>
      <c r="AA11" s="231">
        <f t="shared" si="15"/>
        <v>1093.7354510273972</v>
      </c>
    </row>
    <row r="12" spans="1:27" s="196" customFormat="1" x14ac:dyDescent="0.25">
      <c r="A12" s="228" t="s">
        <v>242</v>
      </c>
      <c r="B12" s="226">
        <f t="shared" ref="B12" si="16">B11-B8</f>
        <v>6</v>
      </c>
      <c r="C12" s="226">
        <f t="shared" ref="C12" si="17">C11-C8</f>
        <v>7</v>
      </c>
      <c r="D12" s="226">
        <f t="shared" ref="D12" si="18">D11-D8</f>
        <v>0</v>
      </c>
      <c r="E12" s="226">
        <f t="shared" ref="E12" si="19">E11-E8</f>
        <v>-0.29999999999995453</v>
      </c>
      <c r="F12" s="226">
        <f t="shared" ref="F12" si="20">F11-F8</f>
        <v>0</v>
      </c>
      <c r="G12" s="226">
        <f t="shared" ref="G12" si="21">G11-G8</f>
        <v>1</v>
      </c>
      <c r="H12" s="226">
        <f t="shared" ref="H12" si="22">H11-H8</f>
        <v>0.19685215053800675</v>
      </c>
      <c r="I12" s="226">
        <f t="shared" ref="I12" si="23">I11-I8</f>
        <v>38.196852150537552</v>
      </c>
      <c r="J12" s="226">
        <f t="shared" ref="J12" si="24">J11-J8</f>
        <v>59.196851388888945</v>
      </c>
      <c r="K12" s="226">
        <f t="shared" ref="K12" si="25">K11-K8</f>
        <v>-0.80314784946199325</v>
      </c>
      <c r="L12" s="226">
        <f t="shared" ref="L12" si="26">L11-L8</f>
        <v>-2.8031486111112827</v>
      </c>
      <c r="M12" s="226">
        <f t="shared" ref="M12" si="27">M11-M8</f>
        <v>-41.5</v>
      </c>
      <c r="N12" s="238">
        <f t="shared" ref="N12" si="28">N11-N8</f>
        <v>-5.464480874252331E-3</v>
      </c>
      <c r="O12" s="226">
        <f t="shared" ref="O12:Z12" si="29">O11-O8</f>
        <v>5.5</v>
      </c>
      <c r="P12" s="226">
        <f t="shared" si="29"/>
        <v>2.4000000000000909</v>
      </c>
      <c r="Q12" s="226">
        <f t="shared" si="29"/>
        <v>-15.540764784946305</v>
      </c>
      <c r="R12" s="226">
        <f t="shared" si="29"/>
        <v>-7.7147027777778021</v>
      </c>
      <c r="S12" s="226">
        <f t="shared" si="29"/>
        <v>-0.71727822580646716</v>
      </c>
      <c r="T12" s="226">
        <f t="shared" si="29"/>
        <v>-23.693879166666648</v>
      </c>
      <c r="U12" s="226">
        <f t="shared" si="29"/>
        <v>-12.949999999999818</v>
      </c>
      <c r="V12" s="226">
        <f t="shared" si="29"/>
        <v>1.9144005376344921</v>
      </c>
      <c r="W12" s="226">
        <f t="shared" si="29"/>
        <v>14.549999999999955</v>
      </c>
      <c r="X12" s="226">
        <f t="shared" si="29"/>
        <v>-27.950000000000045</v>
      </c>
      <c r="Y12" s="226">
        <f t="shared" si="29"/>
        <v>-25.950000000000045</v>
      </c>
      <c r="Z12" s="226">
        <f t="shared" si="29"/>
        <v>104.04999999999995</v>
      </c>
      <c r="AA12" s="238">
        <f>AA11-AA8</f>
        <v>1.2779167808218972</v>
      </c>
    </row>
    <row r="13" spans="1:27" s="11" customFormat="1" x14ac:dyDescent="0.25">
      <c r="A13" s="12"/>
      <c r="B13" s="19">
        <v>744</v>
      </c>
      <c r="C13" s="27">
        <v>696</v>
      </c>
      <c r="D13" s="28">
        <v>744</v>
      </c>
      <c r="E13" s="19">
        <v>720</v>
      </c>
      <c r="F13" s="19">
        <v>744</v>
      </c>
      <c r="G13" s="19">
        <v>720</v>
      </c>
      <c r="H13" s="19">
        <v>744</v>
      </c>
      <c r="I13" s="19">
        <v>744</v>
      </c>
      <c r="J13" s="19">
        <v>720</v>
      </c>
      <c r="K13" s="19">
        <v>744</v>
      </c>
      <c r="L13" s="19">
        <v>720</v>
      </c>
      <c r="M13" s="19">
        <v>744</v>
      </c>
      <c r="N13" s="14"/>
      <c r="O13" s="19">
        <v>744</v>
      </c>
      <c r="P13" s="19">
        <v>672</v>
      </c>
      <c r="Q13" s="19">
        <v>744</v>
      </c>
      <c r="R13" s="20">
        <v>720</v>
      </c>
      <c r="S13" s="20">
        <v>744</v>
      </c>
      <c r="T13" s="20">
        <v>720</v>
      </c>
      <c r="U13" s="20">
        <v>744</v>
      </c>
      <c r="V13" s="20">
        <v>744</v>
      </c>
      <c r="W13" s="20">
        <v>720</v>
      </c>
      <c r="X13" s="20">
        <v>744</v>
      </c>
      <c r="Y13" s="20">
        <v>720</v>
      </c>
      <c r="Z13" s="20">
        <v>744</v>
      </c>
    </row>
    <row r="14" spans="1:27" s="11" customFormat="1" ht="13.5" thickBot="1" x14ac:dyDescent="0.3">
      <c r="A14" s="5" t="s">
        <v>197</v>
      </c>
      <c r="B14" s="6">
        <v>43831</v>
      </c>
      <c r="C14" s="6" t="s">
        <v>180</v>
      </c>
      <c r="D14" s="6">
        <v>43891</v>
      </c>
      <c r="E14" s="6" t="s">
        <v>181</v>
      </c>
      <c r="F14" s="6" t="s">
        <v>182</v>
      </c>
      <c r="G14" s="6">
        <v>43983</v>
      </c>
      <c r="H14" s="6">
        <v>44013</v>
      </c>
      <c r="I14" s="6" t="s">
        <v>183</v>
      </c>
      <c r="J14" s="6" t="s">
        <v>184</v>
      </c>
      <c r="K14" s="6" t="s">
        <v>185</v>
      </c>
      <c r="L14" s="6">
        <v>44136</v>
      </c>
      <c r="M14" s="6" t="s">
        <v>186</v>
      </c>
      <c r="N14" s="7">
        <v>2020</v>
      </c>
      <c r="O14" s="6">
        <v>44197</v>
      </c>
      <c r="P14" s="6" t="s">
        <v>187</v>
      </c>
      <c r="Q14" s="6">
        <v>44256</v>
      </c>
      <c r="R14" s="6" t="s">
        <v>188</v>
      </c>
      <c r="S14" s="6" t="s">
        <v>189</v>
      </c>
      <c r="T14" s="6">
        <v>44348</v>
      </c>
      <c r="U14" s="6">
        <v>44378</v>
      </c>
      <c r="V14" s="6" t="s">
        <v>190</v>
      </c>
      <c r="W14" s="6" t="s">
        <v>191</v>
      </c>
      <c r="X14" s="6" t="s">
        <v>192</v>
      </c>
      <c r="Y14" s="6">
        <v>44501</v>
      </c>
      <c r="Z14" s="6" t="s">
        <v>193</v>
      </c>
      <c r="AA14" s="7" t="s">
        <v>26</v>
      </c>
    </row>
    <row r="15" spans="1:27" s="16" customFormat="1" x14ac:dyDescent="0.2">
      <c r="A15" s="16" t="s">
        <v>196</v>
      </c>
      <c r="B15" s="16">
        <v>998</v>
      </c>
      <c r="C15" s="16">
        <v>895</v>
      </c>
      <c r="D15" s="16">
        <v>746</v>
      </c>
      <c r="E15" s="16">
        <v>729</v>
      </c>
      <c r="F15" s="16">
        <v>751</v>
      </c>
      <c r="G15" s="16">
        <v>865</v>
      </c>
      <c r="H15" s="16">
        <v>956</v>
      </c>
      <c r="I15" s="16">
        <v>1027</v>
      </c>
      <c r="J15" s="16">
        <v>1061</v>
      </c>
      <c r="K15" s="16">
        <v>1035</v>
      </c>
      <c r="L15" s="16">
        <v>964</v>
      </c>
      <c r="M15" s="16">
        <v>903</v>
      </c>
      <c r="N15" s="29">
        <f>SUMPRODUCT(B15:M15,$B$13:$M$13)/SUM($B$13:$M$13)</f>
        <v>910.98633879781426</v>
      </c>
      <c r="O15" s="17">
        <v>1121</v>
      </c>
      <c r="P15" s="17">
        <v>906</v>
      </c>
      <c r="Q15" s="17">
        <v>764</v>
      </c>
      <c r="R15" s="17">
        <v>633</v>
      </c>
      <c r="S15" s="17">
        <v>626</v>
      </c>
      <c r="T15" s="17">
        <v>858</v>
      </c>
      <c r="U15" s="17">
        <v>984</v>
      </c>
      <c r="V15" s="17">
        <v>1048</v>
      </c>
      <c r="W15" s="17">
        <v>1064</v>
      </c>
      <c r="X15" s="17">
        <v>1046</v>
      </c>
      <c r="Y15" s="17">
        <v>995</v>
      </c>
      <c r="Z15" s="17">
        <v>829</v>
      </c>
      <c r="AA15" s="29">
        <f>SUMPRODUCT(O15:Z15,$O$13:$Z$13)/SUM($O$13:$Z$13)</f>
        <v>906.37260273972606</v>
      </c>
    </row>
    <row r="16" spans="1:27" s="16" customFormat="1" x14ac:dyDescent="0.2"/>
    <row r="17" spans="1:27" s="16" customFormat="1" x14ac:dyDescent="0.2">
      <c r="A17" s="16" t="s">
        <v>199</v>
      </c>
      <c r="B17" s="18" t="s">
        <v>131</v>
      </c>
      <c r="C17" s="21">
        <f>SUMPRODUCT(B15:D15,B13:D13)/SUM(B13:D13)</f>
        <v>879.32967032967031</v>
      </c>
      <c r="E17" s="18" t="s">
        <v>132</v>
      </c>
      <c r="F17" s="21">
        <f>SUMPRODUCT(E15:G15,E13:G13)/SUM(E13:G13)</f>
        <v>781.32967032967031</v>
      </c>
      <c r="H17" s="18" t="s">
        <v>133</v>
      </c>
      <c r="I17" s="21">
        <f>SUMPRODUCT(H15:J15,H13:J13)/SUM(H13:J13)</f>
        <v>1014.1630434782609</v>
      </c>
      <c r="K17" s="18" t="s">
        <v>134</v>
      </c>
      <c r="L17" s="21">
        <f>SUMPRODUCT(K15:M15,K13:M13)/SUM(K13:M13)</f>
        <v>967.36956521739125</v>
      </c>
      <c r="O17" s="18" t="s">
        <v>135</v>
      </c>
      <c r="P17" s="21">
        <f>SUMPRODUCT(O15:Q15,O13:Q13)/SUM(O13:Q13)</f>
        <v>931.14444444444439</v>
      </c>
      <c r="R17" s="18" t="s">
        <v>136</v>
      </c>
      <c r="S17" s="21">
        <f>SUMPRODUCT(R15:T15,R13:T13)/SUM(R13:T13)</f>
        <v>704.79120879120876</v>
      </c>
      <c r="U17" s="18" t="s">
        <v>194</v>
      </c>
      <c r="V17" s="21">
        <f>SUMPRODUCT(U15:W15,U13:W13)/SUM(U13:W13)</f>
        <v>1031.6521739130435</v>
      </c>
      <c r="X17" s="18" t="s">
        <v>195</v>
      </c>
      <c r="Y17" s="21">
        <f>SUMPRODUCT(X15:Z15,X13:Z13)/SUM(X13:Z13)</f>
        <v>956.25</v>
      </c>
    </row>
    <row r="18" spans="1:27" s="16" customFormat="1" x14ac:dyDescent="0.2">
      <c r="A18" s="16" t="s">
        <v>200</v>
      </c>
      <c r="C18" s="22">
        <f>SUM(B15:D15)/SUM($B$15:$M$15)</f>
        <v>0.24144556267154621</v>
      </c>
      <c r="F18" s="22">
        <f>SUM(E15:G15)/SUM($B$15:$M$15)</f>
        <v>0.21454711802378773</v>
      </c>
      <c r="I18" s="22">
        <f>SUM(H15:J15)/SUM($B$15:$M$15)</f>
        <v>0.27849954254345838</v>
      </c>
      <c r="L18" s="22">
        <f>SUM(K15:M15)/SUM($B$15:$M$15)</f>
        <v>0.26550777676120768</v>
      </c>
      <c r="P18" s="22">
        <f>SUM(O15:Q15)/SUM($O$15:$Z$15)</f>
        <v>0.25666727974986203</v>
      </c>
      <c r="S18" s="22">
        <f>SUM(R15:T15)/SUM($O$15:$Z$15)</f>
        <v>0.19468456869597203</v>
      </c>
      <c r="V18" s="22">
        <f>SUM(U15:W15)/SUM($O$15:$Z$15)</f>
        <v>0.2847158359389369</v>
      </c>
      <c r="Y18" s="22">
        <f>SUM(X15:Z15)/SUM($O$15:$Z$15)</f>
        <v>0.26393231561522901</v>
      </c>
    </row>
    <row r="19" spans="1:27" x14ac:dyDescent="0.2">
      <c r="N19" s="16"/>
      <c r="O19" s="16"/>
      <c r="P19" s="16"/>
      <c r="Q19" s="16"/>
      <c r="R19" s="16"/>
      <c r="S19" s="16"/>
      <c r="T19" s="16"/>
      <c r="U19" s="16"/>
      <c r="V19" s="16"/>
      <c r="W19" s="16"/>
      <c r="X19" s="16"/>
      <c r="Y19" s="16"/>
      <c r="Z19" s="16"/>
    </row>
    <row r="20" spans="1:27" s="11" customFormat="1" ht="13.5" thickBot="1" x14ac:dyDescent="0.3">
      <c r="A20" s="5" t="s">
        <v>25</v>
      </c>
      <c r="B20" s="6">
        <v>43831</v>
      </c>
      <c r="C20" s="6" t="s">
        <v>180</v>
      </c>
      <c r="D20" s="6">
        <v>43891</v>
      </c>
      <c r="E20" s="6" t="s">
        <v>181</v>
      </c>
      <c r="F20" s="6" t="s">
        <v>182</v>
      </c>
      <c r="G20" s="6">
        <v>43983</v>
      </c>
      <c r="H20" s="6">
        <v>44013</v>
      </c>
      <c r="I20" s="6" t="s">
        <v>183</v>
      </c>
      <c r="J20" s="6" t="s">
        <v>184</v>
      </c>
      <c r="K20" s="6" t="s">
        <v>185</v>
      </c>
      <c r="L20" s="6">
        <v>44136</v>
      </c>
      <c r="M20" s="6" t="s">
        <v>186</v>
      </c>
      <c r="N20" s="7">
        <v>2020</v>
      </c>
      <c r="O20" s="6">
        <v>44197</v>
      </c>
      <c r="P20" s="6" t="s">
        <v>187</v>
      </c>
      <c r="Q20" s="6">
        <v>44256</v>
      </c>
      <c r="R20" s="6" t="s">
        <v>188</v>
      </c>
      <c r="S20" s="6" t="s">
        <v>189</v>
      </c>
      <c r="T20" s="6">
        <v>44348</v>
      </c>
      <c r="U20" s="6">
        <v>44378</v>
      </c>
      <c r="V20" s="6" t="s">
        <v>190</v>
      </c>
      <c r="W20" s="6" t="s">
        <v>191</v>
      </c>
      <c r="X20" s="6" t="s">
        <v>192</v>
      </c>
      <c r="Y20" s="6">
        <v>44501</v>
      </c>
      <c r="Z20" s="6" t="s">
        <v>193</v>
      </c>
      <c r="AA20" s="7" t="s">
        <v>26</v>
      </c>
    </row>
    <row r="21" spans="1:27" s="16" customFormat="1" x14ac:dyDescent="0.2">
      <c r="A21" s="16" t="s">
        <v>16</v>
      </c>
      <c r="B21" s="25">
        <v>0.86</v>
      </c>
      <c r="C21" s="25">
        <v>1.05</v>
      </c>
      <c r="D21" s="25">
        <v>1.24</v>
      </c>
      <c r="E21" s="25">
        <v>1.04</v>
      </c>
      <c r="F21" s="25">
        <v>0.96</v>
      </c>
      <c r="G21" s="25">
        <v>0.76</v>
      </c>
      <c r="H21" s="25">
        <v>0.69</v>
      </c>
      <c r="I21" s="25">
        <v>0.63</v>
      </c>
      <c r="J21" s="25">
        <v>0.66</v>
      </c>
      <c r="K21" s="25">
        <v>0.64</v>
      </c>
      <c r="L21" s="25">
        <v>0.63</v>
      </c>
      <c r="M21" s="25">
        <v>0.8</v>
      </c>
      <c r="N21" s="30">
        <f>SUMPRODUCT(B21:M21,$B$15:$M$15)/SUM($B$15:$M$15)</f>
        <v>0.81048673376029268</v>
      </c>
      <c r="O21" s="26">
        <v>0.67</v>
      </c>
      <c r="P21" s="26">
        <v>0.87</v>
      </c>
      <c r="Q21" s="26">
        <v>1.1100000000000001</v>
      </c>
      <c r="R21" s="26">
        <v>1.19</v>
      </c>
      <c r="S21" s="26">
        <v>1.1100000000000001</v>
      </c>
      <c r="T21" s="26">
        <v>0.69</v>
      </c>
      <c r="U21" s="26">
        <v>0.53</v>
      </c>
      <c r="V21" s="26">
        <v>0.51</v>
      </c>
      <c r="W21" s="26">
        <v>0.5</v>
      </c>
      <c r="X21" s="26">
        <v>0.54</v>
      </c>
      <c r="Y21" s="26">
        <v>0.56999999999999995</v>
      </c>
      <c r="Z21" s="26">
        <v>0.93</v>
      </c>
      <c r="AA21" s="30">
        <f>SUMPRODUCT(O21:Z21,$O$15:$Z$15)/SUM($O$15:$Z$15)</f>
        <v>0.72819937465514062</v>
      </c>
    </row>
    <row r="22" spans="1:27" s="16" customFormat="1" x14ac:dyDescent="0.2"/>
    <row r="23" spans="1:27" s="16" customFormat="1" x14ac:dyDescent="0.2">
      <c r="A23" s="16" t="s">
        <v>198</v>
      </c>
      <c r="B23" s="18" t="s">
        <v>131</v>
      </c>
      <c r="C23" s="23">
        <f>SUMPRODUCT(B21:D21,B15:D15)/SUM(B15:D15)</f>
        <v>1.0318567639257292</v>
      </c>
      <c r="E23" s="18" t="s">
        <v>132</v>
      </c>
      <c r="F23" s="23">
        <f>SUMPRODUCT(E21:G21,E15:G15)/SUM(E15:G15)</f>
        <v>0.91109594882729206</v>
      </c>
      <c r="H23" s="18" t="s">
        <v>133</v>
      </c>
      <c r="I23" s="23">
        <f>SUMPRODUCT(H21:J21,H15:J15)/SUM(H15:J15)</f>
        <v>0.65930026281208942</v>
      </c>
      <c r="K23" s="18" t="s">
        <v>134</v>
      </c>
      <c r="L23" s="23">
        <f>SUMPRODUCT(K21:M21,K15:M15)/SUM(K15:M15)</f>
        <v>0.68646450723638874</v>
      </c>
      <c r="O23" s="18" t="s">
        <v>135</v>
      </c>
      <c r="P23" s="23">
        <f>SUMPRODUCT(O21:Q21,O15:Q15)/SUM(O15:Q15)</f>
        <v>0.85536725188104623</v>
      </c>
      <c r="R23" s="18" t="s">
        <v>136</v>
      </c>
      <c r="S23" s="23">
        <f>SUMPRODUCT(R21:T21,R15:T15)/SUM(R15:T15)</f>
        <v>0.96369863013698631</v>
      </c>
      <c r="U23" s="18" t="s">
        <v>194</v>
      </c>
      <c r="V23" s="23">
        <f>SUMPRODUCT(U21:W21,U15:W15)/SUM(U15:W15)</f>
        <v>0.51291989664082682</v>
      </c>
      <c r="X23" s="18" t="s">
        <v>195</v>
      </c>
      <c r="Y23" s="23">
        <f>SUMPRODUCT(X21:Z21,X15:Z15)/SUM(X15:Z15)</f>
        <v>0.66305226480836243</v>
      </c>
    </row>
    <row r="24" spans="1:27" s="16" customFormat="1" x14ac:dyDescent="0.2"/>
    <row r="25" spans="1:27" s="11" customFormat="1" ht="13.5" thickBot="1" x14ac:dyDescent="0.3">
      <c r="A25" s="5" t="s">
        <v>202</v>
      </c>
      <c r="B25" s="6">
        <v>43831</v>
      </c>
      <c r="C25" s="6" t="s">
        <v>180</v>
      </c>
      <c r="D25" s="6">
        <v>43891</v>
      </c>
      <c r="E25" s="6" t="s">
        <v>181</v>
      </c>
      <c r="F25" s="6" t="s">
        <v>182</v>
      </c>
      <c r="G25" s="6">
        <v>43983</v>
      </c>
      <c r="H25" s="6">
        <v>44013</v>
      </c>
      <c r="I25" s="6" t="s">
        <v>183</v>
      </c>
      <c r="J25" s="6" t="s">
        <v>184</v>
      </c>
      <c r="K25" s="6" t="s">
        <v>185</v>
      </c>
      <c r="L25" s="6">
        <v>44136</v>
      </c>
      <c r="M25" s="6" t="s">
        <v>186</v>
      </c>
      <c r="N25" s="7">
        <v>2020</v>
      </c>
      <c r="O25" s="6">
        <v>44197</v>
      </c>
      <c r="P25" s="6" t="s">
        <v>187</v>
      </c>
      <c r="Q25" s="6">
        <v>44256</v>
      </c>
      <c r="R25" s="6" t="s">
        <v>188</v>
      </c>
      <c r="S25" s="6" t="s">
        <v>189</v>
      </c>
      <c r="T25" s="6">
        <v>44348</v>
      </c>
      <c r="U25" s="6">
        <v>44378</v>
      </c>
      <c r="V25" s="6" t="s">
        <v>190</v>
      </c>
      <c r="W25" s="6" t="s">
        <v>191</v>
      </c>
      <c r="X25" s="6" t="s">
        <v>192</v>
      </c>
      <c r="Y25" s="6">
        <v>44501</v>
      </c>
      <c r="Z25" s="6" t="s">
        <v>193</v>
      </c>
      <c r="AA25" s="7" t="s">
        <v>26</v>
      </c>
    </row>
    <row r="26" spans="1:27" s="16" customFormat="1" x14ac:dyDescent="0.2">
      <c r="A26" s="16" t="s">
        <v>203</v>
      </c>
      <c r="B26" s="16">
        <v>887</v>
      </c>
      <c r="C26" s="16">
        <v>950</v>
      </c>
      <c r="D26" s="16">
        <v>932</v>
      </c>
      <c r="E26" s="16">
        <v>812</v>
      </c>
      <c r="F26" s="16">
        <v>783</v>
      </c>
      <c r="G26" s="16">
        <v>725</v>
      </c>
      <c r="H26" s="16">
        <v>715</v>
      </c>
      <c r="I26" s="16">
        <v>703</v>
      </c>
      <c r="J26" s="16">
        <v>746</v>
      </c>
      <c r="K26" s="16">
        <v>715</v>
      </c>
      <c r="L26" s="16">
        <v>675</v>
      </c>
      <c r="M26" s="16">
        <v>778</v>
      </c>
      <c r="N26" s="29">
        <f>SUMPRODUCT(B26:M26,$B$13:$M$13)/SUM($B$13:$M$13)</f>
        <v>784.68032786885249</v>
      </c>
      <c r="O26" s="17">
        <v>798</v>
      </c>
      <c r="P26" s="17">
        <v>809</v>
      </c>
      <c r="Q26" s="17">
        <v>865</v>
      </c>
      <c r="R26" s="17">
        <v>791</v>
      </c>
      <c r="S26" s="17">
        <v>748</v>
      </c>
      <c r="T26" s="17">
        <v>674</v>
      </c>
      <c r="U26" s="17">
        <v>620</v>
      </c>
      <c r="V26" s="17">
        <v>631</v>
      </c>
      <c r="W26" s="17">
        <v>624</v>
      </c>
      <c r="X26" s="17">
        <v>655</v>
      </c>
      <c r="Y26" s="17">
        <v>656</v>
      </c>
      <c r="Z26" s="17">
        <v>803</v>
      </c>
      <c r="AA26" s="29">
        <f>SUMPRODUCT(O26:Z26,$O$13:$Z$13)/SUM($O$13:$Z$13)</f>
        <v>722.52602739726024</v>
      </c>
    </row>
    <row r="27" spans="1:27" s="16" customFormat="1" x14ac:dyDescent="0.2"/>
    <row r="28" spans="1:27" s="16" customFormat="1" x14ac:dyDescent="0.2">
      <c r="A28" s="16" t="s">
        <v>199</v>
      </c>
      <c r="B28" s="18" t="s">
        <v>131</v>
      </c>
      <c r="C28" s="21">
        <f>SUMPRODUCT(B26:D26,B13:D13)/SUM(B13:D13)</f>
        <v>922.4065934065934</v>
      </c>
      <c r="E28" s="18" t="s">
        <v>132</v>
      </c>
      <c r="F28" s="21">
        <f>SUMPRODUCT(E26:G26,E13:G13)/SUM(E13:G13)</f>
        <v>773.43956043956041</v>
      </c>
      <c r="H28" s="18" t="s">
        <v>133</v>
      </c>
      <c r="I28" s="21">
        <f>SUMPRODUCT(H26:J26,H13:J13)/SUM(H13:J13)</f>
        <v>721.06521739130437</v>
      </c>
      <c r="K28" s="18" t="s">
        <v>134</v>
      </c>
      <c r="L28" s="21">
        <f>SUMPRODUCT(K26:M26,K13:M13)/SUM(K13:M13)</f>
        <v>723.18478260869563</v>
      </c>
      <c r="O28" s="18" t="s">
        <v>135</v>
      </c>
      <c r="P28" s="21">
        <f>SUMPRODUCT(O26:Q26,O13:Q13)/SUM(O13:Q13)</f>
        <v>824.5</v>
      </c>
      <c r="R28" s="18" t="s">
        <v>136</v>
      </c>
      <c r="S28" s="21">
        <f>SUMPRODUCT(R26:T26,R13:T13)/SUM(R13:T13)</f>
        <v>737.7802197802198</v>
      </c>
      <c r="U28" s="18" t="s">
        <v>194</v>
      </c>
      <c r="V28" s="21">
        <f>SUMPRODUCT(U26:W26,U13:W13)/SUM(U13:W13)</f>
        <v>625.01086956521738</v>
      </c>
      <c r="X28" s="18" t="s">
        <v>195</v>
      </c>
      <c r="Y28" s="21">
        <f>SUMPRODUCT(X26:Z26,X13:Z13)/SUM(X13:Z13)</f>
        <v>705.195652173913</v>
      </c>
    </row>
    <row r="29" spans="1:27" s="16" customFormat="1" x14ac:dyDescent="0.2">
      <c r="A29" s="16" t="s">
        <v>200</v>
      </c>
      <c r="C29" s="22">
        <f>SUM(B26:D26)/SUM($B$26:$M$26)</f>
        <v>0.29391784311644198</v>
      </c>
      <c r="F29" s="22">
        <f>SUM(E26:G26)/SUM($B$26:$M$26)</f>
        <v>0.24625835898524573</v>
      </c>
      <c r="I29" s="22">
        <f>SUM(H26:J26)/SUM($B$26:$M$26)</f>
        <v>0.22969960726037575</v>
      </c>
      <c r="L29" s="22">
        <f>SUM(K26:M26)/SUM($B$26:$M$26)</f>
        <v>0.23012419063793652</v>
      </c>
      <c r="P29" s="22">
        <f>SUM(O26:Q26)/SUM($O$26:$Z$26)</f>
        <v>0.28498962416416879</v>
      </c>
      <c r="S29" s="22">
        <f>SUM(R26:T26)/SUM($O$26:$Z$26)</f>
        <v>0.25513027438321423</v>
      </c>
      <c r="V29" s="22">
        <f>SUM(U26:W26)/SUM($O$26:$Z$26)</f>
        <v>0.21616324648374452</v>
      </c>
      <c r="Y29" s="22">
        <f>SUM(X26:Z26)/SUM($O$26:$Z$26)</f>
        <v>0.24371685496887249</v>
      </c>
    </row>
    <row r="30" spans="1:27" x14ac:dyDescent="0.2">
      <c r="B30" s="16"/>
      <c r="C30" s="16"/>
      <c r="D30" s="16"/>
      <c r="E30" s="16"/>
      <c r="F30" s="16"/>
      <c r="G30" s="16"/>
      <c r="H30" s="16"/>
      <c r="I30" s="16"/>
      <c r="J30" s="16"/>
      <c r="K30" s="16"/>
      <c r="L30" s="16"/>
      <c r="M30" s="16"/>
      <c r="N30" s="16"/>
      <c r="AA30" s="16"/>
    </row>
    <row r="31" spans="1:27" ht="13.5" thickBot="1" x14ac:dyDescent="0.25">
      <c r="A31" s="5" t="s">
        <v>205</v>
      </c>
      <c r="B31" s="6">
        <v>43831</v>
      </c>
      <c r="C31" s="6" t="s">
        <v>180</v>
      </c>
      <c r="D31" s="6">
        <v>43891</v>
      </c>
      <c r="E31" s="6" t="s">
        <v>181</v>
      </c>
      <c r="F31" s="6" t="s">
        <v>182</v>
      </c>
      <c r="G31" s="6">
        <v>43983</v>
      </c>
      <c r="H31" s="6">
        <v>44013</v>
      </c>
      <c r="I31" s="6" t="s">
        <v>183</v>
      </c>
      <c r="J31" s="6" t="s">
        <v>184</v>
      </c>
      <c r="K31" s="6" t="s">
        <v>185</v>
      </c>
      <c r="L31" s="6">
        <v>44136</v>
      </c>
      <c r="M31" s="6" t="s">
        <v>186</v>
      </c>
      <c r="N31" s="7">
        <v>2020</v>
      </c>
      <c r="O31" s="6">
        <v>44197</v>
      </c>
      <c r="P31" s="6" t="s">
        <v>187</v>
      </c>
      <c r="Q31" s="6">
        <v>44256</v>
      </c>
      <c r="R31" s="6" t="s">
        <v>188</v>
      </c>
      <c r="S31" s="6" t="s">
        <v>189</v>
      </c>
      <c r="T31" s="6">
        <v>44348</v>
      </c>
      <c r="U31" s="6">
        <v>44378</v>
      </c>
      <c r="V31" s="6" t="s">
        <v>190</v>
      </c>
      <c r="W31" s="6" t="s">
        <v>191</v>
      </c>
      <c r="X31" s="6" t="s">
        <v>192</v>
      </c>
      <c r="Y31" s="6">
        <v>44501</v>
      </c>
      <c r="Z31" s="6" t="s">
        <v>193</v>
      </c>
      <c r="AA31" s="7" t="s">
        <v>26</v>
      </c>
    </row>
    <row r="32" spans="1:27" s="16" customFormat="1" x14ac:dyDescent="0.2">
      <c r="A32" s="16" t="s">
        <v>204</v>
      </c>
      <c r="B32" s="16">
        <v>1090</v>
      </c>
      <c r="C32" s="16">
        <v>1096</v>
      </c>
      <c r="D32" s="16">
        <v>1102</v>
      </c>
      <c r="E32" s="16">
        <v>1097</v>
      </c>
      <c r="F32" s="16">
        <v>1151</v>
      </c>
      <c r="G32" s="16">
        <v>1171</v>
      </c>
      <c r="H32" s="16">
        <v>1177</v>
      </c>
      <c r="I32" s="16">
        <v>1018</v>
      </c>
      <c r="J32" s="16">
        <v>1045</v>
      </c>
      <c r="K32" s="16">
        <v>1068</v>
      </c>
      <c r="L32" s="16">
        <v>1067</v>
      </c>
      <c r="M32" s="16">
        <v>1137</v>
      </c>
      <c r="N32" s="29">
        <f>SUMPRODUCT(B32:M32,$B$13:$M$13)/SUM($B$13:$M$13)</f>
        <v>1101.6857923497269</v>
      </c>
      <c r="O32" s="17">
        <v>1200</v>
      </c>
      <c r="P32" s="17">
        <v>1152</v>
      </c>
      <c r="Q32" s="17">
        <v>1208</v>
      </c>
      <c r="R32" s="17">
        <v>1091</v>
      </c>
      <c r="S32" s="17">
        <v>1037</v>
      </c>
      <c r="T32" s="17">
        <v>1008</v>
      </c>
      <c r="U32" s="17">
        <v>1051</v>
      </c>
      <c r="V32" s="17">
        <v>1058</v>
      </c>
      <c r="W32" s="17">
        <v>1090</v>
      </c>
      <c r="X32" s="17">
        <v>1101</v>
      </c>
      <c r="Y32" s="17">
        <v>1049</v>
      </c>
      <c r="Z32" s="17">
        <v>1066</v>
      </c>
      <c r="AA32" s="29">
        <f>SUMPRODUCT(O32:Z32,$O$13:$Z$13)/SUM($O$13:$Z$13)</f>
        <v>1092.4575342465753</v>
      </c>
    </row>
    <row r="33" spans="1:29" s="16" customFormat="1" x14ac:dyDescent="0.2"/>
    <row r="34" spans="1:29" s="16" customFormat="1" x14ac:dyDescent="0.2">
      <c r="A34" s="16" t="s">
        <v>199</v>
      </c>
      <c r="B34" s="18" t="s">
        <v>131</v>
      </c>
      <c r="C34" s="21">
        <f>SUMPRODUCT(B32:D32,B13:D13)/SUM(B13:D13)</f>
        <v>1096</v>
      </c>
      <c r="E34" s="18" t="s">
        <v>132</v>
      </c>
      <c r="F34" s="21">
        <f>SUMPRODUCT(E32:G32,E13:G13)/SUM(E13:G13)</f>
        <v>1139.7912087912089</v>
      </c>
      <c r="H34" s="18" t="s">
        <v>133</v>
      </c>
      <c r="I34" s="21">
        <f>SUMPRODUCT(H32:J32,H13:J13)/SUM(H13:J13)</f>
        <v>1080.3804347826087</v>
      </c>
      <c r="K34" s="18" t="s">
        <v>134</v>
      </c>
      <c r="L34" s="21">
        <f>SUMPRODUCT(K32:M32,K13:M13)/SUM(K13:M13)</f>
        <v>1090.9239130434783</v>
      </c>
      <c r="O34" s="18" t="s">
        <v>135</v>
      </c>
      <c r="P34" s="21">
        <f>SUMPRODUCT(O32:Q32,O13:Q13)/SUM(O13:Q13)</f>
        <v>1187.8222222222223</v>
      </c>
      <c r="R34" s="18" t="s">
        <v>136</v>
      </c>
      <c r="S34" s="21">
        <f>SUMPRODUCT(R32:T32,R13:T13)/SUM(R13:T13)</f>
        <v>1045.2417582417581</v>
      </c>
      <c r="U34" s="18" t="s">
        <v>194</v>
      </c>
      <c r="V34" s="21">
        <f>SUMPRODUCT(U32:W32,U13:W13)/SUM(U13:W13)</f>
        <v>1066.0760869565217</v>
      </c>
      <c r="X34" s="18" t="s">
        <v>195</v>
      </c>
      <c r="Y34" s="21">
        <f>SUMPRODUCT(X32:Z32,X13:Z13)/SUM(X13:Z13)</f>
        <v>1072.25</v>
      </c>
    </row>
    <row r="35" spans="1:29" s="16" customFormat="1" x14ac:dyDescent="0.2">
      <c r="A35" s="16" t="s">
        <v>200</v>
      </c>
      <c r="C35" s="22">
        <f>SUM(B32:D32)/SUM($B$32:$M$32)</f>
        <v>0.24873288448445419</v>
      </c>
      <c r="F35" s="22">
        <f>SUM(E32:G32)/SUM($B$32:$M$32)</f>
        <v>0.25864286254633484</v>
      </c>
      <c r="I35" s="22">
        <f>SUM(H32:J32)/SUM($B$32:$M$32)</f>
        <v>0.24510174748468114</v>
      </c>
      <c r="L35" s="22">
        <f>SUM(K32:M32)/SUM($B$32:$M$32)</f>
        <v>0.24752250548452984</v>
      </c>
      <c r="P35" s="22">
        <f>SUM(O32:Q32)/SUM($O$32:$Z$32)</f>
        <v>0.27152772481122722</v>
      </c>
      <c r="S35" s="22">
        <f>SUM(R32:T32)/SUM($O$32:$Z$32)</f>
        <v>0.2391884676988788</v>
      </c>
      <c r="V35" s="22">
        <f>SUM(U32:W32)/SUM($O$32:$Z$32)</f>
        <v>0.24399359316604377</v>
      </c>
      <c r="Y35" s="22">
        <f>SUM(X32:Z32)/SUM($O$32:$Z$32)</f>
        <v>0.2452902143238502</v>
      </c>
    </row>
    <row r="36" spans="1:29" x14ac:dyDescent="0.2">
      <c r="N36" s="16"/>
      <c r="O36" s="16"/>
      <c r="P36" s="16"/>
      <c r="Q36" s="16"/>
      <c r="R36" s="16"/>
      <c r="S36" s="16"/>
      <c r="T36" s="16"/>
      <c r="U36" s="16"/>
      <c r="V36" s="16"/>
      <c r="W36" s="16"/>
      <c r="X36" s="16"/>
      <c r="Y36" s="16"/>
      <c r="Z36" s="16"/>
    </row>
    <row r="37" spans="1:29" s="11" customFormat="1" ht="13.5" thickBot="1" x14ac:dyDescent="0.3">
      <c r="A37" s="5" t="s">
        <v>206</v>
      </c>
      <c r="B37" s="6">
        <v>43831</v>
      </c>
      <c r="C37" s="6" t="s">
        <v>180</v>
      </c>
      <c r="D37" s="6">
        <v>43891</v>
      </c>
      <c r="E37" s="6" t="s">
        <v>181</v>
      </c>
      <c r="F37" s="6" t="s">
        <v>182</v>
      </c>
      <c r="G37" s="6">
        <v>43983</v>
      </c>
      <c r="H37" s="6">
        <v>44013</v>
      </c>
      <c r="I37" s="6" t="s">
        <v>183</v>
      </c>
      <c r="J37" s="6" t="s">
        <v>184</v>
      </c>
      <c r="K37" s="6" t="s">
        <v>185</v>
      </c>
      <c r="L37" s="6">
        <v>44136</v>
      </c>
      <c r="M37" s="6" t="s">
        <v>186</v>
      </c>
      <c r="N37" s="7">
        <v>2020</v>
      </c>
      <c r="O37" s="6">
        <v>44197</v>
      </c>
      <c r="P37" s="6" t="s">
        <v>187</v>
      </c>
      <c r="Q37" s="6">
        <v>44256</v>
      </c>
      <c r="R37" s="6" t="s">
        <v>188</v>
      </c>
      <c r="S37" s="6" t="s">
        <v>189</v>
      </c>
      <c r="T37" s="6">
        <v>44348</v>
      </c>
      <c r="U37" s="6">
        <v>44378</v>
      </c>
      <c r="V37" s="6" t="s">
        <v>190</v>
      </c>
      <c r="W37" s="6" t="s">
        <v>191</v>
      </c>
      <c r="X37" s="6" t="s">
        <v>192</v>
      </c>
      <c r="Y37" s="6">
        <v>44501</v>
      </c>
      <c r="Z37" s="6" t="s">
        <v>193</v>
      </c>
      <c r="AA37" s="7" t="s">
        <v>26</v>
      </c>
    </row>
    <row r="38" spans="1:29" s="16" customFormat="1" x14ac:dyDescent="0.2">
      <c r="A38" s="16" t="s">
        <v>207</v>
      </c>
      <c r="B38" s="16">
        <v>209</v>
      </c>
      <c r="C38" s="16">
        <v>153</v>
      </c>
      <c r="D38" s="16">
        <v>170</v>
      </c>
      <c r="E38" s="253">
        <v>284.7</v>
      </c>
      <c r="F38" s="16">
        <v>368</v>
      </c>
      <c r="G38" s="16">
        <v>447</v>
      </c>
      <c r="H38" s="253">
        <v>462.19685215053801</v>
      </c>
      <c r="I38" s="253">
        <v>353.19685215053761</v>
      </c>
      <c r="J38" s="253">
        <v>358.19685138888889</v>
      </c>
      <c r="K38" s="253">
        <v>352.19685215053801</v>
      </c>
      <c r="L38" s="253">
        <v>389.19685138888883</v>
      </c>
      <c r="M38" s="253">
        <v>317.5</v>
      </c>
      <c r="N38" s="29">
        <v>317</v>
      </c>
      <c r="O38" s="253">
        <v>407.49999999999989</v>
      </c>
      <c r="P38" s="253">
        <v>345.4</v>
      </c>
      <c r="Q38" s="253">
        <v>327.4592352150537</v>
      </c>
      <c r="R38" s="253">
        <v>292.2852972222222</v>
      </c>
      <c r="S38" s="253">
        <v>288.28272177419359</v>
      </c>
      <c r="T38" s="253">
        <v>310.3061208333333</v>
      </c>
      <c r="U38" s="253">
        <v>418.05000000000007</v>
      </c>
      <c r="V38" s="253">
        <v>428.91440053763449</v>
      </c>
      <c r="W38" s="253">
        <v>480.55</v>
      </c>
      <c r="X38" s="253">
        <v>418.04999999999995</v>
      </c>
      <c r="Y38" s="253">
        <v>367.04999999999995</v>
      </c>
      <c r="Z38" s="253">
        <v>367.05</v>
      </c>
      <c r="AA38" s="29">
        <f>SUMPRODUCT(O38:Z38,$O$13:$Z$13)/SUM($O$13:$Z$13)</f>
        <v>371.209423630137</v>
      </c>
      <c r="AB38" s="25"/>
      <c r="AC38" s="254"/>
    </row>
    <row r="39" spans="1:29" s="16" customFormat="1" x14ac:dyDescent="0.2">
      <c r="A39" s="16" t="s">
        <v>208</v>
      </c>
      <c r="B39" s="253">
        <v>235.47430622009577</v>
      </c>
      <c r="C39" s="253">
        <v>211.45679738562097</v>
      </c>
      <c r="D39" s="253">
        <v>213</v>
      </c>
      <c r="E39" s="253">
        <v>166</v>
      </c>
      <c r="F39" s="253">
        <v>151</v>
      </c>
      <c r="G39" s="253">
        <v>166</v>
      </c>
      <c r="H39" s="253">
        <v>185</v>
      </c>
      <c r="I39" s="253">
        <v>213</v>
      </c>
      <c r="J39" s="253">
        <v>210</v>
      </c>
      <c r="K39" s="253">
        <v>226</v>
      </c>
      <c r="L39" s="253">
        <v>269</v>
      </c>
      <c r="M39" s="253">
        <v>224</v>
      </c>
      <c r="N39" s="33">
        <v>204</v>
      </c>
      <c r="O39" s="253">
        <v>215.42336196319025</v>
      </c>
      <c r="P39" s="253">
        <v>201.62472495657207</v>
      </c>
      <c r="Q39" s="253">
        <v>204.6941440478324</v>
      </c>
      <c r="R39" s="253">
        <v>180.26271591739226</v>
      </c>
      <c r="S39" s="253">
        <v>190.41210804553609</v>
      </c>
      <c r="T39" s="253">
        <v>207.08337372243707</v>
      </c>
      <c r="U39" s="253">
        <v>260.49049876989039</v>
      </c>
      <c r="V39" s="253">
        <v>277.30312519372103</v>
      </c>
      <c r="W39" s="253">
        <v>301.45365310581616</v>
      </c>
      <c r="X39" s="253">
        <v>270.01328312582871</v>
      </c>
      <c r="Y39" s="253">
        <v>243.44654134314121</v>
      </c>
      <c r="Z39" s="253">
        <v>243.44654137243614</v>
      </c>
      <c r="AA39" s="33">
        <f>SUMPRODUCT(O39:Z39,O38:Z38,O13:Z13)/SUMPRODUCT(O38:Z38,O13:Z13)</f>
        <v>238.5255661805185</v>
      </c>
      <c r="AB39" s="25"/>
      <c r="AC39" s="255"/>
    </row>
    <row r="40" spans="1:29" s="16" customFormat="1" x14ac:dyDescent="0.2"/>
    <row r="41" spans="1:29" s="16" customFormat="1" x14ac:dyDescent="0.2">
      <c r="A41" s="16" t="s">
        <v>199</v>
      </c>
      <c r="B41" s="18" t="s">
        <v>131</v>
      </c>
      <c r="C41" s="24">
        <f>SUMPRODUCT(B38:D38,B13:D13)/SUM(B13:D13)</f>
        <v>177.86813186813185</v>
      </c>
      <c r="E41" s="18" t="s">
        <v>132</v>
      </c>
      <c r="F41" s="24">
        <f>SUMPRODUCT(E38:G38,E13:G13)/SUM(E13:G13)</f>
        <v>366.58241758241758</v>
      </c>
      <c r="H41" s="18" t="s">
        <v>133</v>
      </c>
      <c r="I41" s="24">
        <f>SUMPRODUCT(H38:J38,H13:J13)/SUM(H13:J13)</f>
        <v>391.55554755434792</v>
      </c>
      <c r="K41" s="18" t="s">
        <v>134</v>
      </c>
      <c r="L41" s="24">
        <f>SUMPRODUCT(K38:M38,K13:M13)/SUM(K13:M13)</f>
        <v>352.57073867753633</v>
      </c>
      <c r="O41" s="18" t="s">
        <v>135</v>
      </c>
      <c r="P41" s="24">
        <f>SUMPRODUCT(O38:Q38,O13:Q13)/SUM(O13:Q13)</f>
        <v>360.61040324074071</v>
      </c>
      <c r="R41" s="18" t="s">
        <v>136</v>
      </c>
      <c r="S41" s="24">
        <f>SUMPRODUCT(R38:T38,R13:T13)/SUM(R13:T13)</f>
        <v>296.86271336996333</v>
      </c>
      <c r="U41" s="18" t="s">
        <v>194</v>
      </c>
      <c r="V41" s="24">
        <f>SUMPRODUCT(U38:W38,U13:W13)/SUM(U13:W13)</f>
        <v>442.09126539855083</v>
      </c>
      <c r="X41" s="18" t="s">
        <v>195</v>
      </c>
      <c r="Y41" s="24">
        <f>SUMPRODUCT(X38:Z38,X13:Z13)/SUM(X13:Z13)</f>
        <v>384.23478260869558</v>
      </c>
      <c r="AC41" s="25"/>
    </row>
    <row r="42" spans="1:29" s="16" customFormat="1" x14ac:dyDescent="0.2">
      <c r="A42" s="16" t="s">
        <v>201</v>
      </c>
      <c r="C42" s="24">
        <f>SUMPRODUCT(B39:D39,B38:D38,B13:D13)/SUMPRODUCT(B38:D38,B13:D13)</f>
        <v>221.57307796861491</v>
      </c>
      <c r="F42" s="24">
        <f>SUMPRODUCT(E39:G39,E38:G38,E13:G13)/SUMPRODUCT(E38:G38,E13:G13)</f>
        <v>160.8703498306304</v>
      </c>
      <c r="I42" s="24">
        <f>SUMPRODUCT(H39:J39,H38:J38,H13:J13)/SUMPRODUCT(H38:J38,H13:J13)</f>
        <v>200.96815211735679</v>
      </c>
      <c r="L42" s="24">
        <f>SUMPRODUCT(K39:M39,K38:M38,K13:M13)/SUMPRODUCT(K38:M38,K13:M13)</f>
        <v>240.87148181645546</v>
      </c>
      <c r="P42" s="24">
        <f>SUMPRODUCT(O39:Q39,O38:Q38,O13:Q13)/SUMPRODUCT(O38:Q38,O13:Q13)</f>
        <v>207.95564727338456</v>
      </c>
      <c r="S42" s="24">
        <f>SUMPRODUCT(R39:T39,R38:T38,R13:T13)/SUMPRODUCT(R38:T38,R13:T13)</f>
        <v>192.8626554794634</v>
      </c>
      <c r="V42" s="24">
        <f>SUMPRODUCT(U39:W39,U38:W38,U13:W13)/SUMPRODUCT(U38:W38,U13:W13)</f>
        <v>280.50632993088715</v>
      </c>
      <c r="Y42" s="24">
        <f>SUMPRODUCT(X39:Z39,X38:Z38,X13:Z13)/SUMPRODUCT(X38:Z38,X13:Z13)</f>
        <v>253.18619946666061</v>
      </c>
      <c r="AA42" s="25"/>
    </row>
    <row r="43" spans="1:29" s="16" customFormat="1" x14ac:dyDescent="0.2">
      <c r="AA43" s="25"/>
    </row>
    <row r="44" spans="1:29" s="16" customFormat="1" x14ac:dyDescent="0.2">
      <c r="A44" s="16" t="s">
        <v>209</v>
      </c>
      <c r="C44" s="34">
        <f>((C42*C41)*SUM(B13:D13))/1000</f>
        <v>86073.164160000015</v>
      </c>
      <c r="F44" s="34">
        <f>((F42*F41)*SUM(E13:G13))/1000</f>
        <v>128795.37599999999</v>
      </c>
      <c r="I44" s="34">
        <f>((I42*I41)*SUM(H13:J13))/1000</f>
        <v>173747.95021400004</v>
      </c>
      <c r="L44" s="34">
        <f>((L42*L41)*SUM(K13:M13))/1000</f>
        <v>187512.71368500002</v>
      </c>
      <c r="P44" s="34">
        <f>((P42*P41)*SUM(O13:Q13))/1000</f>
        <v>161980.49481</v>
      </c>
      <c r="S44" s="34">
        <f>((S42*S41)*SUM(R13:T13))/1000</f>
        <v>125042.14896999992</v>
      </c>
      <c r="V44" s="34">
        <f>((V42*V41)*SUM(U13:W13))/1000</f>
        <v>273812.75156</v>
      </c>
      <c r="Y44" s="34">
        <f>((Y42*Y41)*SUM(X13:Z13))/1000</f>
        <v>214800.74103999996</v>
      </c>
    </row>
    <row r="46" spans="1:29" x14ac:dyDescent="0.2">
      <c r="S46" s="256"/>
    </row>
    <row r="47" spans="1:29" ht="12.75" customHeight="1" x14ac:dyDescent="0.2">
      <c r="A47" s="283" t="s">
        <v>210</v>
      </c>
      <c r="B47" s="283"/>
      <c r="C47" s="283"/>
      <c r="D47" s="283"/>
      <c r="E47" s="283"/>
      <c r="F47" s="283"/>
      <c r="G47" s="283"/>
      <c r="H47" s="283"/>
      <c r="I47" s="283"/>
      <c r="J47" s="283"/>
      <c r="K47" s="283"/>
      <c r="S47" s="256"/>
    </row>
    <row r="48" spans="1:29" x14ac:dyDescent="0.2">
      <c r="A48" s="283"/>
      <c r="B48" s="283"/>
      <c r="C48" s="283"/>
      <c r="D48" s="283"/>
      <c r="E48" s="283"/>
      <c r="F48" s="283"/>
      <c r="G48" s="283"/>
      <c r="H48" s="283"/>
      <c r="I48" s="283"/>
      <c r="J48" s="283"/>
      <c r="K48" s="283"/>
    </row>
    <row r="49" spans="1:11" x14ac:dyDescent="0.2">
      <c r="A49" s="283"/>
      <c r="B49" s="283"/>
      <c r="C49" s="283"/>
      <c r="D49" s="283"/>
      <c r="E49" s="283"/>
      <c r="F49" s="283"/>
      <c r="G49" s="283"/>
      <c r="H49" s="283"/>
      <c r="I49" s="283"/>
      <c r="J49" s="283"/>
      <c r="K49" s="283"/>
    </row>
    <row r="50" spans="1:11" x14ac:dyDescent="0.2">
      <c r="A50" s="283"/>
      <c r="B50" s="283"/>
      <c r="C50" s="283"/>
      <c r="D50" s="283"/>
      <c r="E50" s="283"/>
      <c r="F50" s="283"/>
      <c r="G50" s="283"/>
      <c r="H50" s="283"/>
      <c r="I50" s="283"/>
      <c r="J50" s="283"/>
      <c r="K50" s="283"/>
    </row>
    <row r="51" spans="1:11" x14ac:dyDescent="0.2">
      <c r="A51" s="283"/>
      <c r="B51" s="283"/>
      <c r="C51" s="283"/>
      <c r="D51" s="283"/>
      <c r="E51" s="283"/>
      <c r="F51" s="283"/>
      <c r="G51" s="283"/>
      <c r="H51" s="283"/>
      <c r="I51" s="283"/>
      <c r="J51" s="283"/>
      <c r="K51" s="283"/>
    </row>
    <row r="52" spans="1:11" x14ac:dyDescent="0.2">
      <c r="A52" s="283"/>
      <c r="B52" s="283"/>
      <c r="C52" s="283"/>
      <c r="D52" s="283"/>
      <c r="E52" s="283"/>
      <c r="F52" s="283"/>
      <c r="G52" s="283"/>
      <c r="H52" s="283"/>
      <c r="I52" s="283"/>
      <c r="J52" s="283"/>
      <c r="K52" s="283"/>
    </row>
    <row r="53" spans="1:11" x14ac:dyDescent="0.2">
      <c r="A53" s="283"/>
      <c r="B53" s="283"/>
      <c r="C53" s="283"/>
      <c r="D53" s="283"/>
      <c r="E53" s="283"/>
      <c r="F53" s="283"/>
      <c r="G53" s="283"/>
      <c r="H53" s="283"/>
      <c r="I53" s="283"/>
      <c r="J53" s="283"/>
      <c r="K53" s="283"/>
    </row>
    <row r="54" spans="1:11" x14ac:dyDescent="0.2">
      <c r="A54" s="283"/>
      <c r="B54" s="283"/>
      <c r="C54" s="283"/>
      <c r="D54" s="283"/>
      <c r="E54" s="283"/>
      <c r="F54" s="283"/>
      <c r="G54" s="283"/>
      <c r="H54" s="283"/>
      <c r="I54" s="283"/>
      <c r="J54" s="283"/>
      <c r="K54" s="283"/>
    </row>
    <row r="55" spans="1:11" x14ac:dyDescent="0.2">
      <c r="A55" s="283"/>
      <c r="B55" s="283"/>
      <c r="C55" s="283"/>
      <c r="D55" s="283"/>
      <c r="E55" s="283"/>
      <c r="F55" s="283"/>
      <c r="G55" s="283"/>
      <c r="H55" s="283"/>
      <c r="I55" s="283"/>
      <c r="J55" s="283"/>
      <c r="K55" s="283"/>
    </row>
    <row r="56" spans="1:11" x14ac:dyDescent="0.2">
      <c r="A56" s="283"/>
      <c r="B56" s="283"/>
      <c r="C56" s="283"/>
      <c r="D56" s="283"/>
      <c r="E56" s="283"/>
      <c r="F56" s="283"/>
      <c r="G56" s="283"/>
      <c r="H56" s="283"/>
      <c r="I56" s="283"/>
      <c r="J56" s="283"/>
      <c r="K56" s="283"/>
    </row>
  </sheetData>
  <mergeCells count="2">
    <mergeCell ref="B1:AA1"/>
    <mergeCell ref="A47:K56"/>
  </mergeCells>
  <phoneticPr fontId="25" type="noConversion"/>
  <pageMargins left="0.511811024" right="0.511811024" top="0.78740157499999996" bottom="0.78740157499999996" header="0.31496062000000002" footer="0.31496062000000002"/>
  <pageSetup paperSize="9" orientation="portrait" r:id="rId1"/>
  <ignoredErrors>
    <ignoredError sqref="AA3 N13:AA13 Z32:AA36 Z17:AA19 N16:AA16 O15:AA15 Z22:AA24 AA21" numberStoredAsText="1"/>
    <ignoredError sqref="O32 N33:O33 O21 N22:O22 N18:O19 N17 N24:O24 N23 N35:O36 N34" numberStoredAsText="1" formulaRange="1"/>
    <ignoredError sqref="B32:N32 B18:M19 P18:Y19 B40:Y40 B22:M22 P22:Y22 B21:N21 P21:S21 B33:M33 P33:Y33 P32:T32 B27:Y27 B26:S26 V32:Y32 AA38:AA39 B43:Y44 B42 W42:X42 T42:U42 Q42:R42 M42:O42 J42:K42 G42:H42 D42:E42 C42 F42 I42 L42 P42 S42 V42 Y42 C17:D17 B24:M24 C23:D23 B29:Y30 C28:D28 B35:M36 C34:D34 C41:D41 F17:G17 F23:G23 F28:G28 F34:G34 F41:G41 I41:J41 I34:J34 I28:J28 I23:J23 I17:J17 L17:M17 L23:M23 L28:N28 L34:M34 L41:N41 P28:Q28 P41:Q41 P17:Q17 S17:T17 P24:Y24 P23:Q23 S23:T23 S28:T28 P35:Y36 P34:Q34 S34:T34 S41:T41 V41:W41 V34:W34 V28:W28 V23:W23 V17:W17 Y17 Y23 Y28 Y34 Y4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F4FA-9821-4EE6-8138-A44D72B8AA38}">
  <sheetPr codeName="Planilha13"/>
  <dimension ref="A1:S36"/>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activeCell="A52" sqref="A52"/>
    </sheetView>
  </sheetViews>
  <sheetFormatPr defaultColWidth="9.140625" defaultRowHeight="12" x14ac:dyDescent="0.2"/>
  <cols>
    <col min="1" max="1" width="59.7109375" style="63" bestFit="1" customWidth="1"/>
    <col min="2" max="2" width="16.5703125" style="63" customWidth="1"/>
    <col min="3" max="3" width="12.7109375" style="63" customWidth="1"/>
    <col min="4" max="4" width="14.5703125" style="63" bestFit="1" customWidth="1"/>
    <col min="5" max="5" width="11.42578125" style="63" customWidth="1"/>
    <col min="6" max="6" width="10.42578125" style="63" customWidth="1"/>
    <col min="7" max="16384" width="9.140625" style="63"/>
  </cols>
  <sheetData>
    <row r="1" spans="1:19" s="9" customFormat="1" ht="54.75" customHeight="1" x14ac:dyDescent="0.2">
      <c r="A1" s="8"/>
      <c r="B1" s="281" t="s">
        <v>155</v>
      </c>
      <c r="C1" s="281"/>
      <c r="D1" s="281"/>
      <c r="E1" s="281"/>
      <c r="F1" s="281"/>
      <c r="G1" s="105"/>
      <c r="H1" s="105"/>
      <c r="I1" s="63"/>
      <c r="J1" s="105"/>
      <c r="K1" s="105"/>
      <c r="L1" s="105"/>
      <c r="M1" s="105"/>
      <c r="N1" s="105"/>
      <c r="O1" s="105"/>
      <c r="P1" s="105"/>
      <c r="Q1" s="105"/>
      <c r="R1" s="105"/>
      <c r="S1" s="65"/>
    </row>
    <row r="2" spans="1:19" ht="8.25" customHeight="1" x14ac:dyDescent="0.2"/>
    <row r="3" spans="1:19" s="102" customFormat="1" ht="12.75" thickBot="1" x14ac:dyDescent="0.3">
      <c r="A3" s="103" t="s">
        <v>156</v>
      </c>
      <c r="B3" s="114">
        <v>2021</v>
      </c>
      <c r="C3" s="114">
        <v>2022</v>
      </c>
      <c r="D3" s="114">
        <v>2023</v>
      </c>
      <c r="E3" s="114">
        <v>2024</v>
      </c>
      <c r="F3" s="114">
        <v>2025</v>
      </c>
    </row>
    <row r="4" spans="1:19" x14ac:dyDescent="0.2">
      <c r="A4" s="106" t="s">
        <v>157</v>
      </c>
      <c r="B4" s="119">
        <f>887+48</f>
        <v>935</v>
      </c>
      <c r="C4" s="119">
        <f>887+24</f>
        <v>911</v>
      </c>
      <c r="D4" s="119">
        <v>887</v>
      </c>
      <c r="E4" s="119">
        <f>D4</f>
        <v>887</v>
      </c>
      <c r="F4" s="119">
        <f>E4</f>
        <v>887</v>
      </c>
    </row>
    <row r="5" spans="1:19" ht="12.75" thickBot="1" x14ac:dyDescent="0.25">
      <c r="A5" s="107" t="s">
        <v>158</v>
      </c>
      <c r="B5" s="120">
        <f>B4*0.97</f>
        <v>906.94999999999993</v>
      </c>
      <c r="C5" s="120">
        <f>C4*0.97</f>
        <v>883.67</v>
      </c>
      <c r="D5" s="120">
        <f>D4*0.97</f>
        <v>860.39</v>
      </c>
      <c r="E5" s="120">
        <f>E4*0.97</f>
        <v>860.39</v>
      </c>
      <c r="F5" s="120">
        <f>F4*0.97</f>
        <v>860.39</v>
      </c>
    </row>
    <row r="6" spans="1:19" x14ac:dyDescent="0.2">
      <c r="A6" s="172" t="s">
        <v>178</v>
      </c>
      <c r="B6" s="171"/>
      <c r="C6" s="171"/>
      <c r="D6" s="171"/>
      <c r="E6" s="171"/>
      <c r="F6" s="171"/>
    </row>
    <row r="7" spans="1:19" x14ac:dyDescent="0.2">
      <c r="A7" s="134"/>
      <c r="B7" s="166"/>
      <c r="C7" s="166"/>
      <c r="D7" s="166"/>
      <c r="E7" s="166"/>
      <c r="F7" s="166"/>
    </row>
    <row r="8" spans="1:19" ht="12.75" thickBot="1" x14ac:dyDescent="0.25">
      <c r="A8" s="164" t="s">
        <v>159</v>
      </c>
      <c r="B8" s="114">
        <v>2021</v>
      </c>
      <c r="C8" s="114">
        <v>2022</v>
      </c>
      <c r="D8" s="114">
        <v>2023</v>
      </c>
      <c r="E8" s="114">
        <v>2024</v>
      </c>
      <c r="F8" s="114">
        <v>2025</v>
      </c>
    </row>
    <row r="9" spans="1:19" s="142" customFormat="1" x14ac:dyDescent="0.2">
      <c r="A9" s="162" t="s">
        <v>160</v>
      </c>
      <c r="B9" s="163">
        <v>230</v>
      </c>
      <c r="C9" s="163">
        <v>230</v>
      </c>
      <c r="D9" s="163">
        <v>230</v>
      </c>
      <c r="E9" s="163">
        <v>230</v>
      </c>
      <c r="F9" s="163">
        <v>230</v>
      </c>
    </row>
    <row r="10" spans="1:19" ht="12.75" thickBot="1" x14ac:dyDescent="0.25">
      <c r="A10" s="107" t="s">
        <v>161</v>
      </c>
      <c r="B10" s="120">
        <v>827.40328299086764</v>
      </c>
      <c r="C10" s="120">
        <v>651</v>
      </c>
      <c r="D10" s="120">
        <v>481.75</v>
      </c>
      <c r="E10" s="120">
        <v>301.74499999999995</v>
      </c>
      <c r="F10" s="120">
        <v>240.42920547945209</v>
      </c>
    </row>
    <row r="11" spans="1:19" ht="12.75" thickBot="1" x14ac:dyDescent="0.25">
      <c r="A11" s="161" t="s">
        <v>12</v>
      </c>
      <c r="B11" s="167">
        <f>SUM(B9:B10)</f>
        <v>1057.4032829908676</v>
      </c>
      <c r="C11" s="167">
        <f t="shared" ref="C11" si="0">SUM(C9:C10)</f>
        <v>881</v>
      </c>
      <c r="D11" s="167">
        <f t="shared" ref="D11" si="1">SUM(D9:D10)</f>
        <v>711.75</v>
      </c>
      <c r="E11" s="167">
        <f t="shared" ref="E11" si="2">SUM(E9:E10)</f>
        <v>531.74499999999989</v>
      </c>
      <c r="F11" s="167">
        <f t="shared" ref="F11" si="3">SUM(F9:F10)</f>
        <v>470.42920547945209</v>
      </c>
    </row>
    <row r="12" spans="1:19" ht="12.75" thickBot="1" x14ac:dyDescent="0.25">
      <c r="B12" s="122"/>
      <c r="C12" s="122"/>
      <c r="D12" s="122"/>
      <c r="E12" s="122"/>
      <c r="F12" s="122"/>
    </row>
    <row r="13" spans="1:19" ht="12.75" thickBot="1" x14ac:dyDescent="0.25">
      <c r="A13" s="161" t="s">
        <v>162</v>
      </c>
      <c r="B13" s="168">
        <f>B11/B5</f>
        <v>1.1658892805456396</v>
      </c>
      <c r="C13" s="168">
        <f>C11/C5</f>
        <v>0.99697851007729132</v>
      </c>
      <c r="D13" s="168">
        <f>D11/D5</f>
        <v>0.82724113483420314</v>
      </c>
      <c r="E13" s="168">
        <f>E11/E5</f>
        <v>0.61802787108171864</v>
      </c>
      <c r="F13" s="168">
        <f>F11/F5</f>
        <v>0.54676275349487102</v>
      </c>
    </row>
    <row r="14" spans="1:19" x14ac:dyDescent="0.2">
      <c r="B14" s="122"/>
      <c r="C14" s="122"/>
      <c r="D14" s="122"/>
      <c r="E14" s="122"/>
      <c r="F14" s="122"/>
    </row>
    <row r="15" spans="1:19" ht="12.75" thickBot="1" x14ac:dyDescent="0.25">
      <c r="A15" s="164" t="s">
        <v>163</v>
      </c>
      <c r="B15" s="114">
        <v>2021</v>
      </c>
      <c r="C15" s="114">
        <v>2022</v>
      </c>
      <c r="D15" s="114">
        <v>2023</v>
      </c>
      <c r="E15" s="114">
        <v>2024</v>
      </c>
      <c r="F15" s="114">
        <v>2025</v>
      </c>
    </row>
    <row r="16" spans="1:19" x14ac:dyDescent="0.2">
      <c r="A16" s="162" t="s">
        <v>160</v>
      </c>
      <c r="B16" s="163">
        <v>254.73505857865948</v>
      </c>
      <c r="C16" s="163">
        <v>254.73505857865948</v>
      </c>
      <c r="D16" s="163">
        <v>254.73505857865948</v>
      </c>
      <c r="E16" s="163">
        <v>254.73505857865948</v>
      </c>
      <c r="F16" s="163">
        <v>254.73505857865948</v>
      </c>
    </row>
    <row r="17" spans="1:6" ht="12.75" thickBot="1" x14ac:dyDescent="0.25">
      <c r="A17" s="107" t="s">
        <v>161</v>
      </c>
      <c r="B17" s="120">
        <v>227.15249225905168</v>
      </c>
      <c r="C17" s="120">
        <v>240.7401228878648</v>
      </c>
      <c r="D17" s="120">
        <v>206.8855384891618</v>
      </c>
      <c r="E17" s="120">
        <v>178.33716906488269</v>
      </c>
      <c r="F17" s="120">
        <v>181.68184361621988</v>
      </c>
    </row>
    <row r="18" spans="1:6" ht="12.75" thickBot="1" x14ac:dyDescent="0.25">
      <c r="A18" s="161" t="s">
        <v>164</v>
      </c>
      <c r="B18" s="167">
        <v>233.1520861278789</v>
      </c>
      <c r="C18" s="167">
        <v>244.3937383349508</v>
      </c>
      <c r="D18" s="167">
        <v>222.34797560975815</v>
      </c>
      <c r="E18" s="167">
        <v>211.3821710642784</v>
      </c>
      <c r="F18" s="167">
        <v>217.39867251555791</v>
      </c>
    </row>
    <row r="19" spans="1:6" x14ac:dyDescent="0.2">
      <c r="B19" s="122"/>
      <c r="C19" s="122"/>
      <c r="D19" s="122"/>
      <c r="E19" s="122"/>
      <c r="F19" s="122"/>
    </row>
    <row r="20" spans="1:6" ht="12.75" thickBot="1" x14ac:dyDescent="0.25">
      <c r="A20" s="164" t="s">
        <v>165</v>
      </c>
      <c r="B20" s="114">
        <v>2021</v>
      </c>
      <c r="C20" s="114">
        <v>2022</v>
      </c>
      <c r="D20" s="114">
        <v>2023</v>
      </c>
      <c r="E20" s="114">
        <v>2024</v>
      </c>
      <c r="F20" s="114">
        <v>2025</v>
      </c>
    </row>
    <row r="21" spans="1:6" x14ac:dyDescent="0.2">
      <c r="A21" s="162" t="s">
        <v>47</v>
      </c>
      <c r="B21" s="169">
        <v>0.55884303793638612</v>
      </c>
      <c r="C21" s="169">
        <v>0.72350230414746541</v>
      </c>
      <c r="D21" s="169">
        <v>0.62636222106901918</v>
      </c>
      <c r="E21" s="169">
        <v>0.53603208006760661</v>
      </c>
      <c r="F21" s="169">
        <v>0.41770801213264053</v>
      </c>
    </row>
    <row r="22" spans="1:6" ht="12.75" thickBot="1" x14ac:dyDescent="0.25">
      <c r="A22" s="107" t="s">
        <v>166</v>
      </c>
      <c r="B22" s="170">
        <v>0.44115696206361388</v>
      </c>
      <c r="C22" s="170">
        <v>0.27649769585253459</v>
      </c>
      <c r="D22" s="170">
        <v>0.37363777893098082</v>
      </c>
      <c r="E22" s="170">
        <v>0.46396791993239334</v>
      </c>
      <c r="F22" s="170">
        <v>0.58229198786735947</v>
      </c>
    </row>
    <row r="23" spans="1:6" ht="12.75" thickBot="1" x14ac:dyDescent="0.25">
      <c r="A23" s="161" t="s">
        <v>12</v>
      </c>
      <c r="B23" s="168">
        <f>SUM(B21:B22)</f>
        <v>1</v>
      </c>
      <c r="C23" s="168">
        <f t="shared" ref="C23:F23" si="4">SUM(C21:C22)</f>
        <v>1</v>
      </c>
      <c r="D23" s="168">
        <f t="shared" si="4"/>
        <v>1</v>
      </c>
      <c r="E23" s="168">
        <f t="shared" si="4"/>
        <v>1</v>
      </c>
      <c r="F23" s="168">
        <f t="shared" si="4"/>
        <v>1</v>
      </c>
    </row>
    <row r="25" spans="1:6" ht="12.75" thickBot="1" x14ac:dyDescent="0.25">
      <c r="A25" s="164" t="s">
        <v>167</v>
      </c>
      <c r="B25" s="114">
        <v>2021</v>
      </c>
      <c r="C25" s="114">
        <v>2022</v>
      </c>
      <c r="D25" s="114">
        <v>2023</v>
      </c>
      <c r="E25" s="114">
        <v>2024</v>
      </c>
      <c r="F25" s="114">
        <v>2025</v>
      </c>
    </row>
    <row r="26" spans="1:6" x14ac:dyDescent="0.2">
      <c r="A26" s="162" t="s">
        <v>168</v>
      </c>
      <c r="B26" s="169">
        <v>0.24341610328501748</v>
      </c>
      <c r="C26" s="169">
        <v>3.0721966205837167E-2</v>
      </c>
      <c r="D26" s="260">
        <v>0</v>
      </c>
      <c r="E26" s="165">
        <v>1.2759117798140812E-3</v>
      </c>
      <c r="F26" s="165">
        <v>1.6021576026252593E-3</v>
      </c>
    </row>
    <row r="27" spans="1:6" x14ac:dyDescent="0.2">
      <c r="A27" s="107" t="s">
        <v>169</v>
      </c>
      <c r="B27" s="170">
        <v>4.83440189594238E-2</v>
      </c>
      <c r="C27" s="170">
        <v>6.1443932411674347E-2</v>
      </c>
      <c r="D27" s="259">
        <v>0</v>
      </c>
      <c r="E27" s="259">
        <v>0</v>
      </c>
      <c r="F27" s="259">
        <v>0</v>
      </c>
    </row>
    <row r="28" spans="1:6" x14ac:dyDescent="0.2">
      <c r="A28" s="109" t="s">
        <v>170</v>
      </c>
      <c r="B28" s="257">
        <v>0.45926818011452608</v>
      </c>
      <c r="C28" s="257">
        <v>0.58371735791090629</v>
      </c>
      <c r="D28" s="257">
        <v>0.84431759211209134</v>
      </c>
      <c r="E28" s="257">
        <v>0.52362093820941524</v>
      </c>
      <c r="F28" s="257">
        <v>0.6155658157454944</v>
      </c>
    </row>
    <row r="29" spans="1:6" x14ac:dyDescent="0.2">
      <c r="A29" s="107" t="s">
        <v>171</v>
      </c>
      <c r="B29" s="170">
        <v>0.24897169764103255</v>
      </c>
      <c r="C29" s="170">
        <v>0.31643625192012287</v>
      </c>
      <c r="D29" s="259">
        <v>0</v>
      </c>
      <c r="E29" s="116">
        <v>3.3140565709456659E-3</v>
      </c>
      <c r="F29" s="259">
        <v>0</v>
      </c>
    </row>
    <row r="30" spans="1:6" x14ac:dyDescent="0.2">
      <c r="A30" s="109" t="s">
        <v>172</v>
      </c>
      <c r="B30" s="258">
        <v>0</v>
      </c>
      <c r="C30" s="257">
        <v>7.6804915514592934E-3</v>
      </c>
      <c r="D30" s="257">
        <v>0.11831862999481059</v>
      </c>
      <c r="E30" s="257">
        <v>0.32146348738172958</v>
      </c>
      <c r="F30" s="257">
        <v>0.27866830847937923</v>
      </c>
    </row>
    <row r="31" spans="1:6" x14ac:dyDescent="0.2">
      <c r="A31" s="107" t="s">
        <v>173</v>
      </c>
      <c r="B31" s="259">
        <v>0</v>
      </c>
      <c r="C31" s="259">
        <v>0</v>
      </c>
      <c r="D31" s="170">
        <v>2.0757654385054489E-2</v>
      </c>
      <c r="E31" s="170">
        <v>3.3140565709456657E-2</v>
      </c>
      <c r="F31" s="259">
        <v>0</v>
      </c>
    </row>
    <row r="32" spans="1:6" x14ac:dyDescent="0.2">
      <c r="A32" s="109" t="s">
        <v>174</v>
      </c>
      <c r="B32" s="258">
        <v>0</v>
      </c>
      <c r="C32" s="258">
        <v>0</v>
      </c>
      <c r="D32" s="257">
        <v>6.2272963155163468E-3</v>
      </c>
      <c r="E32" s="257">
        <v>4.7669389716482463E-2</v>
      </c>
      <c r="F32" s="257">
        <v>5.9826342524886431E-2</v>
      </c>
    </row>
    <row r="33" spans="1:6" x14ac:dyDescent="0.2">
      <c r="A33" s="107" t="s">
        <v>175</v>
      </c>
      <c r="B33" s="259">
        <v>0</v>
      </c>
      <c r="C33" s="259">
        <v>0</v>
      </c>
      <c r="D33" s="259">
        <v>0</v>
      </c>
      <c r="E33" s="170">
        <v>1.1168370644086895E-2</v>
      </c>
      <c r="F33" s="170">
        <v>1.0231702072526461E-2</v>
      </c>
    </row>
    <row r="34" spans="1:6" x14ac:dyDescent="0.2">
      <c r="A34" s="109" t="s">
        <v>176</v>
      </c>
      <c r="B34" s="258">
        <v>0</v>
      </c>
      <c r="C34" s="258">
        <v>0</v>
      </c>
      <c r="D34" s="257">
        <v>1.0378827192527244E-2</v>
      </c>
      <c r="E34" s="257">
        <v>1.6570282854728328E-2</v>
      </c>
      <c r="F34" s="257">
        <v>2.079614242383427E-2</v>
      </c>
    </row>
    <row r="35" spans="1:6" ht="12.75" thickBot="1" x14ac:dyDescent="0.25">
      <c r="A35" s="107" t="s">
        <v>177</v>
      </c>
      <c r="B35" s="259">
        <v>0</v>
      </c>
      <c r="C35" s="259">
        <v>0</v>
      </c>
      <c r="D35" s="259">
        <v>0</v>
      </c>
      <c r="E35" s="170">
        <v>4.1776997133341064E-2</v>
      </c>
      <c r="F35" s="170">
        <v>1.3309531151253934E-2</v>
      </c>
    </row>
    <row r="36" spans="1:6" ht="12.75" thickBot="1" x14ac:dyDescent="0.25">
      <c r="A36" s="161" t="s">
        <v>12</v>
      </c>
      <c r="B36" s="168">
        <f>SUM(B26:B35)</f>
        <v>0.99999999999999989</v>
      </c>
      <c r="C36" s="168">
        <f t="shared" ref="C36:F36" si="5">SUM(C26:C35)</f>
        <v>1</v>
      </c>
      <c r="D36" s="168">
        <f t="shared" si="5"/>
        <v>1</v>
      </c>
      <c r="E36" s="168">
        <f t="shared" si="5"/>
        <v>1</v>
      </c>
      <c r="F36" s="168">
        <f t="shared" si="5"/>
        <v>1</v>
      </c>
    </row>
  </sheetData>
  <mergeCells count="1">
    <mergeCell ref="B1:F1"/>
  </mergeCells>
  <pageMargins left="0.511811024" right="0.511811024" top="0.78740157499999996" bottom="0.78740157499999996" header="0.31496062000000002" footer="0.31496062000000002"/>
  <pageSetup paperSize="9" orientation="portrait" r:id="rId1"/>
  <ignoredErrors>
    <ignoredError sqref="B11:F11 B23:F23 B36:F36"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3082C-6F06-4DD1-98FE-874EB91AEE90}">
  <sheetPr codeName="Planilha9"/>
  <dimension ref="A1:V33"/>
  <sheetViews>
    <sheetView showGridLines="0" zoomScale="85" zoomScaleNormal="85" workbookViewId="0">
      <pane xSplit="1" ySplit="3" topLeftCell="B4" activePane="bottomRight" state="frozen"/>
      <selection activeCell="M13" sqref="M13:M14"/>
      <selection pane="topRight" activeCell="M13" sqref="M13:M14"/>
      <selection pane="bottomLeft" activeCell="M13" sqref="M13:M14"/>
      <selection pane="bottomRight"/>
    </sheetView>
  </sheetViews>
  <sheetFormatPr defaultColWidth="9.140625" defaultRowHeight="12" x14ac:dyDescent="0.2"/>
  <cols>
    <col min="1" max="1" width="59.7109375" style="63" bestFit="1" customWidth="1"/>
    <col min="2" max="9" width="11.42578125" style="63" customWidth="1"/>
    <col min="10" max="16384" width="9.140625" style="63"/>
  </cols>
  <sheetData>
    <row r="1" spans="1:22" s="9" customFormat="1" ht="54.75" customHeight="1" x14ac:dyDescent="0.2">
      <c r="A1" s="8"/>
      <c r="B1" s="281" t="s">
        <v>130</v>
      </c>
      <c r="C1" s="281"/>
      <c r="D1" s="281"/>
      <c r="E1" s="281"/>
      <c r="F1" s="281"/>
      <c r="G1" s="281"/>
      <c r="H1" s="281"/>
      <c r="I1" s="281"/>
      <c r="J1" s="105"/>
      <c r="K1" s="105"/>
      <c r="L1" s="105"/>
      <c r="M1" s="105"/>
      <c r="N1" s="105"/>
      <c r="O1" s="105"/>
      <c r="P1" s="105"/>
      <c r="Q1" s="105"/>
      <c r="R1" s="105"/>
      <c r="S1" s="105"/>
      <c r="T1" s="105"/>
      <c r="U1" s="105"/>
      <c r="V1" s="65"/>
    </row>
    <row r="2" spans="1:22" ht="8.25" customHeight="1" x14ac:dyDescent="0.2"/>
    <row r="3" spans="1:22" s="102" customFormat="1" ht="12.75" thickBot="1" x14ac:dyDescent="0.3">
      <c r="A3" s="103" t="s">
        <v>138</v>
      </c>
      <c r="B3" s="114" t="s">
        <v>131</v>
      </c>
      <c r="C3" s="114" t="s">
        <v>132</v>
      </c>
      <c r="D3" s="114" t="s">
        <v>133</v>
      </c>
      <c r="E3" s="114" t="s">
        <v>134</v>
      </c>
      <c r="F3" s="114">
        <v>2020</v>
      </c>
      <c r="G3" s="114" t="s">
        <v>135</v>
      </c>
      <c r="H3" s="114" t="s">
        <v>136</v>
      </c>
      <c r="I3" s="114" t="s">
        <v>137</v>
      </c>
    </row>
    <row r="4" spans="1:22" x14ac:dyDescent="0.2">
      <c r="A4" s="106" t="s">
        <v>139</v>
      </c>
      <c r="B4" s="113">
        <v>1889.6590364475326</v>
      </c>
      <c r="C4" s="113">
        <v>1782.8426927437858</v>
      </c>
      <c r="D4" s="113">
        <v>1859.082967396648</v>
      </c>
      <c r="E4" s="113">
        <v>1748.25689602693</v>
      </c>
      <c r="F4" s="113">
        <f>E4</f>
        <v>1748.25689602693</v>
      </c>
      <c r="G4" s="113">
        <v>1606.0274273733303</v>
      </c>
      <c r="H4" s="119">
        <v>1643.7298850511306</v>
      </c>
      <c r="I4" s="113">
        <f>H4</f>
        <v>1643.7298850511306</v>
      </c>
    </row>
    <row r="5" spans="1:22" x14ac:dyDescent="0.2">
      <c r="A5" s="107" t="s">
        <v>140</v>
      </c>
      <c r="B5" s="112">
        <v>2533.8609059458586</v>
      </c>
      <c r="C5" s="112">
        <v>2630.2501973364601</v>
      </c>
      <c r="D5" s="112">
        <v>2625.7691508623902</v>
      </c>
      <c r="E5" s="112">
        <v>2913.2340499868128</v>
      </c>
      <c r="F5" s="112">
        <f>E5</f>
        <v>2913.2340499868128</v>
      </c>
      <c r="G5" s="112">
        <v>2946.1620046791008</v>
      </c>
      <c r="H5" s="120">
        <v>2880.0766426999994</v>
      </c>
      <c r="I5" s="112">
        <f>H5</f>
        <v>2880.0766426999994</v>
      </c>
    </row>
    <row r="6" spans="1:22" ht="12.75" thickBot="1" x14ac:dyDescent="0.25">
      <c r="A6" s="109" t="s">
        <v>141</v>
      </c>
      <c r="B6" s="113">
        <v>7284.2664046956497</v>
      </c>
      <c r="C6" s="113">
        <v>6537.2477759142957</v>
      </c>
      <c r="D6" s="113">
        <v>6841.362757061288</v>
      </c>
      <c r="E6" s="113">
        <v>5549.2599078904941</v>
      </c>
      <c r="F6" s="113">
        <f>E6</f>
        <v>5549.2599078904941</v>
      </c>
      <c r="G6" s="113">
        <v>5814.4992004769965</v>
      </c>
      <c r="H6" s="119">
        <v>6048.232524160002</v>
      </c>
      <c r="I6" s="113">
        <f>H6</f>
        <v>6048.232524160002</v>
      </c>
    </row>
    <row r="7" spans="1:22" ht="12.75" thickBot="1" x14ac:dyDescent="0.25">
      <c r="A7" s="108" t="s">
        <v>12</v>
      </c>
      <c r="B7" s="110">
        <f>SUM(B4:B6)</f>
        <v>11707.786347089041</v>
      </c>
      <c r="C7" s="110">
        <f t="shared" ref="C7:H7" si="0">SUM(C4:C6)</f>
        <v>10950.340665994543</v>
      </c>
      <c r="D7" s="110">
        <f t="shared" si="0"/>
        <v>11326.214875320326</v>
      </c>
      <c r="E7" s="110">
        <f t="shared" si="0"/>
        <v>10210.750853904236</v>
      </c>
      <c r="F7" s="110">
        <f>E7</f>
        <v>10210.750853904236</v>
      </c>
      <c r="G7" s="110">
        <f t="shared" si="0"/>
        <v>10366.688632529429</v>
      </c>
      <c r="H7" s="121">
        <f t="shared" si="0"/>
        <v>10572.039051911132</v>
      </c>
      <c r="I7" s="110">
        <f>H7</f>
        <v>10572.039051911132</v>
      </c>
    </row>
    <row r="8" spans="1:22" x14ac:dyDescent="0.2">
      <c r="A8" s="109" t="s">
        <v>142</v>
      </c>
      <c r="B8" s="113">
        <f>'Balance Sheet'!G47/1000</f>
        <v>1889.6590000000001</v>
      </c>
      <c r="C8" s="113">
        <f>'Balance Sheet'!H47/1000</f>
        <v>1782.8430000000001</v>
      </c>
      <c r="D8" s="113">
        <f>'Balance Sheet'!I47/1000</f>
        <v>1859.0830000000001</v>
      </c>
      <c r="E8" s="113">
        <f>'Balance Sheet'!J47/1000</f>
        <v>1748.2570000000001</v>
      </c>
      <c r="F8" s="113">
        <f>E8</f>
        <v>1748.2570000000001</v>
      </c>
      <c r="G8" s="113">
        <f>'Balance Sheet'!K47/1000</f>
        <v>1606.027</v>
      </c>
      <c r="H8" s="113">
        <f>'Balance Sheet'!L47/1000</f>
        <v>1643.73</v>
      </c>
      <c r="I8" s="113">
        <f>H8</f>
        <v>1643.73</v>
      </c>
    </row>
    <row r="9" spans="1:22" x14ac:dyDescent="0.2">
      <c r="A9" s="123"/>
      <c r="B9" s="241"/>
      <c r="C9" s="241"/>
      <c r="D9" s="241"/>
      <c r="E9" s="241"/>
      <c r="F9" s="241"/>
      <c r="G9" s="241"/>
      <c r="H9" s="241"/>
      <c r="I9" s="241"/>
    </row>
    <row r="10" spans="1:22" ht="12.75" thickBot="1" x14ac:dyDescent="0.25">
      <c r="A10" s="103" t="s">
        <v>143</v>
      </c>
      <c r="B10" s="114" t="s">
        <v>131</v>
      </c>
      <c r="C10" s="114" t="s">
        <v>132</v>
      </c>
      <c r="D10" s="114" t="s">
        <v>133</v>
      </c>
      <c r="E10" s="114" t="s">
        <v>134</v>
      </c>
      <c r="F10" s="114">
        <v>2020</v>
      </c>
      <c r="G10" s="114" t="s">
        <v>135</v>
      </c>
      <c r="H10" s="114" t="s">
        <v>136</v>
      </c>
      <c r="I10" s="114" t="s">
        <v>137</v>
      </c>
    </row>
    <row r="11" spans="1:22" x14ac:dyDescent="0.2">
      <c r="A11" s="106" t="s">
        <v>144</v>
      </c>
      <c r="B11" s="124">
        <v>-154.68384947242117</v>
      </c>
      <c r="C11" s="124">
        <v>-1006.3714756891518</v>
      </c>
      <c r="D11" s="124">
        <v>-122.66485304618034</v>
      </c>
      <c r="E11" s="124">
        <v>-1598.3450235904445</v>
      </c>
      <c r="F11" s="124">
        <f>SUM(B11:E11)</f>
        <v>-2882.0652017981974</v>
      </c>
      <c r="G11" s="124">
        <v>-254.65363239071465</v>
      </c>
      <c r="H11" s="124">
        <v>-246.2136997193</v>
      </c>
      <c r="I11" s="124">
        <f>SUM(G11:H11)</f>
        <v>-500.86733211001467</v>
      </c>
    </row>
    <row r="12" spans="1:22" ht="12.75" thickBot="1" x14ac:dyDescent="0.25">
      <c r="A12" s="107" t="s">
        <v>145</v>
      </c>
      <c r="B12" s="125">
        <v>457.27701607470323</v>
      </c>
      <c r="C12" s="125">
        <v>248.92579460315056</v>
      </c>
      <c r="D12" s="125">
        <v>498.53906236648851</v>
      </c>
      <c r="E12" s="125">
        <v>482.88100217566529</v>
      </c>
      <c r="F12" s="125">
        <f>SUM(B12:E12)</f>
        <v>1687.6228752200077</v>
      </c>
      <c r="G12" s="125">
        <v>410.59141101589938</v>
      </c>
      <c r="H12" s="125">
        <v>451.5641191009999</v>
      </c>
      <c r="I12" s="125">
        <f t="shared" ref="I12:I13" si="1">SUM(G12:H12)</f>
        <v>862.15553011689929</v>
      </c>
    </row>
    <row r="13" spans="1:22" ht="12.75" thickBot="1" x14ac:dyDescent="0.25">
      <c r="A13" s="108" t="s">
        <v>12</v>
      </c>
      <c r="B13" s="110">
        <f>SUM(B11:B12)</f>
        <v>302.59316660228205</v>
      </c>
      <c r="C13" s="110">
        <f t="shared" ref="C13:H13" si="2">SUM(C11:C12)</f>
        <v>-757.44568108600129</v>
      </c>
      <c r="D13" s="110">
        <f t="shared" si="2"/>
        <v>375.87420932030818</v>
      </c>
      <c r="E13" s="110">
        <f t="shared" si="2"/>
        <v>-1115.4640214147792</v>
      </c>
      <c r="F13" s="110">
        <f t="shared" si="2"/>
        <v>-1194.4423265781897</v>
      </c>
      <c r="G13" s="110">
        <f t="shared" si="2"/>
        <v>155.93777862518473</v>
      </c>
      <c r="H13" s="110">
        <f t="shared" si="2"/>
        <v>205.35041938169991</v>
      </c>
      <c r="I13" s="110">
        <f t="shared" si="1"/>
        <v>361.28819800688461</v>
      </c>
    </row>
    <row r="14" spans="1:22" x14ac:dyDescent="0.2">
      <c r="H14" s="122"/>
    </row>
    <row r="15" spans="1:22" ht="12.75" thickBot="1" x14ac:dyDescent="0.25">
      <c r="A15" s="103" t="s">
        <v>146</v>
      </c>
      <c r="B15" s="114" t="s">
        <v>131</v>
      </c>
      <c r="C15" s="114" t="s">
        <v>132</v>
      </c>
      <c r="D15" s="114" t="s">
        <v>133</v>
      </c>
      <c r="E15" s="114" t="s">
        <v>134</v>
      </c>
      <c r="F15" s="114">
        <v>2020</v>
      </c>
      <c r="G15" s="114" t="s">
        <v>135</v>
      </c>
      <c r="H15" s="114" t="s">
        <v>136</v>
      </c>
      <c r="I15" s="114" t="s">
        <v>137</v>
      </c>
    </row>
    <row r="16" spans="1:22" x14ac:dyDescent="0.2">
      <c r="A16" s="106" t="s">
        <v>147</v>
      </c>
      <c r="B16" s="113">
        <v>1937.4369556841521</v>
      </c>
      <c r="C16" s="113">
        <v>1782.7110878336371</v>
      </c>
      <c r="D16" s="113">
        <v>1937.1931574944524</v>
      </c>
      <c r="E16" s="113">
        <v>1810.9238457009983</v>
      </c>
      <c r="F16" s="113">
        <f>E16</f>
        <v>1810.9238457009983</v>
      </c>
      <c r="G16" s="113">
        <v>2122.4461770905173</v>
      </c>
      <c r="H16" s="119">
        <v>2196.1702013911276</v>
      </c>
      <c r="I16" s="113">
        <f>H16</f>
        <v>2196.1702013911276</v>
      </c>
    </row>
    <row r="17" spans="1:9" x14ac:dyDescent="0.2">
      <c r="A17" s="107" t="s">
        <v>148</v>
      </c>
      <c r="B17" s="112">
        <v>3864.4909915734829</v>
      </c>
      <c r="C17" s="112">
        <v>2886.5188010601946</v>
      </c>
      <c r="D17" s="112">
        <v>3089.8338955423669</v>
      </c>
      <c r="E17" s="112">
        <v>3283.9906510783217</v>
      </c>
      <c r="F17" s="112">
        <f t="shared" ref="F17:F22" si="3">E17</f>
        <v>3283.9906510783217</v>
      </c>
      <c r="G17" s="112">
        <v>2875.0495624795008</v>
      </c>
      <c r="H17" s="120">
        <v>3036.3707920900001</v>
      </c>
      <c r="I17" s="112">
        <f t="shared" ref="I17:I22" si="4">H17</f>
        <v>3036.3707920900001</v>
      </c>
    </row>
    <row r="18" spans="1:9" x14ac:dyDescent="0.2">
      <c r="A18" s="109" t="s">
        <v>149</v>
      </c>
      <c r="B18" s="113">
        <v>4299.9318642799908</v>
      </c>
      <c r="C18" s="113">
        <v>4575.7965920632332</v>
      </c>
      <c r="D18" s="113">
        <v>4773.1060933908211</v>
      </c>
      <c r="E18" s="113">
        <v>3400.2319671480554</v>
      </c>
      <c r="F18" s="113">
        <f t="shared" si="3"/>
        <v>3400.2319671480554</v>
      </c>
      <c r="G18" s="113">
        <v>3545.1262193879002</v>
      </c>
      <c r="H18" s="119">
        <v>3678.8557342899999</v>
      </c>
      <c r="I18" s="113">
        <f t="shared" si="4"/>
        <v>3678.8557342899999</v>
      </c>
    </row>
    <row r="19" spans="1:9" x14ac:dyDescent="0.2">
      <c r="A19" s="107" t="s">
        <v>150</v>
      </c>
      <c r="B19" s="112">
        <v>813.73814045221934</v>
      </c>
      <c r="C19" s="112">
        <v>827.79696351157361</v>
      </c>
      <c r="D19" s="112">
        <v>736.42448205308608</v>
      </c>
      <c r="E19" s="112">
        <v>939.49899485787068</v>
      </c>
      <c r="F19" s="112">
        <f t="shared" si="3"/>
        <v>939.49899485787068</v>
      </c>
      <c r="G19" s="112">
        <v>1052.5157397089999</v>
      </c>
      <c r="H19" s="120">
        <v>941.49726344999988</v>
      </c>
      <c r="I19" s="112">
        <f t="shared" si="4"/>
        <v>941.49726344999988</v>
      </c>
    </row>
    <row r="20" spans="1:9" x14ac:dyDescent="0.2">
      <c r="A20" s="109" t="s">
        <v>151</v>
      </c>
      <c r="B20" s="113">
        <v>339.13170208299971</v>
      </c>
      <c r="C20" s="113">
        <v>280.85579098310006</v>
      </c>
      <c r="D20" s="113">
        <v>182.36869510359989</v>
      </c>
      <c r="E20" s="113">
        <v>171.80228962899992</v>
      </c>
      <c r="F20" s="113">
        <f t="shared" si="3"/>
        <v>171.80228962899992</v>
      </c>
      <c r="G20" s="113">
        <v>191.64785209249999</v>
      </c>
      <c r="H20" s="119">
        <v>181.91304397999994</v>
      </c>
      <c r="I20" s="113">
        <f t="shared" si="4"/>
        <v>181.91304397999994</v>
      </c>
    </row>
    <row r="21" spans="1:9" ht="12.75" thickBot="1" x14ac:dyDescent="0.25">
      <c r="A21" s="107" t="s">
        <v>152</v>
      </c>
      <c r="B21" s="112">
        <v>453.0566930161998</v>
      </c>
      <c r="C21" s="112">
        <v>596.66143054279974</v>
      </c>
      <c r="D21" s="112">
        <v>607.28855173599982</v>
      </c>
      <c r="E21" s="112">
        <v>604.30310549000001</v>
      </c>
      <c r="F21" s="112">
        <f t="shared" si="3"/>
        <v>604.30310549000001</v>
      </c>
      <c r="G21" s="112">
        <v>579.90308177000009</v>
      </c>
      <c r="H21" s="120">
        <v>537.23201670999981</v>
      </c>
      <c r="I21" s="112">
        <f t="shared" si="4"/>
        <v>537.23201670999981</v>
      </c>
    </row>
    <row r="22" spans="1:9" ht="12.75" thickBot="1" x14ac:dyDescent="0.25">
      <c r="A22" s="108" t="s">
        <v>12</v>
      </c>
      <c r="B22" s="110">
        <f>SUM(B16:B21)</f>
        <v>11707.786347089046</v>
      </c>
      <c r="C22" s="110">
        <f t="shared" ref="C22:H22" si="5">SUM(C16:C21)</f>
        <v>10950.340665994538</v>
      </c>
      <c r="D22" s="110">
        <f t="shared" si="5"/>
        <v>11326.214875320326</v>
      </c>
      <c r="E22" s="110">
        <f t="shared" si="5"/>
        <v>10210.750853904248</v>
      </c>
      <c r="F22" s="110">
        <f t="shared" si="3"/>
        <v>10210.750853904248</v>
      </c>
      <c r="G22" s="110">
        <f t="shared" si="5"/>
        <v>10366.68863252942</v>
      </c>
      <c r="H22" s="121">
        <f t="shared" si="5"/>
        <v>10572.039051911126</v>
      </c>
      <c r="I22" s="110">
        <f t="shared" si="4"/>
        <v>10572.039051911126</v>
      </c>
    </row>
    <row r="24" spans="1:9" ht="12.75" thickBot="1" x14ac:dyDescent="0.25">
      <c r="A24" s="103" t="s">
        <v>153</v>
      </c>
      <c r="B24" s="114" t="s">
        <v>131</v>
      </c>
      <c r="C24" s="114" t="s">
        <v>132</v>
      </c>
      <c r="D24" s="114" t="s">
        <v>133</v>
      </c>
      <c r="E24" s="114" t="s">
        <v>134</v>
      </c>
      <c r="F24" s="114">
        <v>2020</v>
      </c>
      <c r="G24" s="114" t="s">
        <v>135</v>
      </c>
      <c r="H24" s="114" t="s">
        <v>136</v>
      </c>
      <c r="I24" s="114" t="s">
        <v>137</v>
      </c>
    </row>
    <row r="25" spans="1:9" x14ac:dyDescent="0.2">
      <c r="A25" s="106" t="s">
        <v>147</v>
      </c>
      <c r="B25" s="115">
        <f t="shared" ref="B25:B30" si="6">B16/$B$22</f>
        <v>0.16548277345066728</v>
      </c>
      <c r="C25" s="115">
        <f>C16/$C$22</f>
        <v>0.16279960068911031</v>
      </c>
      <c r="D25" s="115">
        <f>D16/$D$22</f>
        <v>0.17103623574329063</v>
      </c>
      <c r="E25" s="115">
        <f>E16/$E$22</f>
        <v>0.17735462079251124</v>
      </c>
      <c r="F25" s="115">
        <f>F16/$F$22</f>
        <v>0.17735462079251124</v>
      </c>
      <c r="G25" s="115">
        <f>G16/$G$22</f>
        <v>0.20473713953658615</v>
      </c>
      <c r="H25" s="115">
        <f>H16/$H$22</f>
        <v>0.20773383361595907</v>
      </c>
      <c r="I25" s="115">
        <f>I16/$I$22</f>
        <v>0.20773383361595907</v>
      </c>
    </row>
    <row r="26" spans="1:9" x14ac:dyDescent="0.2">
      <c r="A26" s="107" t="s">
        <v>148</v>
      </c>
      <c r="B26" s="116">
        <f t="shared" si="6"/>
        <v>0.330078708050077</v>
      </c>
      <c r="C26" s="116">
        <f t="shared" ref="C26:C30" si="7">C17/$C$22</f>
        <v>0.26360082202958879</v>
      </c>
      <c r="D26" s="116">
        <f t="shared" ref="D26:D30" si="8">D17/$D$22</f>
        <v>0.27280375037516502</v>
      </c>
      <c r="E26" s="116">
        <f t="shared" ref="E26:E30" si="9">E17/$E$22</f>
        <v>0.32162087764805602</v>
      </c>
      <c r="F26" s="116">
        <f t="shared" ref="F26:F31" si="10">F17/$F$22</f>
        <v>0.32162087764805602</v>
      </c>
      <c r="G26" s="116">
        <f t="shared" ref="G26:G30" si="11">G17/$G$22</f>
        <v>0.2773353830130425</v>
      </c>
      <c r="H26" s="116">
        <f t="shared" ref="H26:H30" si="12">H17/$H$22</f>
        <v>0.28720767840344952</v>
      </c>
      <c r="I26" s="116">
        <f t="shared" ref="I26:I31" si="13">I17/$I$22</f>
        <v>0.28720767840344952</v>
      </c>
    </row>
    <row r="27" spans="1:9" x14ac:dyDescent="0.2">
      <c r="A27" s="109" t="s">
        <v>149</v>
      </c>
      <c r="B27" s="117">
        <f t="shared" si="6"/>
        <v>0.36727112511316884</v>
      </c>
      <c r="C27" s="117">
        <f t="shared" si="7"/>
        <v>0.41786796700060908</v>
      </c>
      <c r="D27" s="117">
        <f t="shared" si="8"/>
        <v>0.42142111428517542</v>
      </c>
      <c r="E27" s="117">
        <f t="shared" si="9"/>
        <v>0.33300508609001278</v>
      </c>
      <c r="F27" s="117">
        <f t="shared" si="10"/>
        <v>0.33300508609001278</v>
      </c>
      <c r="G27" s="117">
        <f t="shared" si="11"/>
        <v>0.34197286569056595</v>
      </c>
      <c r="H27" s="117">
        <f t="shared" si="12"/>
        <v>0.34797977156780996</v>
      </c>
      <c r="I27" s="117">
        <f t="shared" si="13"/>
        <v>0.34797977156780996</v>
      </c>
    </row>
    <row r="28" spans="1:9" x14ac:dyDescent="0.2">
      <c r="A28" s="107" t="s">
        <v>150</v>
      </c>
      <c r="B28" s="116">
        <f t="shared" si="6"/>
        <v>6.9504013511020576E-2</v>
      </c>
      <c r="C28" s="116">
        <f t="shared" si="7"/>
        <v>7.5595544354362873E-2</v>
      </c>
      <c r="D28" s="116">
        <f t="shared" si="8"/>
        <v>6.5019469448504411E-2</v>
      </c>
      <c r="E28" s="116">
        <f t="shared" si="9"/>
        <v>9.2010764761598099E-2</v>
      </c>
      <c r="F28" s="116">
        <f t="shared" si="10"/>
        <v>9.2010764761598099E-2</v>
      </c>
      <c r="G28" s="116">
        <f t="shared" si="11"/>
        <v>0.1015286343612494</v>
      </c>
      <c r="H28" s="116">
        <f t="shared" si="12"/>
        <v>8.9055409162511909E-2</v>
      </c>
      <c r="I28" s="116">
        <f t="shared" si="13"/>
        <v>8.9055409162511909E-2</v>
      </c>
    </row>
    <row r="29" spans="1:9" x14ac:dyDescent="0.2">
      <c r="A29" s="109" t="s">
        <v>151</v>
      </c>
      <c r="B29" s="117">
        <f t="shared" si="6"/>
        <v>2.8966338471603504E-2</v>
      </c>
      <c r="C29" s="117">
        <f t="shared" si="7"/>
        <v>2.5648132743054896E-2</v>
      </c>
      <c r="D29" s="117">
        <f t="shared" si="8"/>
        <v>1.6101468770558017E-2</v>
      </c>
      <c r="E29" s="117">
        <f t="shared" si="9"/>
        <v>1.68256274281052E-2</v>
      </c>
      <c r="F29" s="117">
        <f t="shared" si="10"/>
        <v>1.68256274281052E-2</v>
      </c>
      <c r="G29" s="117">
        <f t="shared" si="11"/>
        <v>1.8486891898260752E-2</v>
      </c>
      <c r="H29" s="117">
        <f t="shared" si="12"/>
        <v>1.7206996974449804E-2</v>
      </c>
      <c r="I29" s="117">
        <f t="shared" si="13"/>
        <v>1.7206996974449804E-2</v>
      </c>
    </row>
    <row r="30" spans="1:9" ht="12.75" thickBot="1" x14ac:dyDescent="0.25">
      <c r="A30" s="107" t="s">
        <v>152</v>
      </c>
      <c r="B30" s="116">
        <f t="shared" si="6"/>
        <v>3.8697041403462674E-2</v>
      </c>
      <c r="C30" s="116">
        <f t="shared" si="7"/>
        <v>5.4487933183274113E-2</v>
      </c>
      <c r="D30" s="116">
        <f t="shared" si="8"/>
        <v>5.3617961377306525E-2</v>
      </c>
      <c r="E30" s="116">
        <f t="shared" si="9"/>
        <v>5.9183023279716473E-2</v>
      </c>
      <c r="F30" s="116">
        <f t="shared" si="10"/>
        <v>5.9183023279716473E-2</v>
      </c>
      <c r="G30" s="116">
        <f t="shared" si="11"/>
        <v>5.5939085500295062E-2</v>
      </c>
      <c r="H30" s="116">
        <f t="shared" si="12"/>
        <v>5.0816310275819822E-2</v>
      </c>
      <c r="I30" s="116">
        <f t="shared" si="13"/>
        <v>5.0816310275819822E-2</v>
      </c>
    </row>
    <row r="31" spans="1:9" ht="12.75" thickBot="1" x14ac:dyDescent="0.25">
      <c r="A31" s="108" t="s">
        <v>12</v>
      </c>
      <c r="B31" s="118">
        <f>SUM(B25:B30)</f>
        <v>0.99999999999999978</v>
      </c>
      <c r="C31" s="118">
        <f t="shared" ref="C31:H31" si="14">SUM(C25:C30)</f>
        <v>1</v>
      </c>
      <c r="D31" s="118">
        <f t="shared" si="14"/>
        <v>1</v>
      </c>
      <c r="E31" s="118">
        <f t="shared" si="14"/>
        <v>0.99999999999999989</v>
      </c>
      <c r="F31" s="118">
        <f t="shared" si="10"/>
        <v>1</v>
      </c>
      <c r="G31" s="118">
        <f t="shared" si="14"/>
        <v>0.99999999999999978</v>
      </c>
      <c r="H31" s="118">
        <f t="shared" si="14"/>
        <v>1.0000000000000002</v>
      </c>
      <c r="I31" s="118">
        <f t="shared" si="13"/>
        <v>1</v>
      </c>
    </row>
    <row r="33" spans="1:1" x14ac:dyDescent="0.2">
      <c r="A33" s="107" t="s">
        <v>154</v>
      </c>
    </row>
  </sheetData>
  <mergeCells count="1">
    <mergeCell ref="B1:I1"/>
  </mergeCells>
  <pageMargins left="0.511811024" right="0.511811024" top="0.78740157499999996" bottom="0.78740157499999996" header="0.31496062000000002" footer="0.31496062000000002"/>
  <pageSetup paperSize="9" orientation="portrait" r:id="rId1"/>
  <ignoredErrors>
    <ignoredError sqref="F7:F8 F31 F11:F14 F16:F22"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46BD-4D3D-4945-8A5D-DC0A494090E9}">
  <sheetPr codeName="Planilha8"/>
  <dimension ref="A1:AE63"/>
  <sheetViews>
    <sheetView showGridLines="0"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37.7109375" style="9" customWidth="1"/>
    <col min="2" max="2" width="13.5703125" style="9" customWidth="1"/>
    <col min="3" max="4" width="11.28515625" style="9" customWidth="1"/>
    <col min="5" max="5" width="18" style="9" bestFit="1" customWidth="1"/>
    <col min="6" max="6" width="15.140625" style="9" bestFit="1" customWidth="1"/>
    <col min="7" max="7" width="20.42578125" style="9" customWidth="1"/>
    <col min="8" max="8" width="18.28515625" style="9" customWidth="1"/>
    <col min="9" max="9" width="11.5703125" style="9" bestFit="1" customWidth="1"/>
    <col min="10" max="10" width="10.5703125" style="9" customWidth="1"/>
    <col min="11" max="11" width="10.28515625" style="9" bestFit="1" customWidth="1"/>
    <col min="12" max="12" width="11.28515625" style="9" customWidth="1"/>
    <col min="13" max="13" width="7.42578125" style="9" bestFit="1" customWidth="1"/>
    <col min="14" max="14" width="18.140625" style="9" customWidth="1"/>
    <col min="15" max="15" width="12.85546875" style="9" customWidth="1"/>
    <col min="16" max="21" width="11.28515625" style="9" customWidth="1"/>
    <col min="22" max="16384" width="9.140625" style="9"/>
  </cols>
  <sheetData>
    <row r="1" spans="1:31" ht="54.75" customHeight="1" x14ac:dyDescent="0.2">
      <c r="A1" s="8"/>
      <c r="B1" s="281" t="s">
        <v>56</v>
      </c>
      <c r="C1" s="281"/>
      <c r="D1" s="281"/>
      <c r="E1" s="281"/>
      <c r="F1" s="281"/>
      <c r="G1" s="281"/>
      <c r="H1" s="281"/>
      <c r="I1" s="281"/>
      <c r="J1" s="281"/>
      <c r="K1" s="281"/>
      <c r="L1" s="281"/>
      <c r="M1" s="281"/>
      <c r="N1" s="281"/>
      <c r="O1" s="281"/>
      <c r="P1" s="173"/>
      <c r="Q1" s="173"/>
      <c r="R1" s="173"/>
      <c r="S1" s="173"/>
      <c r="T1" s="173"/>
      <c r="U1" s="173"/>
      <c r="V1" s="173"/>
      <c r="W1" s="173"/>
      <c r="X1" s="173"/>
      <c r="Y1" s="173"/>
      <c r="Z1" s="173"/>
      <c r="AA1" s="173"/>
      <c r="AB1" s="173"/>
      <c r="AC1" s="173"/>
      <c r="AD1" s="173"/>
      <c r="AE1" s="173"/>
    </row>
    <row r="2" spans="1:31" s="10" customFormat="1" ht="10.5" customHeight="1" x14ac:dyDescent="0.2"/>
    <row r="3" spans="1:31" s="65" customFormat="1" ht="39" thickBot="1" x14ac:dyDescent="0.25">
      <c r="A3" s="66" t="s">
        <v>57</v>
      </c>
      <c r="B3" s="66" t="s">
        <v>58</v>
      </c>
      <c r="C3" s="66" t="s">
        <v>59</v>
      </c>
      <c r="D3" s="66" t="s">
        <v>60</v>
      </c>
      <c r="E3" s="66" t="s">
        <v>61</v>
      </c>
      <c r="F3" s="66" t="s">
        <v>62</v>
      </c>
      <c r="G3" s="66" t="s">
        <v>63</v>
      </c>
      <c r="H3" s="66" t="s">
        <v>64</v>
      </c>
      <c r="I3" s="66" t="s">
        <v>65</v>
      </c>
      <c r="J3" s="66" t="s">
        <v>31</v>
      </c>
      <c r="K3" s="66" t="s">
        <v>66</v>
      </c>
      <c r="L3" s="66" t="s">
        <v>67</v>
      </c>
      <c r="M3" s="66" t="s">
        <v>28</v>
      </c>
      <c r="N3" s="66" t="s">
        <v>32</v>
      </c>
      <c r="O3" s="66" t="s">
        <v>68</v>
      </c>
    </row>
    <row r="4" spans="1:31" s="10" customFormat="1" ht="41.25" customHeight="1" thickBot="1" x14ac:dyDescent="0.25">
      <c r="A4" s="301">
        <v>2020</v>
      </c>
      <c r="B4" s="73" t="s">
        <v>129</v>
      </c>
      <c r="C4" s="308" t="s">
        <v>72</v>
      </c>
      <c r="D4" s="70" t="s">
        <v>70</v>
      </c>
      <c r="E4" s="74">
        <v>150000563.58000001</v>
      </c>
      <c r="F4" s="75">
        <v>0.42648549000000002</v>
      </c>
      <c r="G4" s="75">
        <v>1.82454519</v>
      </c>
      <c r="H4" s="75">
        <v>0.42648549000000002</v>
      </c>
      <c r="I4" s="262">
        <v>44301</v>
      </c>
      <c r="J4" s="262">
        <v>44186</v>
      </c>
      <c r="K4" s="262">
        <v>44187</v>
      </c>
      <c r="L4" s="314">
        <f>Results!L30</f>
        <v>1728762</v>
      </c>
      <c r="M4" s="315">
        <f>E7/(L4*1000)</f>
        <v>0.49177693541389739</v>
      </c>
      <c r="N4" s="315" t="s">
        <v>45</v>
      </c>
      <c r="O4" s="262">
        <v>45397</v>
      </c>
    </row>
    <row r="5" spans="1:31" s="10" customFormat="1" ht="27.75" customHeight="1" thickBot="1" x14ac:dyDescent="0.25">
      <c r="A5" s="302"/>
      <c r="B5" s="306" t="s">
        <v>128</v>
      </c>
      <c r="C5" s="309"/>
      <c r="D5" s="290" t="s">
        <v>71</v>
      </c>
      <c r="E5" s="74">
        <v>450000000</v>
      </c>
      <c r="F5" s="75">
        <v>1.39454934</v>
      </c>
      <c r="G5" s="75">
        <v>0.496008108</v>
      </c>
      <c r="H5" s="75">
        <v>1.39454934</v>
      </c>
      <c r="I5" s="266">
        <v>44301</v>
      </c>
      <c r="J5" s="295">
        <v>44287</v>
      </c>
      <c r="K5" s="295">
        <v>44291</v>
      </c>
      <c r="L5" s="293"/>
      <c r="M5" s="288"/>
      <c r="N5" s="288"/>
      <c r="O5" s="262">
        <v>45397</v>
      </c>
    </row>
    <row r="6" spans="1:31" s="10" customFormat="1" ht="27.75" customHeight="1" x14ac:dyDescent="0.2">
      <c r="A6" s="302"/>
      <c r="B6" s="307"/>
      <c r="C6" s="291"/>
      <c r="D6" s="291"/>
      <c r="E6" s="74">
        <v>250164714.84</v>
      </c>
      <c r="F6" s="75">
        <v>0.77526008413378378</v>
      </c>
      <c r="G6" s="75">
        <v>0.27574161544932529</v>
      </c>
      <c r="H6" s="75">
        <v>0.77526008413378289</v>
      </c>
      <c r="I6" s="266">
        <v>44454</v>
      </c>
      <c r="J6" s="296"/>
      <c r="K6" s="296"/>
      <c r="L6" s="293"/>
      <c r="M6" s="288"/>
      <c r="N6" s="288"/>
      <c r="O6" s="262">
        <v>45550</v>
      </c>
    </row>
    <row r="7" spans="1:31" s="10" customFormat="1" ht="27.75" customHeight="1" x14ac:dyDescent="0.2">
      <c r="A7" s="303"/>
      <c r="B7" s="304" t="s">
        <v>29</v>
      </c>
      <c r="C7" s="305"/>
      <c r="D7" s="76"/>
      <c r="E7" s="69">
        <f>SUM(E4:E6)</f>
        <v>850165278.42000008</v>
      </c>
      <c r="F7" s="77">
        <f t="shared" ref="F7:H7" si="0">SUM(F4:F6)</f>
        <v>2.5962949141337837</v>
      </c>
      <c r="G7" s="77">
        <f t="shared" si="0"/>
        <v>2.5962949134493254</v>
      </c>
      <c r="H7" s="77">
        <f t="shared" si="0"/>
        <v>2.5962949141337828</v>
      </c>
      <c r="I7" s="267"/>
      <c r="J7" s="268"/>
      <c r="K7" s="268"/>
      <c r="L7" s="294"/>
      <c r="M7" s="289"/>
      <c r="N7" s="289"/>
      <c r="O7" s="263"/>
    </row>
    <row r="8" spans="1:31" s="65" customFormat="1" ht="13.5" thickBot="1" x14ac:dyDescent="0.25">
      <c r="A8" s="67"/>
      <c r="B8" s="67"/>
      <c r="C8" s="67"/>
      <c r="D8" s="67"/>
      <c r="E8" s="67"/>
      <c r="F8" s="67"/>
      <c r="G8" s="67"/>
      <c r="H8" s="67"/>
      <c r="I8" s="269"/>
      <c r="J8" s="270"/>
      <c r="K8" s="270"/>
      <c r="L8" s="67"/>
      <c r="M8" s="67"/>
      <c r="N8" s="67"/>
      <c r="O8" s="264"/>
    </row>
    <row r="9" spans="1:31" s="10" customFormat="1" ht="27.75" customHeight="1" thickBot="1" x14ac:dyDescent="0.25">
      <c r="A9" s="310">
        <v>2019</v>
      </c>
      <c r="B9" s="306" t="s">
        <v>128</v>
      </c>
      <c r="C9" s="290" t="s">
        <v>73</v>
      </c>
      <c r="D9" s="290" t="s">
        <v>74</v>
      </c>
      <c r="E9" s="74">
        <v>409375136.25</v>
      </c>
      <c r="F9" s="75">
        <v>1.25</v>
      </c>
      <c r="G9" s="78">
        <v>1.25</v>
      </c>
      <c r="H9" s="78">
        <v>1.25</v>
      </c>
      <c r="I9" s="271">
        <v>43943</v>
      </c>
      <c r="J9" s="324">
        <v>43923</v>
      </c>
      <c r="K9" s="324">
        <v>43924</v>
      </c>
      <c r="L9" s="314">
        <f>Results!G30</f>
        <v>1163014</v>
      </c>
      <c r="M9" s="315">
        <f>E11/(L9*1000)</f>
        <v>0.52095670821675399</v>
      </c>
      <c r="N9" s="290" t="s">
        <v>44</v>
      </c>
      <c r="O9" s="262">
        <v>45038</v>
      </c>
    </row>
    <row r="10" spans="1:31" s="10" customFormat="1" ht="27.75" customHeight="1" x14ac:dyDescent="0.2">
      <c r="A10" s="302"/>
      <c r="B10" s="307"/>
      <c r="C10" s="291"/>
      <c r="D10" s="291"/>
      <c r="E10" s="74">
        <v>196504808.80000001</v>
      </c>
      <c r="F10" s="75">
        <v>0.60001400000000005</v>
      </c>
      <c r="G10" s="78">
        <v>0.60001400000000005</v>
      </c>
      <c r="H10" s="78">
        <v>0.60001400000000005</v>
      </c>
      <c r="I10" s="271">
        <v>44126</v>
      </c>
      <c r="J10" s="296"/>
      <c r="K10" s="296"/>
      <c r="L10" s="293"/>
      <c r="M10" s="288"/>
      <c r="N10" s="309"/>
      <c r="O10" s="262">
        <v>45038</v>
      </c>
    </row>
    <row r="11" spans="1:31" s="10" customFormat="1" ht="27" customHeight="1" x14ac:dyDescent="0.2">
      <c r="A11" s="303"/>
      <c r="B11" s="299" t="s">
        <v>29</v>
      </c>
      <c r="C11" s="300"/>
      <c r="D11" s="76"/>
      <c r="E11" s="69">
        <f>SUM(E9:E10)</f>
        <v>605879945.04999995</v>
      </c>
      <c r="F11" s="72">
        <f t="shared" ref="F11:H11" si="1">SUM(F9:F10)</f>
        <v>1.850014</v>
      </c>
      <c r="G11" s="79">
        <f t="shared" si="1"/>
        <v>1.850014</v>
      </c>
      <c r="H11" s="79">
        <f t="shared" si="1"/>
        <v>1.850014</v>
      </c>
      <c r="I11" s="267"/>
      <c r="J11" s="267"/>
      <c r="K11" s="267"/>
      <c r="L11" s="293"/>
      <c r="M11" s="289"/>
      <c r="N11" s="291"/>
      <c r="O11" s="263"/>
    </row>
    <row r="12" spans="1:31" s="65" customFormat="1" ht="13.5" thickBot="1" x14ac:dyDescent="0.25">
      <c r="A12" s="67"/>
      <c r="B12" s="67"/>
      <c r="C12" s="67"/>
      <c r="D12" s="67"/>
      <c r="E12" s="67"/>
      <c r="F12" s="67"/>
      <c r="G12" s="67"/>
      <c r="H12" s="67"/>
      <c r="I12" s="269"/>
      <c r="J12" s="269"/>
      <c r="K12" s="269"/>
      <c r="L12" s="67"/>
      <c r="M12" s="67"/>
      <c r="N12" s="67"/>
      <c r="O12" s="264"/>
    </row>
    <row r="13" spans="1:31" s="10" customFormat="1" ht="27.95" customHeight="1" x14ac:dyDescent="0.2">
      <c r="A13" s="303">
        <v>2018</v>
      </c>
      <c r="B13" s="80" t="s">
        <v>128</v>
      </c>
      <c r="C13" s="80" t="s">
        <v>127</v>
      </c>
      <c r="D13" s="71" t="s">
        <v>126</v>
      </c>
      <c r="E13" s="74">
        <v>297300487.19999999</v>
      </c>
      <c r="F13" s="78">
        <v>0.8866341297</v>
      </c>
      <c r="G13" s="78">
        <v>1.8245451887999999</v>
      </c>
      <c r="H13" s="78">
        <v>0.8866341297</v>
      </c>
      <c r="I13" s="271">
        <v>43600</v>
      </c>
      <c r="J13" s="266">
        <v>43584</v>
      </c>
      <c r="K13" s="266">
        <v>43585</v>
      </c>
      <c r="L13" s="314">
        <v>294433</v>
      </c>
      <c r="M13" s="315">
        <f>E14/(L13*1000)</f>
        <v>1.009739014308858</v>
      </c>
      <c r="N13" s="319" t="s">
        <v>43</v>
      </c>
      <c r="O13" s="265">
        <v>44696</v>
      </c>
    </row>
    <row r="14" spans="1:31" s="10" customFormat="1" ht="27.95" customHeight="1" x14ac:dyDescent="0.2">
      <c r="A14" s="297"/>
      <c r="B14" s="299" t="s">
        <v>29</v>
      </c>
      <c r="C14" s="300"/>
      <c r="D14" s="81"/>
      <c r="E14" s="82">
        <f>SUM(E13)</f>
        <v>297300487.19999999</v>
      </c>
      <c r="F14" s="83">
        <f>SUM(F13)</f>
        <v>0.8866341297</v>
      </c>
      <c r="G14" s="83">
        <f>SUM(G13)</f>
        <v>1.8245451887999999</v>
      </c>
      <c r="H14" s="83">
        <f>SUM(H13)</f>
        <v>0.8866341297</v>
      </c>
      <c r="I14" s="272"/>
      <c r="J14" s="273"/>
      <c r="K14" s="273"/>
      <c r="L14" s="294"/>
      <c r="M14" s="289"/>
      <c r="N14" s="320"/>
      <c r="O14" s="84"/>
    </row>
    <row r="15" spans="1:31" s="65" customFormat="1" x14ac:dyDescent="0.2">
      <c r="A15" s="67"/>
      <c r="B15" s="67"/>
      <c r="C15" s="67"/>
      <c r="D15" s="67"/>
      <c r="E15" s="67"/>
      <c r="F15" s="67"/>
      <c r="G15" s="67"/>
      <c r="H15" s="67"/>
      <c r="I15" s="269"/>
      <c r="J15" s="269"/>
      <c r="K15" s="269"/>
      <c r="L15" s="67"/>
      <c r="M15" s="67"/>
      <c r="N15" s="67"/>
      <c r="O15" s="64"/>
    </row>
    <row r="16" spans="1:31" s="10" customFormat="1" ht="39.75" customHeight="1" x14ac:dyDescent="0.2">
      <c r="A16" s="297">
        <v>2017</v>
      </c>
      <c r="B16" s="73" t="s">
        <v>128</v>
      </c>
      <c r="C16" s="73" t="s">
        <v>124</v>
      </c>
      <c r="D16" s="68" t="s">
        <v>125</v>
      </c>
      <c r="E16" s="85">
        <v>25680351.43</v>
      </c>
      <c r="F16" s="86">
        <v>3.8051189300000003E-2</v>
      </c>
      <c r="G16" s="87">
        <v>1.8245449199999999</v>
      </c>
      <c r="H16" s="86">
        <v>3.8051189300000003E-2</v>
      </c>
      <c r="I16" s="266">
        <v>43279</v>
      </c>
      <c r="J16" s="266">
        <v>43220</v>
      </c>
      <c r="K16" s="266">
        <v>43222</v>
      </c>
      <c r="L16" s="292">
        <v>-168528</v>
      </c>
      <c r="M16" s="319" t="s">
        <v>18</v>
      </c>
      <c r="N16" s="319" t="s">
        <v>42</v>
      </c>
      <c r="O16" s="88" t="s">
        <v>30</v>
      </c>
    </row>
    <row r="17" spans="1:15" s="10" customFormat="1" ht="27.95" customHeight="1" x14ac:dyDescent="0.2">
      <c r="A17" s="297"/>
      <c r="B17" s="299" t="s">
        <v>29</v>
      </c>
      <c r="C17" s="300"/>
      <c r="D17" s="81"/>
      <c r="E17" s="82">
        <f>SUM(E16)</f>
        <v>25680351.43</v>
      </c>
      <c r="F17" s="83">
        <f>SUM(F16)</f>
        <v>3.8051189300000003E-2</v>
      </c>
      <c r="G17" s="83">
        <f>SUM(G16)</f>
        <v>1.8245449199999999</v>
      </c>
      <c r="H17" s="83">
        <f>SUM(H16)</f>
        <v>3.8051189300000003E-2</v>
      </c>
      <c r="I17" s="266"/>
      <c r="J17" s="271"/>
      <c r="K17" s="271"/>
      <c r="L17" s="294"/>
      <c r="M17" s="320"/>
      <c r="N17" s="320"/>
      <c r="O17" s="89"/>
    </row>
    <row r="18" spans="1:15" s="65" customFormat="1" x14ac:dyDescent="0.2">
      <c r="A18" s="67"/>
      <c r="B18" s="67"/>
      <c r="C18" s="67"/>
      <c r="D18" s="67"/>
      <c r="E18" s="67"/>
      <c r="F18" s="67"/>
      <c r="G18" s="67"/>
      <c r="H18" s="67"/>
      <c r="I18" s="269"/>
      <c r="J18" s="269"/>
      <c r="K18" s="269"/>
      <c r="L18" s="67"/>
      <c r="M18" s="67"/>
      <c r="N18" s="67"/>
      <c r="O18" s="64"/>
    </row>
    <row r="19" spans="1:15" s="10" customFormat="1" ht="39.75" customHeight="1" x14ac:dyDescent="0.2">
      <c r="A19" s="297">
        <v>2016</v>
      </c>
      <c r="B19" s="73" t="s">
        <v>129</v>
      </c>
      <c r="C19" s="73" t="s">
        <v>122</v>
      </c>
      <c r="D19" s="68" t="s">
        <v>121</v>
      </c>
      <c r="E19" s="85">
        <v>140000000</v>
      </c>
      <c r="F19" s="86">
        <v>0.39518451999999998</v>
      </c>
      <c r="G19" s="86">
        <v>1.82454494</v>
      </c>
      <c r="H19" s="86">
        <v>0.39518451999999998</v>
      </c>
      <c r="I19" s="266">
        <v>42706</v>
      </c>
      <c r="J19" s="266">
        <v>42696</v>
      </c>
      <c r="K19" s="266">
        <v>42697</v>
      </c>
      <c r="L19" s="292">
        <v>350874</v>
      </c>
      <c r="M19" s="287">
        <f>E21/(L19*1000)</f>
        <v>0.84028550100605914</v>
      </c>
      <c r="N19" s="287" t="s">
        <v>41</v>
      </c>
      <c r="O19" s="88" t="s">
        <v>30</v>
      </c>
    </row>
    <row r="20" spans="1:15" s="10" customFormat="1" ht="37.5" customHeight="1" x14ac:dyDescent="0.2">
      <c r="A20" s="297"/>
      <c r="B20" s="73" t="s">
        <v>128</v>
      </c>
      <c r="C20" s="73" t="s">
        <v>123</v>
      </c>
      <c r="D20" s="68" t="s">
        <v>120</v>
      </c>
      <c r="E20" s="85">
        <v>154834334.88</v>
      </c>
      <c r="F20" s="90">
        <v>0.48370077243999998</v>
      </c>
      <c r="G20" s="86">
        <v>0</v>
      </c>
      <c r="H20" s="90">
        <v>0.48370077243999998</v>
      </c>
      <c r="I20" s="266">
        <v>42916</v>
      </c>
      <c r="J20" s="266">
        <v>42857</v>
      </c>
      <c r="K20" s="266">
        <v>42858</v>
      </c>
      <c r="L20" s="293"/>
      <c r="M20" s="288"/>
      <c r="N20" s="288"/>
      <c r="O20" s="88" t="s">
        <v>30</v>
      </c>
    </row>
    <row r="21" spans="1:15" s="92" customFormat="1" ht="27.95" customHeight="1" x14ac:dyDescent="0.2">
      <c r="A21" s="297"/>
      <c r="B21" s="299" t="s">
        <v>29</v>
      </c>
      <c r="C21" s="300"/>
      <c r="D21" s="81"/>
      <c r="E21" s="82">
        <f>SUM(E19:E20)</f>
        <v>294834334.88</v>
      </c>
      <c r="F21" s="91">
        <f>SUM(F19:F20)</f>
        <v>0.87888529243999991</v>
      </c>
      <c r="G21" s="83">
        <f>SUM(G19:G20)</f>
        <v>1.82454494</v>
      </c>
      <c r="H21" s="83">
        <f>SUM(H19:H20)</f>
        <v>0.87888529243999991</v>
      </c>
      <c r="I21" s="272"/>
      <c r="J21" s="273"/>
      <c r="K21" s="273"/>
      <c r="L21" s="294"/>
      <c r="M21" s="289"/>
      <c r="N21" s="289"/>
      <c r="O21" s="84"/>
    </row>
    <row r="22" spans="1:15" s="65" customFormat="1" x14ac:dyDescent="0.2">
      <c r="A22" s="67"/>
      <c r="B22" s="67"/>
      <c r="C22" s="67"/>
      <c r="D22" s="67"/>
      <c r="E22" s="67"/>
      <c r="F22" s="67"/>
      <c r="G22" s="67"/>
      <c r="H22" s="67"/>
      <c r="I22" s="269"/>
      <c r="J22" s="269"/>
      <c r="K22" s="269"/>
      <c r="L22" s="67"/>
      <c r="M22" s="67"/>
      <c r="N22" s="67"/>
      <c r="O22" s="64"/>
    </row>
    <row r="23" spans="1:15" s="10" customFormat="1" ht="38.25" customHeight="1" x14ac:dyDescent="0.2">
      <c r="A23" s="310">
        <v>2015</v>
      </c>
      <c r="B23" s="73" t="s">
        <v>128</v>
      </c>
      <c r="C23" s="73" t="s">
        <v>118</v>
      </c>
      <c r="D23" s="68" t="s">
        <v>119</v>
      </c>
      <c r="E23" s="85">
        <v>41325874.5</v>
      </c>
      <c r="F23" s="86">
        <v>8.6700233202000002E-2</v>
      </c>
      <c r="G23" s="93">
        <v>1.8245449419999999</v>
      </c>
      <c r="H23" s="86">
        <v>8.6700233202000002E-2</v>
      </c>
      <c r="I23" s="266">
        <v>42551</v>
      </c>
      <c r="J23" s="266">
        <v>42489</v>
      </c>
      <c r="K23" s="266">
        <v>42492</v>
      </c>
      <c r="L23" s="292">
        <v>-61357</v>
      </c>
      <c r="M23" s="319" t="s">
        <v>18</v>
      </c>
      <c r="N23" s="319" t="s">
        <v>40</v>
      </c>
      <c r="O23" s="88" t="s">
        <v>30</v>
      </c>
    </row>
    <row r="24" spans="1:15" s="10" customFormat="1" ht="27.95" customHeight="1" x14ac:dyDescent="0.2">
      <c r="A24" s="303"/>
      <c r="B24" s="299" t="s">
        <v>29</v>
      </c>
      <c r="C24" s="300"/>
      <c r="D24" s="81"/>
      <c r="E24" s="82">
        <f>E23</f>
        <v>41325874.5</v>
      </c>
      <c r="F24" s="83">
        <f>F23</f>
        <v>8.6700233202000002E-2</v>
      </c>
      <c r="G24" s="83">
        <f>G23</f>
        <v>1.8245449419999999</v>
      </c>
      <c r="H24" s="83">
        <f>H23</f>
        <v>8.6700233202000002E-2</v>
      </c>
      <c r="I24" s="272"/>
      <c r="J24" s="273"/>
      <c r="K24" s="273"/>
      <c r="L24" s="294"/>
      <c r="M24" s="320"/>
      <c r="N24" s="320"/>
      <c r="O24" s="84"/>
    </row>
    <row r="25" spans="1:15" s="65" customFormat="1" x14ac:dyDescent="0.2">
      <c r="A25" s="67"/>
      <c r="B25" s="67"/>
      <c r="C25" s="67"/>
      <c r="D25" s="67"/>
      <c r="E25" s="67"/>
      <c r="F25" s="67"/>
      <c r="G25" s="67"/>
      <c r="H25" s="67"/>
      <c r="I25" s="269"/>
      <c r="J25" s="269"/>
      <c r="K25" s="269"/>
      <c r="L25" s="67"/>
      <c r="M25" s="67"/>
      <c r="N25" s="67"/>
      <c r="O25" s="64"/>
    </row>
    <row r="26" spans="1:15" s="10" customFormat="1" ht="39.75" customHeight="1" x14ac:dyDescent="0.2">
      <c r="A26" s="297">
        <v>2014</v>
      </c>
      <c r="B26" s="73" t="s">
        <v>129</v>
      </c>
      <c r="C26" s="73" t="s">
        <v>113</v>
      </c>
      <c r="D26" s="68" t="s">
        <v>115</v>
      </c>
      <c r="E26" s="85">
        <v>193000000</v>
      </c>
      <c r="F26" s="86">
        <v>0.55991906950000003</v>
      </c>
      <c r="G26" s="90">
        <v>1.8245449417999999</v>
      </c>
      <c r="H26" s="86">
        <v>0.55991906950000003</v>
      </c>
      <c r="I26" s="266">
        <v>41912</v>
      </c>
      <c r="J26" s="266">
        <v>41869</v>
      </c>
      <c r="K26" s="266">
        <v>41870</v>
      </c>
      <c r="L26" s="292">
        <v>560139</v>
      </c>
      <c r="M26" s="316">
        <f>E29/(L26*1000)</f>
        <v>3.1656353220539901</v>
      </c>
      <c r="N26" s="321" t="s">
        <v>39</v>
      </c>
      <c r="O26" s="88" t="s">
        <v>30</v>
      </c>
    </row>
    <row r="27" spans="1:15" s="10" customFormat="1" ht="37.5" customHeight="1" x14ac:dyDescent="0.2">
      <c r="A27" s="297"/>
      <c r="B27" s="298" t="s">
        <v>128</v>
      </c>
      <c r="C27" s="298" t="s">
        <v>114</v>
      </c>
      <c r="D27" s="68" t="s">
        <v>116</v>
      </c>
      <c r="E27" s="85">
        <v>790097901.83000004</v>
      </c>
      <c r="F27" s="86">
        <v>2.4418820800000001</v>
      </c>
      <c r="G27" s="90">
        <v>1.1772562099999999</v>
      </c>
      <c r="H27" s="86">
        <v>2.4418820800000001</v>
      </c>
      <c r="I27" s="266">
        <v>42143</v>
      </c>
      <c r="J27" s="295">
        <v>42123</v>
      </c>
      <c r="K27" s="295">
        <v>42124</v>
      </c>
      <c r="L27" s="293"/>
      <c r="M27" s="317"/>
      <c r="N27" s="322"/>
      <c r="O27" s="88" t="s">
        <v>30</v>
      </c>
    </row>
    <row r="28" spans="1:15" s="10" customFormat="1" ht="39.75" customHeight="1" x14ac:dyDescent="0.2">
      <c r="A28" s="297"/>
      <c r="B28" s="298"/>
      <c r="C28" s="298"/>
      <c r="D28" s="68" t="s">
        <v>117</v>
      </c>
      <c r="E28" s="85">
        <v>790097901.83000004</v>
      </c>
      <c r="F28" s="86">
        <v>2.4124929900000001</v>
      </c>
      <c r="G28" s="86">
        <v>2.4124929900000001</v>
      </c>
      <c r="H28" s="86">
        <v>2.4124929900000001</v>
      </c>
      <c r="I28" s="266">
        <v>42277</v>
      </c>
      <c r="J28" s="296"/>
      <c r="K28" s="296"/>
      <c r="L28" s="293"/>
      <c r="M28" s="317"/>
      <c r="N28" s="322"/>
      <c r="O28" s="88" t="s">
        <v>30</v>
      </c>
    </row>
    <row r="29" spans="1:15" s="10" customFormat="1" ht="27.95" customHeight="1" x14ac:dyDescent="0.2">
      <c r="A29" s="297"/>
      <c r="B29" s="299" t="s">
        <v>29</v>
      </c>
      <c r="C29" s="300"/>
      <c r="D29" s="81"/>
      <c r="E29" s="82">
        <f>SUM(E26:E28)</f>
        <v>1773195803.6600001</v>
      </c>
      <c r="F29" s="91">
        <f>SUM(F26:F28)</f>
        <v>5.4142941395000008</v>
      </c>
      <c r="G29" s="83">
        <f>SUM(G26:G28)</f>
        <v>5.4142941417999992</v>
      </c>
      <c r="H29" s="83">
        <f>SUM(H26:H28)</f>
        <v>5.4142941395000008</v>
      </c>
      <c r="I29" s="274"/>
      <c r="J29" s="275"/>
      <c r="K29" s="275"/>
      <c r="L29" s="294"/>
      <c r="M29" s="318"/>
      <c r="N29" s="323"/>
      <c r="O29" s="95"/>
    </row>
    <row r="30" spans="1:15" s="65" customFormat="1" x14ac:dyDescent="0.2">
      <c r="A30" s="67"/>
      <c r="B30" s="67"/>
      <c r="C30" s="67"/>
      <c r="D30" s="67"/>
      <c r="E30" s="67"/>
      <c r="F30" s="67"/>
      <c r="G30" s="67"/>
      <c r="H30" s="67"/>
      <c r="I30" s="269"/>
      <c r="J30" s="269"/>
      <c r="K30" s="269"/>
      <c r="L30" s="67"/>
      <c r="M30" s="67"/>
      <c r="N30" s="67"/>
      <c r="O30" s="64"/>
    </row>
    <row r="31" spans="1:15" s="10" customFormat="1" ht="36.75" customHeight="1" x14ac:dyDescent="0.2">
      <c r="A31" s="297">
        <v>2013</v>
      </c>
      <c r="B31" s="298" t="s">
        <v>129</v>
      </c>
      <c r="C31" s="73" t="s">
        <v>106</v>
      </c>
      <c r="D31" s="68" t="s">
        <v>109</v>
      </c>
      <c r="E31" s="85">
        <v>111000000</v>
      </c>
      <c r="F31" s="86">
        <v>0.3031458608</v>
      </c>
      <c r="G31" s="86">
        <v>1.8245449416999999</v>
      </c>
      <c r="H31" s="86">
        <v>0.3031458608</v>
      </c>
      <c r="I31" s="266">
        <v>41481</v>
      </c>
      <c r="J31" s="266">
        <v>41404</v>
      </c>
      <c r="K31" s="266">
        <v>41407</v>
      </c>
      <c r="L31" s="292">
        <v>-195346</v>
      </c>
      <c r="M31" s="287" t="s">
        <v>18</v>
      </c>
      <c r="N31" s="287" t="s">
        <v>38</v>
      </c>
      <c r="O31" s="88" t="s">
        <v>30</v>
      </c>
    </row>
    <row r="32" spans="1:15" s="10" customFormat="1" ht="39.75" customHeight="1" x14ac:dyDescent="0.2">
      <c r="A32" s="297"/>
      <c r="B32" s="298"/>
      <c r="C32" s="73" t="s">
        <v>107</v>
      </c>
      <c r="D32" s="68" t="s">
        <v>110</v>
      </c>
      <c r="E32" s="85">
        <v>85000000</v>
      </c>
      <c r="F32" s="86">
        <v>0.26579116349999998</v>
      </c>
      <c r="G32" s="86">
        <v>0</v>
      </c>
      <c r="H32" s="86">
        <v>0.26579116349999998</v>
      </c>
      <c r="I32" s="266">
        <v>41578</v>
      </c>
      <c r="J32" s="266">
        <v>41502</v>
      </c>
      <c r="K32" s="266">
        <v>41505</v>
      </c>
      <c r="L32" s="293"/>
      <c r="M32" s="288"/>
      <c r="N32" s="288"/>
      <c r="O32" s="88" t="s">
        <v>30</v>
      </c>
    </row>
    <row r="33" spans="1:15" s="10" customFormat="1" ht="36.75" customHeight="1" x14ac:dyDescent="0.2">
      <c r="A33" s="297"/>
      <c r="B33" s="298" t="s">
        <v>128</v>
      </c>
      <c r="C33" s="298" t="s">
        <v>108</v>
      </c>
      <c r="D33" s="68" t="s">
        <v>111</v>
      </c>
      <c r="E33" s="85">
        <v>401543345.44</v>
      </c>
      <c r="F33" s="86">
        <v>1.2556079174000001</v>
      </c>
      <c r="G33" s="86">
        <v>0</v>
      </c>
      <c r="H33" s="86">
        <v>1.2556079174000001</v>
      </c>
      <c r="I33" s="266">
        <v>41820</v>
      </c>
      <c r="J33" s="295">
        <v>41758</v>
      </c>
      <c r="K33" s="295">
        <v>41759</v>
      </c>
      <c r="L33" s="293"/>
      <c r="M33" s="288"/>
      <c r="N33" s="288"/>
      <c r="O33" s="88" t="s">
        <v>30</v>
      </c>
    </row>
    <row r="34" spans="1:15" s="10" customFormat="1" ht="39" customHeight="1" x14ac:dyDescent="0.2">
      <c r="A34" s="297"/>
      <c r="B34" s="298"/>
      <c r="C34" s="298"/>
      <c r="D34" s="68" t="s">
        <v>112</v>
      </c>
      <c r="E34" s="85">
        <v>446533431.75</v>
      </c>
      <c r="F34" s="86">
        <v>1.3634497321000001</v>
      </c>
      <c r="G34" s="86">
        <v>1.3634497321000001</v>
      </c>
      <c r="H34" s="86">
        <v>1.3634497321000001</v>
      </c>
      <c r="I34" s="266">
        <v>41971</v>
      </c>
      <c r="J34" s="296"/>
      <c r="K34" s="296"/>
      <c r="L34" s="293"/>
      <c r="M34" s="288"/>
      <c r="N34" s="288"/>
      <c r="O34" s="88" t="s">
        <v>30</v>
      </c>
    </row>
    <row r="35" spans="1:15" s="10" customFormat="1" ht="27.95" customHeight="1" x14ac:dyDescent="0.2">
      <c r="A35" s="297"/>
      <c r="B35" s="299" t="s">
        <v>29</v>
      </c>
      <c r="C35" s="300"/>
      <c r="D35" s="81"/>
      <c r="E35" s="82">
        <f>SUM(E31:E34)</f>
        <v>1044076777.1900001</v>
      </c>
      <c r="F35" s="91">
        <f>SUM(F31:F34)</f>
        <v>3.1879946738000005</v>
      </c>
      <c r="G35" s="83">
        <f>SUM(G31:G34)</f>
        <v>3.1879946738</v>
      </c>
      <c r="H35" s="83">
        <f>SUM(H31:H34)</f>
        <v>3.1879946738000005</v>
      </c>
      <c r="I35" s="274"/>
      <c r="J35" s="275"/>
      <c r="K35" s="275"/>
      <c r="L35" s="294"/>
      <c r="M35" s="289"/>
      <c r="N35" s="289"/>
      <c r="O35" s="95"/>
    </row>
    <row r="36" spans="1:15" s="65" customFormat="1" x14ac:dyDescent="0.2">
      <c r="A36" s="67"/>
      <c r="B36" s="67"/>
      <c r="C36" s="67"/>
      <c r="D36" s="67"/>
      <c r="E36" s="67"/>
      <c r="F36" s="67"/>
      <c r="G36" s="67"/>
      <c r="H36" s="67"/>
      <c r="I36" s="269"/>
      <c r="J36" s="269"/>
      <c r="K36" s="269"/>
      <c r="L36" s="67"/>
      <c r="M36" s="67"/>
      <c r="N36" s="67"/>
      <c r="O36" s="64"/>
    </row>
    <row r="37" spans="1:15" s="10" customFormat="1" ht="38.25" x14ac:dyDescent="0.2">
      <c r="A37" s="297">
        <v>2012</v>
      </c>
      <c r="B37" s="298" t="s">
        <v>129</v>
      </c>
      <c r="C37" s="68" t="s">
        <v>105</v>
      </c>
      <c r="D37" s="68" t="s">
        <v>104</v>
      </c>
      <c r="E37" s="85">
        <v>75000000</v>
      </c>
      <c r="F37" s="86">
        <v>0.18844301729999999</v>
      </c>
      <c r="G37" s="96">
        <v>1.8245449413999999</v>
      </c>
      <c r="H37" s="97">
        <v>0.18844301729999999</v>
      </c>
      <c r="I37" s="266">
        <v>41109</v>
      </c>
      <c r="J37" s="266">
        <v>41038</v>
      </c>
      <c r="K37" s="266">
        <v>41039</v>
      </c>
      <c r="L37" s="292">
        <v>504298</v>
      </c>
      <c r="M37" s="287">
        <f>E40/(L37*1000)</f>
        <v>0.76576049692840342</v>
      </c>
      <c r="N37" s="287" t="s">
        <v>37</v>
      </c>
      <c r="O37" s="88" t="s">
        <v>30</v>
      </c>
    </row>
    <row r="38" spans="1:15" s="10" customFormat="1" ht="38.25" x14ac:dyDescent="0.2">
      <c r="A38" s="297"/>
      <c r="B38" s="298"/>
      <c r="C38" s="73" t="s">
        <v>75</v>
      </c>
      <c r="D38" s="68" t="s">
        <v>69</v>
      </c>
      <c r="E38" s="85">
        <v>40000000</v>
      </c>
      <c r="F38" s="86">
        <v>0.1250781946</v>
      </c>
      <c r="G38" s="98">
        <v>0</v>
      </c>
      <c r="H38" s="97">
        <v>0.1250781946</v>
      </c>
      <c r="I38" s="266">
        <v>41208</v>
      </c>
      <c r="J38" s="266">
        <v>41129</v>
      </c>
      <c r="K38" s="266">
        <v>41130</v>
      </c>
      <c r="L38" s="293"/>
      <c r="M38" s="288"/>
      <c r="N38" s="288"/>
      <c r="O38" s="88" t="s">
        <v>30</v>
      </c>
    </row>
    <row r="39" spans="1:15" s="10" customFormat="1" ht="38.25" x14ac:dyDescent="0.2">
      <c r="A39" s="297"/>
      <c r="B39" s="73" t="s">
        <v>128</v>
      </c>
      <c r="C39" s="73" t="s">
        <v>103</v>
      </c>
      <c r="D39" s="68" t="s">
        <v>102</v>
      </c>
      <c r="E39" s="85">
        <v>271171487.07999998</v>
      </c>
      <c r="F39" s="90">
        <v>0.84794100100000003</v>
      </c>
      <c r="G39" s="86">
        <v>0</v>
      </c>
      <c r="H39" s="86">
        <v>0.84794100100000003</v>
      </c>
      <c r="I39" s="266">
        <v>41607</v>
      </c>
      <c r="J39" s="266">
        <v>41390</v>
      </c>
      <c r="K39" s="266">
        <v>41393</v>
      </c>
      <c r="L39" s="293"/>
      <c r="M39" s="288"/>
      <c r="N39" s="288"/>
      <c r="O39" s="88" t="s">
        <v>30</v>
      </c>
    </row>
    <row r="40" spans="1:15" s="10" customFormat="1" ht="27.95" customHeight="1" x14ac:dyDescent="0.2">
      <c r="A40" s="297"/>
      <c r="B40" s="299" t="s">
        <v>29</v>
      </c>
      <c r="C40" s="300"/>
      <c r="D40" s="81"/>
      <c r="E40" s="82">
        <f>SUM(E37:E39)</f>
        <v>386171487.07999998</v>
      </c>
      <c r="F40" s="83">
        <f>SUM(F37:F39)</f>
        <v>1.1614622129000001</v>
      </c>
      <c r="G40" s="99">
        <f>SUM(G37:G39)</f>
        <v>1.8245449413999999</v>
      </c>
      <c r="H40" s="83">
        <f>SUM(H37:H39)</f>
        <v>1.1614622129000001</v>
      </c>
      <c r="I40" s="274"/>
      <c r="J40" s="276"/>
      <c r="K40" s="276"/>
      <c r="L40" s="293"/>
      <c r="M40" s="288"/>
      <c r="N40" s="289"/>
      <c r="O40" s="95"/>
    </row>
    <row r="41" spans="1:15" s="65" customFormat="1" x14ac:dyDescent="0.2">
      <c r="A41" s="67"/>
      <c r="B41" s="67"/>
      <c r="C41" s="67"/>
      <c r="D41" s="67"/>
      <c r="E41" s="67"/>
      <c r="F41" s="67"/>
      <c r="G41" s="67"/>
      <c r="H41" s="67"/>
      <c r="I41" s="269"/>
      <c r="J41" s="269"/>
      <c r="K41" s="269"/>
      <c r="L41" s="67"/>
      <c r="M41" s="67"/>
      <c r="N41" s="67"/>
      <c r="O41" s="64"/>
    </row>
    <row r="42" spans="1:15" s="10" customFormat="1" ht="39.75" customHeight="1" x14ac:dyDescent="0.2">
      <c r="A42" s="297">
        <v>2011</v>
      </c>
      <c r="B42" s="298" t="s">
        <v>129</v>
      </c>
      <c r="C42" s="68" t="s">
        <v>76</v>
      </c>
      <c r="D42" s="68" t="s">
        <v>101</v>
      </c>
      <c r="E42" s="85">
        <v>25000000</v>
      </c>
      <c r="F42" s="96">
        <v>3.1891227100000002E-2</v>
      </c>
      <c r="G42" s="96">
        <v>1.8245449413999999</v>
      </c>
      <c r="H42" s="100">
        <v>3.1891227100000002E-2</v>
      </c>
      <c r="I42" s="266">
        <v>40744</v>
      </c>
      <c r="J42" s="266">
        <v>40669</v>
      </c>
      <c r="K42" s="266">
        <v>40672</v>
      </c>
      <c r="L42" s="292">
        <v>108581</v>
      </c>
      <c r="M42" s="287">
        <f>E46/(L42*1000)</f>
        <v>4.2862453668689735</v>
      </c>
      <c r="N42" s="287" t="s">
        <v>36</v>
      </c>
      <c r="O42" s="88" t="s">
        <v>30</v>
      </c>
    </row>
    <row r="43" spans="1:15" s="10" customFormat="1" ht="39" customHeight="1" x14ac:dyDescent="0.2">
      <c r="A43" s="297"/>
      <c r="B43" s="298"/>
      <c r="C43" s="73" t="s">
        <v>99</v>
      </c>
      <c r="D43" s="73" t="s">
        <v>100</v>
      </c>
      <c r="E43" s="85">
        <v>50000000</v>
      </c>
      <c r="F43" s="96">
        <v>0.15655179020000001</v>
      </c>
      <c r="G43" s="98">
        <v>0</v>
      </c>
      <c r="H43" s="100">
        <v>0.15655179020000001</v>
      </c>
      <c r="I43" s="266">
        <v>40837</v>
      </c>
      <c r="J43" s="266">
        <v>40763</v>
      </c>
      <c r="K43" s="266">
        <v>40764</v>
      </c>
      <c r="L43" s="293"/>
      <c r="M43" s="288"/>
      <c r="N43" s="288"/>
      <c r="O43" s="88" t="s">
        <v>30</v>
      </c>
    </row>
    <row r="44" spans="1:15" s="10" customFormat="1" ht="34.5" customHeight="1" x14ac:dyDescent="0.2">
      <c r="A44" s="297"/>
      <c r="B44" s="298" t="s">
        <v>128</v>
      </c>
      <c r="C44" s="298" t="s">
        <v>98</v>
      </c>
      <c r="D44" s="290" t="s">
        <v>97</v>
      </c>
      <c r="E44" s="85">
        <v>160000000</v>
      </c>
      <c r="F44" s="96">
        <v>0.50096572890000002</v>
      </c>
      <c r="G44" s="98">
        <v>0</v>
      </c>
      <c r="H44" s="100">
        <v>0.50096572890000002</v>
      </c>
      <c r="I44" s="266">
        <v>41086</v>
      </c>
      <c r="J44" s="295">
        <v>41024</v>
      </c>
      <c r="K44" s="295">
        <v>41025</v>
      </c>
      <c r="L44" s="293"/>
      <c r="M44" s="288"/>
      <c r="N44" s="288"/>
      <c r="O44" s="88" t="s">
        <v>30</v>
      </c>
    </row>
    <row r="45" spans="1:15" s="10" customFormat="1" ht="36.75" customHeight="1" x14ac:dyDescent="0.2">
      <c r="A45" s="297"/>
      <c r="B45" s="298"/>
      <c r="C45" s="298"/>
      <c r="D45" s="291"/>
      <c r="E45" s="85">
        <v>230404808.18000001</v>
      </c>
      <c r="F45" s="96">
        <v>0.72140570400000004</v>
      </c>
      <c r="G45" s="98">
        <v>0</v>
      </c>
      <c r="H45" s="100">
        <v>0.72140570400000004</v>
      </c>
      <c r="I45" s="266">
        <v>41178</v>
      </c>
      <c r="J45" s="296"/>
      <c r="K45" s="296"/>
      <c r="L45" s="293"/>
      <c r="M45" s="288"/>
      <c r="N45" s="288"/>
      <c r="O45" s="88" t="s">
        <v>30</v>
      </c>
    </row>
    <row r="46" spans="1:15" s="10" customFormat="1" ht="27.95" customHeight="1" x14ac:dyDescent="0.2">
      <c r="A46" s="297"/>
      <c r="B46" s="299" t="s">
        <v>29</v>
      </c>
      <c r="C46" s="300"/>
      <c r="D46" s="81"/>
      <c r="E46" s="82">
        <f>SUM(E42:E45)</f>
        <v>465404808.18000001</v>
      </c>
      <c r="F46" s="101">
        <f>SUM(F42:F45)</f>
        <v>1.4108144502000002</v>
      </c>
      <c r="G46" s="101">
        <f>SUM(G42:G45)</f>
        <v>1.8245449413999999</v>
      </c>
      <c r="H46" s="101">
        <f>SUM(H42:H45)</f>
        <v>1.4108144502000002</v>
      </c>
      <c r="I46" s="274"/>
      <c r="J46" s="275"/>
      <c r="K46" s="275"/>
      <c r="L46" s="294"/>
      <c r="M46" s="289"/>
      <c r="N46" s="289"/>
      <c r="O46" s="95"/>
    </row>
    <row r="47" spans="1:15" s="65" customFormat="1" x14ac:dyDescent="0.2">
      <c r="A47" s="67"/>
      <c r="B47" s="67"/>
      <c r="C47" s="67"/>
      <c r="D47" s="67"/>
      <c r="E47" s="67"/>
      <c r="F47" s="67"/>
      <c r="G47" s="67"/>
      <c r="H47" s="67"/>
      <c r="I47" s="269"/>
      <c r="J47" s="269"/>
      <c r="K47" s="269"/>
      <c r="L47" s="67"/>
      <c r="M47" s="67"/>
      <c r="N47" s="67"/>
      <c r="O47" s="64"/>
    </row>
    <row r="48" spans="1:15" s="10" customFormat="1" ht="40.5" customHeight="1" x14ac:dyDescent="0.2">
      <c r="A48" s="297">
        <v>2010</v>
      </c>
      <c r="B48" s="298" t="s">
        <v>129</v>
      </c>
      <c r="C48" s="68" t="s">
        <v>95</v>
      </c>
      <c r="D48" s="68" t="s">
        <v>96</v>
      </c>
      <c r="E48" s="85">
        <v>25000000</v>
      </c>
      <c r="F48" s="96">
        <v>3.1891227100000002E-2</v>
      </c>
      <c r="G48" s="96">
        <v>1.8245449413999999</v>
      </c>
      <c r="H48" s="100">
        <v>3.1891227100000002E-2</v>
      </c>
      <c r="I48" s="266">
        <v>40367</v>
      </c>
      <c r="J48" s="266">
        <v>40309</v>
      </c>
      <c r="K48" s="266">
        <v>40310</v>
      </c>
      <c r="L48" s="292">
        <v>93042</v>
      </c>
      <c r="M48" s="287">
        <f>E52/(L48*1000)</f>
        <v>2.5734618409965395</v>
      </c>
      <c r="N48" s="287" t="s">
        <v>35</v>
      </c>
      <c r="O48" s="88" t="s">
        <v>30</v>
      </c>
    </row>
    <row r="49" spans="1:15" s="10" customFormat="1" ht="42" customHeight="1" x14ac:dyDescent="0.2">
      <c r="A49" s="297"/>
      <c r="B49" s="298"/>
      <c r="C49" s="73" t="s">
        <v>93</v>
      </c>
      <c r="D49" s="68" t="s">
        <v>94</v>
      </c>
      <c r="E49" s="85">
        <v>25000000</v>
      </c>
      <c r="F49" s="96">
        <v>7.8275895100000006E-2</v>
      </c>
      <c r="G49" s="98">
        <v>0</v>
      </c>
      <c r="H49" s="100">
        <v>7.8275895100000006E-2</v>
      </c>
      <c r="I49" s="266">
        <v>40459</v>
      </c>
      <c r="J49" s="266">
        <v>40402</v>
      </c>
      <c r="K49" s="266">
        <v>40403</v>
      </c>
      <c r="L49" s="293"/>
      <c r="M49" s="288"/>
      <c r="N49" s="288"/>
      <c r="O49" s="88" t="s">
        <v>30</v>
      </c>
    </row>
    <row r="50" spans="1:15" s="10" customFormat="1" ht="41.25" customHeight="1" x14ac:dyDescent="0.2">
      <c r="A50" s="297"/>
      <c r="B50" s="298"/>
      <c r="C50" s="73" t="s">
        <v>91</v>
      </c>
      <c r="D50" s="68" t="s">
        <v>92</v>
      </c>
      <c r="E50" s="85">
        <v>25000000</v>
      </c>
      <c r="F50" s="96">
        <v>7.8275895100000006E-2</v>
      </c>
      <c r="G50" s="98">
        <v>0</v>
      </c>
      <c r="H50" s="100">
        <v>7.8275895100000006E-2</v>
      </c>
      <c r="I50" s="266">
        <v>40533</v>
      </c>
      <c r="J50" s="266">
        <v>40498</v>
      </c>
      <c r="K50" s="266">
        <v>40499</v>
      </c>
      <c r="L50" s="293"/>
      <c r="M50" s="288"/>
      <c r="N50" s="288"/>
      <c r="O50" s="88" t="s">
        <v>30</v>
      </c>
    </row>
    <row r="51" spans="1:15" s="10" customFormat="1" ht="40.5" customHeight="1" x14ac:dyDescent="0.2">
      <c r="A51" s="297"/>
      <c r="B51" s="73" t="s">
        <v>128</v>
      </c>
      <c r="C51" s="73" t="s">
        <v>90</v>
      </c>
      <c r="D51" s="68" t="s">
        <v>89</v>
      </c>
      <c r="E51" s="85">
        <v>164440036.61000001</v>
      </c>
      <c r="F51" s="96">
        <v>0.51486764249999994</v>
      </c>
      <c r="G51" s="98">
        <v>0</v>
      </c>
      <c r="H51" s="100">
        <v>0.51486764249999994</v>
      </c>
      <c r="I51" s="266">
        <v>40809</v>
      </c>
      <c r="J51" s="266">
        <v>40665</v>
      </c>
      <c r="K51" s="266">
        <v>40636</v>
      </c>
      <c r="L51" s="293"/>
      <c r="M51" s="288"/>
      <c r="N51" s="288"/>
      <c r="O51" s="88" t="s">
        <v>30</v>
      </c>
    </row>
    <row r="52" spans="1:15" s="10" customFormat="1" ht="27.95" customHeight="1" x14ac:dyDescent="0.2">
      <c r="A52" s="297"/>
      <c r="B52" s="299" t="s">
        <v>29</v>
      </c>
      <c r="C52" s="300"/>
      <c r="D52" s="81"/>
      <c r="E52" s="82">
        <f>SUM(E48:E51)</f>
        <v>239440036.61000001</v>
      </c>
      <c r="F52" s="101">
        <f>SUM(F48:F51)</f>
        <v>0.70331065979999996</v>
      </c>
      <c r="G52" s="101">
        <f>SUM(G48:G51)</f>
        <v>1.8245449413999999</v>
      </c>
      <c r="H52" s="101">
        <f>SUM(H48:H51)</f>
        <v>0.70331065979999996</v>
      </c>
      <c r="I52" s="274"/>
      <c r="J52" s="274"/>
      <c r="K52" s="274"/>
      <c r="L52" s="294"/>
      <c r="M52" s="289"/>
      <c r="N52" s="289"/>
      <c r="O52" s="95"/>
    </row>
    <row r="53" spans="1:15" s="65" customFormat="1" x14ac:dyDescent="0.2">
      <c r="A53" s="67"/>
      <c r="B53" s="67"/>
      <c r="C53" s="67"/>
      <c r="D53" s="67"/>
      <c r="E53" s="67"/>
      <c r="F53" s="67"/>
      <c r="G53" s="67"/>
      <c r="H53" s="67"/>
      <c r="I53" s="269"/>
      <c r="J53" s="269"/>
      <c r="K53" s="269"/>
      <c r="L53" s="67"/>
      <c r="M53" s="67"/>
      <c r="N53" s="67"/>
      <c r="O53" s="64"/>
    </row>
    <row r="54" spans="1:15" s="10" customFormat="1" ht="38.25" customHeight="1" x14ac:dyDescent="0.2">
      <c r="A54" s="297">
        <v>2009</v>
      </c>
      <c r="B54" s="298" t="s">
        <v>129</v>
      </c>
      <c r="C54" s="68" t="s">
        <v>87</v>
      </c>
      <c r="D54" s="68" t="s">
        <v>88</v>
      </c>
      <c r="E54" s="85">
        <v>30000000</v>
      </c>
      <c r="F54" s="96">
        <v>4.7546405999999999E-2</v>
      </c>
      <c r="G54" s="96">
        <v>1.8245449410000001</v>
      </c>
      <c r="H54" s="100">
        <v>4.7546405999999999E-2</v>
      </c>
      <c r="I54" s="266">
        <v>39980</v>
      </c>
      <c r="J54" s="266">
        <v>39947</v>
      </c>
      <c r="K54" s="266">
        <v>39948</v>
      </c>
      <c r="L54" s="292">
        <v>762713</v>
      </c>
      <c r="M54" s="287">
        <f>E58/(L54*1000)</f>
        <v>0.18961003234506293</v>
      </c>
      <c r="N54" s="287" t="s">
        <v>34</v>
      </c>
      <c r="O54" s="88" t="s">
        <v>30</v>
      </c>
    </row>
    <row r="55" spans="1:15" s="10" customFormat="1" ht="42.75" customHeight="1" x14ac:dyDescent="0.2">
      <c r="A55" s="297"/>
      <c r="B55" s="298"/>
      <c r="C55" s="73" t="s">
        <v>85</v>
      </c>
      <c r="D55" s="68" t="s">
        <v>86</v>
      </c>
      <c r="E55" s="85">
        <v>45000000</v>
      </c>
      <c r="F55" s="96">
        <v>0.140896611</v>
      </c>
      <c r="G55" s="96">
        <v>0</v>
      </c>
      <c r="H55" s="100">
        <v>0.140896611</v>
      </c>
      <c r="I55" s="266">
        <v>40095</v>
      </c>
      <c r="J55" s="266">
        <v>40038</v>
      </c>
      <c r="K55" s="266">
        <v>40039</v>
      </c>
      <c r="L55" s="293"/>
      <c r="M55" s="288"/>
      <c r="N55" s="288"/>
      <c r="O55" s="88" t="s">
        <v>30</v>
      </c>
    </row>
    <row r="56" spans="1:15" s="10" customFormat="1" ht="42.75" customHeight="1" x14ac:dyDescent="0.2">
      <c r="A56" s="297"/>
      <c r="B56" s="298"/>
      <c r="C56" s="73" t="s">
        <v>84</v>
      </c>
      <c r="D56" s="68" t="s">
        <v>83</v>
      </c>
      <c r="E56" s="85">
        <v>35000000</v>
      </c>
      <c r="F56" s="96">
        <v>0.1095862532</v>
      </c>
      <c r="G56" s="96">
        <v>0</v>
      </c>
      <c r="H56" s="100">
        <v>0.1095862532</v>
      </c>
      <c r="I56" s="266">
        <v>40186</v>
      </c>
      <c r="J56" s="266">
        <v>40128</v>
      </c>
      <c r="K56" s="266">
        <v>40129</v>
      </c>
      <c r="L56" s="293"/>
      <c r="M56" s="288"/>
      <c r="N56" s="288"/>
      <c r="O56" s="88" t="s">
        <v>30</v>
      </c>
    </row>
    <row r="57" spans="1:15" s="10" customFormat="1" ht="38.25" customHeight="1" x14ac:dyDescent="0.2">
      <c r="A57" s="297"/>
      <c r="B57" s="73" t="s">
        <v>128</v>
      </c>
      <c r="C57" s="73" t="s">
        <v>82</v>
      </c>
      <c r="D57" s="68" t="s">
        <v>81</v>
      </c>
      <c r="E57" s="85">
        <v>34618036.600000001</v>
      </c>
      <c r="F57" s="96">
        <v>0.1083903121</v>
      </c>
      <c r="G57" s="96">
        <v>0</v>
      </c>
      <c r="H57" s="100">
        <v>0.1083903121</v>
      </c>
      <c r="I57" s="266">
        <v>40359</v>
      </c>
      <c r="J57" s="266">
        <v>40298</v>
      </c>
      <c r="K57" s="266">
        <v>40301</v>
      </c>
      <c r="L57" s="293"/>
      <c r="M57" s="288"/>
      <c r="N57" s="288"/>
      <c r="O57" s="88" t="s">
        <v>30</v>
      </c>
    </row>
    <row r="58" spans="1:15" s="10" customFormat="1" ht="27.95" customHeight="1" x14ac:dyDescent="0.2">
      <c r="A58" s="297"/>
      <c r="B58" s="299" t="s">
        <v>29</v>
      </c>
      <c r="C58" s="300"/>
      <c r="D58" s="81"/>
      <c r="E58" s="82">
        <f>SUM(E54:E57)</f>
        <v>144618036.59999999</v>
      </c>
      <c r="F58" s="101">
        <f>SUM(F54:F57)</f>
        <v>0.40641958229999997</v>
      </c>
      <c r="G58" s="101">
        <f>SUM(G54:G57)</f>
        <v>1.8245449410000001</v>
      </c>
      <c r="H58" s="101">
        <f>SUM(H54:H57)</f>
        <v>0.40641958229999997</v>
      </c>
      <c r="I58" s="274"/>
      <c r="J58" s="274"/>
      <c r="K58" s="274"/>
      <c r="L58" s="294"/>
      <c r="M58" s="289"/>
      <c r="N58" s="289"/>
      <c r="O58" s="95"/>
    </row>
    <row r="59" spans="1:15" s="65" customFormat="1" x14ac:dyDescent="0.2">
      <c r="A59" s="67"/>
      <c r="B59" s="67"/>
      <c r="C59" s="67"/>
      <c r="D59" s="67"/>
      <c r="E59" s="67"/>
      <c r="F59" s="67"/>
      <c r="G59" s="67"/>
      <c r="H59" s="67"/>
      <c r="I59" s="269"/>
      <c r="J59" s="269"/>
      <c r="K59" s="269"/>
      <c r="L59" s="67"/>
      <c r="M59" s="67"/>
      <c r="N59" s="67"/>
      <c r="O59" s="64"/>
    </row>
    <row r="60" spans="1:15" s="10" customFormat="1" ht="41.25" customHeight="1" x14ac:dyDescent="0.2">
      <c r="A60" s="297">
        <v>2008</v>
      </c>
      <c r="B60" s="298" t="s">
        <v>129</v>
      </c>
      <c r="C60" s="73" t="s">
        <v>79</v>
      </c>
      <c r="D60" s="68" t="s">
        <v>80</v>
      </c>
      <c r="E60" s="85">
        <v>20500000</v>
      </c>
      <c r="F60" s="86">
        <v>1.7801566000000001E-2</v>
      </c>
      <c r="G60" s="86">
        <v>1.8245449410000001</v>
      </c>
      <c r="H60" s="86">
        <v>1.7801566000000001E-2</v>
      </c>
      <c r="I60" s="266">
        <v>39637</v>
      </c>
      <c r="J60" s="266">
        <v>39581</v>
      </c>
      <c r="K60" s="266">
        <v>39582</v>
      </c>
      <c r="L60" s="292">
        <v>-2351639</v>
      </c>
      <c r="M60" s="287" t="s">
        <v>18</v>
      </c>
      <c r="N60" s="284" t="s">
        <v>33</v>
      </c>
      <c r="O60" s="88" t="s">
        <v>30</v>
      </c>
    </row>
    <row r="61" spans="1:15" s="10" customFormat="1" ht="38.25" x14ac:dyDescent="0.2">
      <c r="A61" s="297"/>
      <c r="B61" s="298"/>
      <c r="C61" s="73" t="s">
        <v>77</v>
      </c>
      <c r="D61" s="73" t="s">
        <v>78</v>
      </c>
      <c r="E61" s="85">
        <v>45000000</v>
      </c>
      <c r="F61" s="86">
        <v>0.13740345900000001</v>
      </c>
      <c r="G61" s="86">
        <v>0.13740345900000001</v>
      </c>
      <c r="H61" s="86">
        <v>0.13740345900000001</v>
      </c>
      <c r="I61" s="266">
        <v>39696</v>
      </c>
      <c r="J61" s="266">
        <v>39672</v>
      </c>
      <c r="K61" s="266">
        <v>39673</v>
      </c>
      <c r="L61" s="293"/>
      <c r="M61" s="288"/>
      <c r="N61" s="285"/>
      <c r="O61" s="88" t="s">
        <v>30</v>
      </c>
    </row>
    <row r="62" spans="1:15" s="10" customFormat="1" ht="27.95" customHeight="1" x14ac:dyDescent="0.2">
      <c r="A62" s="297"/>
      <c r="B62" s="299" t="s">
        <v>29</v>
      </c>
      <c r="C62" s="300"/>
      <c r="D62" s="81"/>
      <c r="E62" s="82">
        <f>SUM(E60:E61)</f>
        <v>65500000</v>
      </c>
      <c r="F62" s="83">
        <f t="shared" ref="F62:H62" si="2">SUM(F60:F61)</f>
        <v>0.155205025</v>
      </c>
      <c r="G62" s="83">
        <f t="shared" si="2"/>
        <v>1.9619484</v>
      </c>
      <c r="H62" s="83">
        <f t="shared" si="2"/>
        <v>0.155205025</v>
      </c>
      <c r="I62" s="94"/>
      <c r="J62" s="94"/>
      <c r="K62" s="94"/>
      <c r="L62" s="294"/>
      <c r="M62" s="289"/>
      <c r="N62" s="286"/>
      <c r="O62" s="95"/>
    </row>
    <row r="63" spans="1:15" s="65" customFormat="1" x14ac:dyDescent="0.2">
      <c r="A63" s="311"/>
      <c r="B63" s="312"/>
      <c r="C63" s="312"/>
      <c r="D63" s="312"/>
      <c r="E63" s="312"/>
      <c r="F63" s="312"/>
      <c r="G63" s="312"/>
      <c r="H63" s="312"/>
      <c r="I63" s="312"/>
      <c r="J63" s="312"/>
      <c r="K63" s="312"/>
      <c r="L63" s="312"/>
      <c r="M63" s="312"/>
      <c r="N63" s="312"/>
      <c r="O63" s="313"/>
    </row>
  </sheetData>
  <mergeCells count="96">
    <mergeCell ref="N4:N7"/>
    <mergeCell ref="D9:D10"/>
    <mergeCell ref="J9:J10"/>
    <mergeCell ref="K9:K10"/>
    <mergeCell ref="D5:D6"/>
    <mergeCell ref="J5:J6"/>
    <mergeCell ref="K5:K6"/>
    <mergeCell ref="M4:M7"/>
    <mergeCell ref="L4:L7"/>
    <mergeCell ref="L9:L11"/>
    <mergeCell ref="M9:M11"/>
    <mergeCell ref="N9:N11"/>
    <mergeCell ref="N31:N35"/>
    <mergeCell ref="J27:J28"/>
    <mergeCell ref="K27:K28"/>
    <mergeCell ref="N26:N29"/>
    <mergeCell ref="M37:M40"/>
    <mergeCell ref="L37:L40"/>
    <mergeCell ref="N23:N24"/>
    <mergeCell ref="N19:N21"/>
    <mergeCell ref="N16:N17"/>
    <mergeCell ref="N13:N14"/>
    <mergeCell ref="A16:A17"/>
    <mergeCell ref="L16:L17"/>
    <mergeCell ref="M16:M17"/>
    <mergeCell ref="B17:C17"/>
    <mergeCell ref="A19:A21"/>
    <mergeCell ref="L19:L21"/>
    <mergeCell ref="M19:M21"/>
    <mergeCell ref="B21:C21"/>
    <mergeCell ref="A23:A24"/>
    <mergeCell ref="L23:L24"/>
    <mergeCell ref="M23:M24"/>
    <mergeCell ref="B24:C24"/>
    <mergeCell ref="A26:A29"/>
    <mergeCell ref="L26:L29"/>
    <mergeCell ref="M26:M29"/>
    <mergeCell ref="B27:B28"/>
    <mergeCell ref="C27:C28"/>
    <mergeCell ref="B29:C29"/>
    <mergeCell ref="C4:C6"/>
    <mergeCell ref="A9:A11"/>
    <mergeCell ref="A63:O63"/>
    <mergeCell ref="A13:A14"/>
    <mergeCell ref="L13:L14"/>
    <mergeCell ref="M13:M14"/>
    <mergeCell ref="B14:C14"/>
    <mergeCell ref="N42:N46"/>
    <mergeCell ref="N37:N40"/>
    <mergeCell ref="A54:A58"/>
    <mergeCell ref="B54:B56"/>
    <mergeCell ref="L54:L58"/>
    <mergeCell ref="M54:M58"/>
    <mergeCell ref="B58:C58"/>
    <mergeCell ref="A60:A62"/>
    <mergeCell ref="B60:B61"/>
    <mergeCell ref="B62:C62"/>
    <mergeCell ref="C44:C45"/>
    <mergeCell ref="B46:C46"/>
    <mergeCell ref="A48:A52"/>
    <mergeCell ref="B48:B50"/>
    <mergeCell ref="B52:C52"/>
    <mergeCell ref="A37:A40"/>
    <mergeCell ref="B37:B38"/>
    <mergeCell ref="A42:A46"/>
    <mergeCell ref="B42:B43"/>
    <mergeCell ref="B44:B45"/>
    <mergeCell ref="B40:C40"/>
    <mergeCell ref="A31:A35"/>
    <mergeCell ref="B31:B32"/>
    <mergeCell ref="B33:B34"/>
    <mergeCell ref="C33:C34"/>
    <mergeCell ref="B1:O1"/>
    <mergeCell ref="L31:L35"/>
    <mergeCell ref="M31:M35"/>
    <mergeCell ref="B35:C35"/>
    <mergeCell ref="J33:J34"/>
    <mergeCell ref="K33:K34"/>
    <mergeCell ref="A4:A7"/>
    <mergeCell ref="B11:C11"/>
    <mergeCell ref="B7:C7"/>
    <mergeCell ref="B9:B10"/>
    <mergeCell ref="C9:C10"/>
    <mergeCell ref="B5:B6"/>
    <mergeCell ref="N60:N62"/>
    <mergeCell ref="N54:N58"/>
    <mergeCell ref="N48:N52"/>
    <mergeCell ref="D44:D45"/>
    <mergeCell ref="L48:L52"/>
    <mergeCell ref="M48:M52"/>
    <mergeCell ref="L42:L46"/>
    <mergeCell ref="M42:M46"/>
    <mergeCell ref="J44:J45"/>
    <mergeCell ref="L60:L62"/>
    <mergeCell ref="M60:M62"/>
    <mergeCell ref="K44:K45"/>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Home</vt:lpstr>
      <vt:lpstr>Results</vt:lpstr>
      <vt:lpstr>Cash Flow</vt:lpstr>
      <vt:lpstr>Balance Sheet</vt:lpstr>
      <vt:lpstr>Costs and Expenses</vt:lpstr>
      <vt:lpstr>Indebtedness</vt:lpstr>
      <vt:lpstr>Operation</vt:lpstr>
      <vt:lpstr>Energy Balance</vt:lpstr>
      <vt:lpstr>Energy Portfolio</vt:lpstr>
      <vt:lpstr>Contingent Liability</vt:lpstr>
      <vt:lpstr>Dividends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De Luiz Cesari</dc:creator>
  <cp:lastModifiedBy>Lais Lobão</cp:lastModifiedBy>
  <dcterms:created xsi:type="dcterms:W3CDTF">2021-02-23T14:20:39Z</dcterms:created>
  <dcterms:modified xsi:type="dcterms:W3CDTF">2021-09-20T12:30:01Z</dcterms:modified>
</cp:coreProperties>
</file>