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4/4T24/SOP/"/>
    </mc:Choice>
  </mc:AlternateContent>
  <xr:revisionPtr revIDLastSave="25" documentId="8_{A3A7CEF5-74CE-4341-A04F-A03C3BEB7FCC}" xr6:coauthVersionLast="47" xr6:coauthVersionMax="47" xr10:uidLastSave="{B4B57D86-7F43-4BD2-9918-AB66B9859C88}"/>
  <bookViews>
    <workbookView xWindow="-28910" yWindow="-7070" windowWidth="29020" windowHeight="15700" activeTab="2" xr2:uid="{6A3D670A-5D9B-437A-A5E6-5095F69CC653}"/>
  </bookViews>
  <sheets>
    <sheet name="Cover" sheetId="14" r:id="rId1"/>
    <sheet name="Guide and Assumptions" sheetId="11" r:id="rId2"/>
    <sheet name="Guide - SOTP Indicative Model" sheetId="4" r:id="rId3"/>
    <sheet name="Sources" sheetId="13" r:id="rId4"/>
    <sheet name="Others" sheetId="9" state="hidden" r:id="rId5"/>
  </sheets>
  <definedNames>
    <definedName name="_xlchart.v1.0" hidden="1">Others!$L$2:$L$12</definedName>
    <definedName name="_xlchart.v1.1" hidden="1">Others!$M$2:$M$12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7" i="4" l="1"/>
  <c r="H23" i="4" a="1"/>
  <c r="H23" i="4" s="1"/>
  <c r="H18" i="4" l="1" a="1"/>
  <c r="H18" i="4" s="1"/>
  <c r="H17" i="4" l="1" a="1"/>
  <c r="H17" i="4" s="1"/>
  <c r="H16" i="4" a="1"/>
  <c r="H16" i="4" s="1"/>
  <c r="H26" i="4"/>
  <c r="H21" i="4"/>
  <c r="H28" i="4" a="1"/>
  <c r="H28" i="4" s="1"/>
  <c r="H24" i="4" a="1"/>
  <c r="H24" i="4" s="1"/>
  <c r="H15" i="4" l="1" a="1"/>
  <c r="H15" i="4" s="1"/>
  <c r="K12" i="9" l="1"/>
  <c r="K11" i="9"/>
  <c r="K10" i="9"/>
  <c r="K9" i="9"/>
  <c r="K8" i="9"/>
  <c r="K7" i="9"/>
  <c r="K6" i="9"/>
  <c r="K5" i="9"/>
  <c r="K4" i="9"/>
  <c r="K3" i="9"/>
  <c r="K2" i="9"/>
  <c r="H33" i="4" l="1"/>
  <c r="M12" i="9" l="1"/>
  <c r="M8" i="9" l="1"/>
  <c r="M10" i="9"/>
  <c r="M9" i="9"/>
  <c r="M4" i="9" l="1"/>
  <c r="M5" i="9"/>
  <c r="M6" i="9" l="1"/>
  <c r="G18" i="4" l="1"/>
  <c r="G17" i="4" l="1"/>
  <c r="G16" i="4"/>
  <c r="H35" i="4" l="1"/>
  <c r="H14" i="4" l="1" a="1"/>
  <c r="H14" i="4" s="1"/>
  <c r="H13" i="4" a="1"/>
  <c r="H13" i="4" s="1"/>
  <c r="M7" i="9" l="1"/>
  <c r="M2" i="9"/>
  <c r="G14" i="4"/>
  <c r="M3" i="9"/>
  <c r="H32" i="4" l="1"/>
  <c r="G13" i="4"/>
  <c r="G15" i="4"/>
  <c r="H34" i="4" l="1"/>
  <c r="H36" i="4"/>
  <c r="M11"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<sst xmlns="http://schemas.openxmlformats.org/spreadsheetml/2006/main" count="288" uniqueCount="158">
  <si>
    <t>Raízen</t>
  </si>
  <si>
    <t>Rumo</t>
  </si>
  <si>
    <t>Vale</t>
  </si>
  <si>
    <t>Compass</t>
  </si>
  <si>
    <t>EBITDA</t>
  </si>
  <si>
    <t>Input</t>
  </si>
  <si>
    <t>G&amp;A</t>
  </si>
  <si>
    <t>EBITDA Guidance</t>
  </si>
  <si>
    <t>Moove</t>
  </si>
  <si>
    <t>EV/EBITDA Guidance</t>
  </si>
  <si>
    <t>-</t>
  </si>
  <si>
    <t>EV/EBITDA LTM</t>
  </si>
  <si>
    <t>Inputs</t>
  </si>
  <si>
    <t xml:space="preserve">Raízen </t>
  </si>
  <si>
    <t>Cosan</t>
  </si>
  <si>
    <t>GRÁFICO</t>
  </si>
  <si>
    <t>Source:</t>
  </si>
  <si>
    <t>(a)</t>
  </si>
  <si>
    <t>(b)</t>
  </si>
  <si>
    <t>(d)</t>
  </si>
  <si>
    <t>(c)</t>
  </si>
  <si>
    <t>(e)</t>
  </si>
  <si>
    <t>(f)</t>
  </si>
  <si>
    <t>(g)</t>
  </si>
  <si>
    <t>(h)</t>
  </si>
  <si>
    <t>(i)</t>
  </si>
  <si>
    <t>(j)</t>
  </si>
  <si>
    <t>(k)</t>
  </si>
  <si>
    <t>(l)</t>
  </si>
  <si>
    <t>(m)</t>
  </si>
  <si>
    <t>Disclaimer</t>
  </si>
  <si>
    <t>Book Value</t>
  </si>
  <si>
    <t>All information contained in this document is public, as stated herein and in other public documents disclosed by the Company, especially its quarterly and annual audited financial statements. This material is subject to revision and adjustments without prior notice and should be read and analyzed considering the base date of the information used, pursuant to the terms disclosed by Cosan.</t>
  </si>
  <si>
    <t>By preparing this spreadsheet, neither the Company, nor any of its affiliates, executives, officers, employees, agents, representatives and third parties acting on behalf of the Company, assume any obligation to grant access to or publish any additional information, update this tool, or correct inaccuracies. The Company takes no responsibility for the use of this material in full or in part in a manner diverging from that shown below. Additionally, Cosan takes no responsibility for changes or interventions made by third parties, nor for reports, analyses, newspaper articles, publications or forecasts prepared by third parties, based on this material.</t>
  </si>
  <si>
    <t>The material does not exempt investors or shareholders from the need to seek their own advisors and carefully read public documents and information disclosed by Cosan, so they can independently conduct their own analyses, evaluation and investigation of Cosan, its activities and financial situation when making their investment decisions.</t>
  </si>
  <si>
    <t>The material presented does not consist of a declaration or guarantee with expectation of future income and/or payment and/or return on any amount invested.</t>
  </si>
  <si>
    <t xml:space="preserve">The following presentation is a material to support shareholders in calculating  the holding company some of the parts and discount obtained in Cosan S.A. (“Cosan” or “Company”). </t>
  </si>
  <si>
    <t>Guide</t>
  </si>
  <si>
    <t>Guide and Assumptions</t>
  </si>
  <si>
    <t>How to use this tool?</t>
  </si>
  <si>
    <t>All yellow cells are editable, allowing users to determine the valuation method for each asset composing COSAN’s portfolio. Once the valuation method for each asset/debt has been chosen, the value of the Sum of the Parts (SOTP) will be presented. This value may be compared to the market cap of CSAN3, indicating the implicit discount on CSAN3’s market price.</t>
  </si>
  <si>
    <t>Valuation methods</t>
  </si>
  <si>
    <t>When valuing assets, users may choose different valuation methods to determine the value of each company.</t>
  </si>
  <si>
    <r>
      <rPr>
        <b/>
        <sz val="11"/>
        <color theme="1"/>
        <rFont val="Calibri"/>
        <family val="2"/>
        <scheme val="minor"/>
      </rPr>
      <t>Market Capitalization:</t>
    </r>
    <r>
      <rPr>
        <sz val="11"/>
        <color theme="1"/>
        <rFont val="Calibri"/>
        <family val="2"/>
        <scheme val="minor"/>
      </rPr>
      <t xml:space="preserve"> Number of shares held by Cosan in the asset, multiplied by the market price of the latest date available.</t>
    </r>
  </si>
  <si>
    <r>
      <rPr>
        <b/>
        <sz val="11"/>
        <color theme="1"/>
        <rFont val="Calibri"/>
        <family val="2"/>
        <scheme val="minor"/>
      </rPr>
      <t>Target Price:</t>
    </r>
    <r>
      <rPr>
        <sz val="11"/>
        <color theme="1"/>
        <rFont val="Calibri"/>
        <family val="2"/>
        <scheme val="minor"/>
      </rPr>
      <t xml:space="preserve"> Number of shares held by Cosan in the asset, multiplied by the Bloomberg average price for each of the assets, or with the target price inserted by the user.</t>
    </r>
  </si>
  <si>
    <t>Company</t>
  </si>
  <si>
    <r>
      <rPr>
        <b/>
        <sz val="11"/>
        <color theme="1"/>
        <rFont val="Calibri"/>
        <family val="2"/>
        <scheme val="minor"/>
      </rPr>
      <t>EV/EBITDA Guidance:</t>
    </r>
    <r>
      <rPr>
        <sz val="11"/>
        <color theme="1"/>
        <rFont val="Calibri"/>
        <family val="2"/>
        <scheme val="minor"/>
      </rPr>
      <t xml:space="preserve"> Multiple used to determine the company’s valuation. In this option, the user must insert a fair multiple of the asset. This method uses the average EBITDA presented by the company as guidance, when the company publishes its guidance for the year, or its LTM EBITDA, when the company does not publish guidance.</t>
    </r>
  </si>
  <si>
    <r>
      <rPr>
        <b/>
        <i/>
        <sz val="11"/>
        <color theme="1"/>
        <rFont val="Calibri"/>
        <family val="2"/>
      </rPr>
      <t>Book Value</t>
    </r>
    <r>
      <rPr>
        <b/>
        <sz val="11"/>
        <color theme="1"/>
        <rFont val="Calibri"/>
        <family val="2"/>
      </rPr>
      <t xml:space="preserve">: </t>
    </r>
    <r>
      <rPr>
        <sz val="11"/>
        <color theme="1"/>
        <rFont val="Calibri"/>
        <family val="2"/>
      </rPr>
      <t>value of the company's total assets minus it's total liabilities</t>
    </r>
  </si>
  <si>
    <t>Definitions</t>
  </si>
  <si>
    <r>
      <rPr>
        <b/>
        <sz val="11"/>
        <color theme="1"/>
        <rFont val="Calibri"/>
        <family val="2"/>
        <scheme val="minor"/>
      </rPr>
      <t>Total shares ex-treasury:</t>
    </r>
    <r>
      <rPr>
        <sz val="11"/>
        <color theme="1"/>
        <rFont val="Calibri"/>
        <family val="2"/>
        <scheme val="minor"/>
      </rPr>
      <t xml:space="preserve"> total shares excluding treasury shares.</t>
    </r>
  </si>
  <si>
    <r>
      <rPr>
        <b/>
        <sz val="11"/>
        <color theme="1"/>
        <rFont val="Calibri"/>
        <family val="2"/>
        <scheme val="minor"/>
      </rPr>
      <t>Shares held:</t>
    </r>
    <r>
      <rPr>
        <sz val="11"/>
        <color theme="1"/>
        <rFont val="Calibri"/>
        <family val="2"/>
        <scheme val="minor"/>
      </rPr>
      <t xml:space="preserve"> the total number of shares held by Cosan.</t>
    </r>
  </si>
  <si>
    <r>
      <rPr>
        <b/>
        <sz val="11"/>
        <color theme="1"/>
        <rFont val="Calibri"/>
        <family val="2"/>
        <scheme val="minor"/>
      </rPr>
      <t>Equity interest:</t>
    </r>
    <r>
      <rPr>
        <sz val="11"/>
        <color theme="1"/>
        <rFont val="Calibri"/>
        <family val="2"/>
        <scheme val="minor"/>
      </rPr>
      <t xml:space="preserve"> the total number of shares held divided by the number of total shares ex-treasury.</t>
    </r>
  </si>
  <si>
    <r>
      <rPr>
        <b/>
        <sz val="11"/>
        <color theme="1"/>
        <rFont val="Calibri"/>
        <family val="2"/>
        <scheme val="minor"/>
      </rPr>
      <t>Market Capitalization:</t>
    </r>
    <r>
      <rPr>
        <sz val="11"/>
        <color theme="1"/>
        <rFont val="Calibri"/>
        <family val="2"/>
        <scheme val="minor"/>
      </rPr>
      <t xml:space="preserve"> market price multiplied by the number of outstanding shares.</t>
    </r>
  </si>
  <si>
    <r>
      <rPr>
        <b/>
        <sz val="11"/>
        <color theme="1"/>
        <rFont val="Calibri"/>
        <family val="2"/>
        <scheme val="minor"/>
      </rPr>
      <t>LTM EBITDA:</t>
    </r>
    <r>
      <rPr>
        <sz val="11"/>
        <color theme="1"/>
        <rFont val="Calibri"/>
        <family val="2"/>
        <scheme val="minor"/>
      </rPr>
      <t xml:space="preserve"> adjusted EBITDA accumulated in the last twelve months.</t>
    </r>
  </si>
  <si>
    <r>
      <rPr>
        <b/>
        <sz val="11"/>
        <color theme="1"/>
        <rFont val="Calibri"/>
        <family val="2"/>
        <scheme val="minor"/>
      </rPr>
      <t>Guidance EBITDA:</t>
    </r>
    <r>
      <rPr>
        <sz val="11"/>
        <color theme="1"/>
        <rFont val="Calibri"/>
        <family val="2"/>
        <scheme val="minor"/>
      </rPr>
      <t xml:space="preserve"> average EBITDA presented by the company as guidance for the year, when applicable.</t>
    </r>
  </si>
  <si>
    <r>
      <rPr>
        <b/>
        <sz val="11"/>
        <color theme="1"/>
        <rFont val="Calibri"/>
        <family val="2"/>
        <scheme val="minor"/>
      </rPr>
      <t>Installments payable:</t>
    </r>
    <r>
      <rPr>
        <sz val="11"/>
        <color theme="1"/>
        <rFont val="Calibri"/>
        <family val="2"/>
        <scheme val="minor"/>
      </rPr>
      <t xml:space="preserve"> outstanding amount to be paid for the increased share in the Land segment (Radar, Tellus and Janus).</t>
    </r>
  </si>
  <si>
    <r>
      <rPr>
        <b/>
        <sz val="11"/>
        <color theme="1"/>
        <rFont val="Calibri"/>
        <family val="2"/>
        <scheme val="minor"/>
      </rPr>
      <t>Net Debt:</t>
    </r>
    <r>
      <rPr>
        <sz val="11"/>
        <color theme="1"/>
        <rFont val="Calibri"/>
        <family val="2"/>
        <scheme val="minor"/>
      </rPr>
      <t xml:space="preserve"> a measure that considers loans and financing (gross debt) less cash and cash equivalents and marketable securities.</t>
    </r>
  </si>
  <si>
    <r>
      <rPr>
        <b/>
        <sz val="11"/>
        <color theme="1"/>
        <rFont val="Calibri"/>
        <family val="2"/>
        <scheme val="minor"/>
      </rPr>
      <t>Book Value:</t>
    </r>
    <r>
      <rPr>
        <sz val="11"/>
        <color theme="1"/>
        <rFont val="Calibri"/>
        <family val="2"/>
        <scheme val="minor"/>
      </rPr>
      <t xml:space="preserve"> the shareholders’ equity on the date of the last update.</t>
    </r>
  </si>
  <si>
    <t>Corporate³</t>
  </si>
  <si>
    <t xml:space="preserve">G&amp;A
Multiple </t>
  </si>
  <si>
    <t>Multiple
EV/EBITDA</t>
  </si>
  <si>
    <t>Equity Interest
(%) ¹</t>
  </si>
  <si>
    <t>Entries and base values</t>
  </si>
  <si>
    <t>All amounts presented herein consist of public information provided by the companies involved in this document. The information is updated on a quarterly basis in light of the disclosure of the financial statements of each company or other documents containing the data shown. The sources of each amount can be found in the “Sources” spreadsheet.</t>
  </si>
  <si>
    <r>
      <rPr>
        <b/>
        <sz val="11"/>
        <color theme="1"/>
        <rFont val="Calibri"/>
        <family val="2"/>
        <scheme val="minor"/>
      </rPr>
      <t>Preferred shares:</t>
    </r>
    <r>
      <rPr>
        <sz val="11"/>
        <color theme="1"/>
        <rFont val="Calibri"/>
        <family val="2"/>
        <scheme val="minor"/>
      </rPr>
      <t xml:space="preserve"> equity structure used to raise proceeds for the acquisition of minority interests in Vale. The structure includes the issue of preferred shares from intermediary holding companies among Cosan and Compass/Raízen. </t>
    </r>
  </si>
  <si>
    <t>Note 1: For the purpose of calculating the sum of the parts, for Raízen and Compass, we consider the total percentage held by Cosan Nove and Cosan Dez, respectively, since the distribution of dividends is disproportionate to the percentage held by each shareholder of these companies and the updated value of the preferred shares, in case of a possible redemption by Cosan is considered as a liability.</t>
  </si>
  <si>
    <t>Note 3: The Corporate considers companies according to the structure shown in the Modeling Guide and the financial statements available on Cosan's IR website.</t>
  </si>
  <si>
    <t>Last Update:</t>
  </si>
  <si>
    <t>Surces</t>
  </si>
  <si>
    <t>Sources</t>
  </si>
  <si>
    <t>Components</t>
  </si>
  <si>
    <t>SOTP Indicatiove Model¹</t>
  </si>
  <si>
    <t>Companies</t>
  </si>
  <si>
    <t>Valuation Method</t>
  </si>
  <si>
    <t>Implicit Multiple²</t>
  </si>
  <si>
    <t>Target Price</t>
  </si>
  <si>
    <t>Market Capitalization</t>
  </si>
  <si>
    <t>Multiple</t>
  </si>
  <si>
    <t>Last Available</t>
  </si>
  <si>
    <t>CSAN3 Market Value</t>
  </si>
  <si>
    <t xml:space="preserve">CSAN3 Price per Share of the Some of the Parts - SOTP </t>
  </si>
  <si>
    <t>Results</t>
  </si>
  <si>
    <t>Preferred shares updated redemption value²</t>
  </si>
  <si>
    <t>Vale Struucture - Collar Financing and Prefered Shares</t>
  </si>
  <si>
    <t>Net Debt (Corporate)</t>
  </si>
  <si>
    <t>Corporate</t>
  </si>
  <si>
    <t>Total shares ex-treasury</t>
  </si>
  <si>
    <t>Net Debt</t>
  </si>
  <si>
    <t>Shares held</t>
  </si>
  <si>
    <t>Bloomberg average price</t>
  </si>
  <si>
    <t>Installments payable</t>
  </si>
  <si>
    <t>Preferred shares updated redemption value</t>
  </si>
  <si>
    <t>Earnings Release</t>
  </si>
  <si>
    <t>https://www.cosan.com.br/en/financial-information/results-center/</t>
  </si>
  <si>
    <t>Bloomberg</t>
  </si>
  <si>
    <t>Spreadsheets per Segment</t>
  </si>
  <si>
    <t>Financial Statements: ITR/DFP</t>
  </si>
  <si>
    <t>https://ri.raizen.com.br/en/about-raizen/shareholding-structure/</t>
  </si>
  <si>
    <t>https://ri.raizen.com.br/en/about-raizen/estrutura-societaria/</t>
  </si>
  <si>
    <t>https://ri.raizen.com.br/en/financial-information/results-center/</t>
  </si>
  <si>
    <t>https://ri.rumolog.com/en/corporate-governance/ownership-breakdown/</t>
  </si>
  <si>
    <t>https://ri.rumolog.com/en/financial-information/results-center/</t>
  </si>
  <si>
    <t>https://ri.rumolog.com/en/disclosures-and-documents/notices-and-material-facts/</t>
  </si>
  <si>
    <t>https://www.vale.com/en/check-out-our-company</t>
  </si>
  <si>
    <t>https://www.vale.com/en/announcements-results-presentations-and-reports</t>
  </si>
  <si>
    <t>https://api.mziq.com/mzfilemanager/v2/d/6aa68515-2422-4cc4-bafa-8870ccdfedb0/bc04a6de-cfd6-5ddc-b583-3de734fa2ca2?origin=2</t>
  </si>
  <si>
    <t>Material Facts / Notices to the Market / Modeling Guide</t>
  </si>
  <si>
    <t>https://www.compassbr.com/en/corporate-governance/ownership-breakdown/</t>
  </si>
  <si>
    <t>https://www.compassbr.com/en/disclosures-and-documents/results-center/</t>
  </si>
  <si>
    <r>
      <rPr>
        <b/>
        <sz val="11"/>
        <color theme="1"/>
        <rFont val="Calibri"/>
        <family val="2"/>
        <scheme val="minor"/>
      </rPr>
      <t>Market Price (BRL per share):</t>
    </r>
    <r>
      <rPr>
        <sz val="11"/>
        <color theme="1"/>
        <rFont val="Calibri"/>
        <family val="2"/>
        <scheme val="minor"/>
      </rPr>
      <t xml:space="preserve"> closing price per share on the date of the last update of this spreadsheet.</t>
    </r>
  </si>
  <si>
    <r>
      <rPr>
        <b/>
        <sz val="11"/>
        <color theme="1"/>
        <rFont val="Calibri"/>
        <family val="2"/>
        <scheme val="minor"/>
      </rPr>
      <t xml:space="preserve">Bloomberg Average Price (BRL per share): </t>
    </r>
    <r>
      <rPr>
        <sz val="11"/>
        <color theme="1"/>
        <rFont val="Calibri"/>
        <family val="2"/>
        <scheme val="minor"/>
      </rPr>
      <t xml:space="preserve">average target price of sell-side analysts covering the Company </t>
    </r>
  </si>
  <si>
    <t>Equity Value (@100%)
(BRL bn)</t>
  </si>
  <si>
    <t>Market price
(BRL / Share)</t>
  </si>
  <si>
    <t>Bloomberg average price 
(BRL / Share)</t>
  </si>
  <si>
    <t>EBITDA LTM
(BRL bn)</t>
  </si>
  <si>
    <t>EBITDA Guidance
(BRL bn)</t>
  </si>
  <si>
    <t>Net Debt
(BRL bn)</t>
  </si>
  <si>
    <t>Installments payable 
(BRL bn)</t>
  </si>
  <si>
    <t>G&amp;A Input
(BRL bn)</t>
  </si>
  <si>
    <t>Net Debt Input
(BRL bn)</t>
  </si>
  <si>
    <t>G&amp;A LTM
(BRL bn)</t>
  </si>
  <si>
    <t>(BRL bn)</t>
  </si>
  <si>
    <t>Value (BRL bn)</t>
  </si>
  <si>
    <t>CSAN3 target share price (BRL)</t>
  </si>
  <si>
    <t>Note 1: For Raízen, Rumo and Compass, Guidance EBITDA is used when valuation is based on "EV/EBITDA Guidance."</t>
  </si>
  <si>
    <t>https://www.cosan.com.br/en/about-cosan/ownership-breakdown/</t>
  </si>
  <si>
    <t>Vale's financing structure</t>
  </si>
  <si>
    <t>Net Debt 
(Corporate)</t>
  </si>
  <si>
    <t>Holding Discount</t>
  </si>
  <si>
    <t>Equity Value</t>
  </si>
  <si>
    <t>Radar²</t>
  </si>
  <si>
    <t>Radar</t>
  </si>
  <si>
    <t>https://ri.raizen.com.br/en/disclosures-and-documents/notices-and-material-facts/</t>
  </si>
  <si>
    <t>Note 2: Radar segment considers the 50% stake in Radar and the 20% stake in Tellus and Janus.</t>
  </si>
  <si>
    <t>Information base date:</t>
  </si>
  <si>
    <t>Other investments - Book Value 09/30/2023
(R$ bn)</t>
  </si>
  <si>
    <t>G&amp;A and Other Investments</t>
  </si>
  <si>
    <t>G&amp;A and
Other Investments</t>
  </si>
  <si>
    <t>Preferred shares 
updated redemption
 value</t>
  </si>
  <si>
    <t>Other Investments</t>
  </si>
  <si>
    <r>
      <t xml:space="preserve">Some of the das Parts - SOTP </t>
    </r>
    <r>
      <rPr>
        <b/>
        <sz val="10"/>
        <color rgb="FFFF0000"/>
        <rFont val="Calibri"/>
        <family val="2"/>
        <scheme val="minor"/>
      </rPr>
      <t>(j = a+b+c+d+e+f-g-h-i)</t>
    </r>
  </si>
  <si>
    <r>
      <t xml:space="preserve">Holding Discount </t>
    </r>
    <r>
      <rPr>
        <b/>
        <sz val="10"/>
        <color rgb="FFFF0000"/>
        <rFont val="Calibri"/>
        <family val="2"/>
        <scheme val="minor"/>
      </rPr>
      <t>(l = j-k)</t>
    </r>
  </si>
  <si>
    <t>Total shares ex-treasury
31/03/2024
(bn)</t>
  </si>
  <si>
    <t>Preferred shares updated redemption value
(BRL bn)</t>
  </si>
  <si>
    <t>Book Value attributable to
controlling group
(BRL bn)</t>
  </si>
  <si>
    <t>Net Debt 04/30/24
(BRL bn)</t>
  </si>
  <si>
    <t>Total shares ex-treasury 04/30/2024
(bn)</t>
  </si>
  <si>
    <t>Material Fact - 05/13/2024</t>
  </si>
  <si>
    <t>Material Fact - 2024 Guidance Update - 02/08/24</t>
  </si>
  <si>
    <t>Quarterly Report</t>
  </si>
  <si>
    <t>Shares held on 04/30/2024
(bn)</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</si>
  <si>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estimated market cap for non-listed companies</t>
    </r>
    <r>
      <rPr>
        <b/>
        <sz val="11"/>
        <color theme="1"/>
        <rFont val="Calibri"/>
        <family val="2"/>
        <scheme val="minor"/>
      </rPr>
      <t>.</t>
    </r>
  </si>
  <si>
    <t>Note 3: To use the equity value and EV/EBITDA valuation method at Compass and Moove, fill in the premises "EV/EBITDA Multiple" and "Equity Value (@100%)" in the "Guide and Assumptions" tab.</t>
  </si>
  <si>
    <t>Compass³</t>
  </si>
  <si>
    <t>Moove³</t>
  </si>
  <si>
    <t>12/31/2025 - unless otherwise indicated</t>
  </si>
  <si>
    <r>
      <t xml:space="preserve">Holding Discount (%) </t>
    </r>
    <r>
      <rPr>
        <b/>
        <sz val="10"/>
        <color rgb="FFFF0000"/>
        <rFont val="Calibri"/>
        <family val="2"/>
        <scheme val="minor"/>
      </rPr>
      <t>(m=k/j-1)</t>
    </r>
  </si>
  <si>
    <t>Note 2: Cosan has a call option which gives it the right to repurchase all preferred shares of Cosan Nove and Cosan Dez. The amount presented herein represents a potential updated early redemption, as explained in the 4Q24 Earnings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</si>
</sst>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5">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b/>
      <sz val="11"/>
      <color theme="1"/>
      <name val="Calibri"/>
      <family val="2"/>
    </font>
    <font>
      <i/>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s>
  <cellStyleXfs count="32183">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cellStyleXfs>
  <cellXfs count="72">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182"/>
    <xf numFmtId="2" fontId="2" fillId="4" borderId="0" xfId="1" applyNumberFormat="1" applyFont="1" applyFill="1" applyAlignment="1" applyProtection="1">
      <alignment horizontal="center" vertical="center"/>
      <protection locked="0"/>
    </xf>
    <xf numFmtId="44" fontId="2" fillId="4" borderId="0" xfId="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2" fillId="4" borderId="0" xfId="0" applyFont="1" applyFill="1" applyAlignment="1" applyProtection="1">
      <alignment horizontal="center" vertical="center"/>
      <protection locked="0"/>
    </xf>
    <xf numFmtId="189" fontId="2" fillId="4" borderId="0" xfId="1" applyNumberFormat="1"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188" fontId="2" fillId="0" borderId="0" xfId="1" applyNumberFormat="1" applyFont="1" applyFill="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0" fontId="105" fillId="0" borderId="0" xfId="0" applyFont="1" applyAlignment="1">
      <alignment horizontal="left" vertical="center"/>
    </xf>
    <xf numFmtId="188" fontId="2" fillId="0" borderId="0" xfId="0" applyNumberFormat="1" applyFont="1" applyAlignment="1">
      <alignment horizontal="center" vertical="center"/>
    </xf>
    <xf numFmtId="0" fontId="7" fillId="0" borderId="0" xfId="0" applyFont="1"/>
    <xf numFmtId="2" fontId="2" fillId="0" borderId="0" xfId="1" applyNumberFormat="1" applyFont="1" applyFill="1" applyBorder="1" applyAlignment="1">
      <alignment horizontal="center" vertical="center"/>
    </xf>
    <xf numFmtId="49" fontId="2" fillId="0" borderId="0" xfId="0" applyNumberFormat="1" applyFont="1" applyAlignment="1">
      <alignment horizontal="center" vertical="center" wrapText="1"/>
    </xf>
    <xf numFmtId="0" fontId="108" fillId="0" borderId="0" xfId="0" applyFont="1" applyAlignment="1">
      <alignment vertical="center"/>
    </xf>
    <xf numFmtId="0" fontId="107" fillId="75" borderId="0" xfId="0" applyFont="1" applyFill="1" applyAlignment="1">
      <alignment horizontal="left" vertical="center" wrapText="1" indent="5"/>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09"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09" fillId="75" borderId="0" xfId="2" applyFont="1" applyFill="1"/>
    <xf numFmtId="0" fontId="7" fillId="75" borderId="0" xfId="0" applyFont="1" applyFill="1"/>
    <xf numFmtId="0" fontId="7" fillId="0" borderId="0" xfId="0" applyFont="1" applyAlignment="1">
      <alignment vertical="center" wrapText="1"/>
    </xf>
    <xf numFmtId="0" fontId="0" fillId="0" borderId="0" xfId="0" applyAlignment="1">
      <alignment vertical="center"/>
    </xf>
    <xf numFmtId="0" fontId="111" fillId="0" borderId="0" xfId="0" applyFont="1" applyAlignment="1">
      <alignment horizontal="center" vertical="center"/>
    </xf>
    <xf numFmtId="0" fontId="111" fillId="0" borderId="0" xfId="0" quotePrefix="1" applyFont="1" applyAlignment="1">
      <alignment horizontal="center" vertical="center"/>
    </xf>
    <xf numFmtId="14" fontId="0" fillId="0" borderId="2" xfId="0" applyNumberFormat="1" applyBorder="1" applyAlignment="1">
      <alignment horizontal="center" vertical="center"/>
    </xf>
    <xf numFmtId="164" fontId="2" fillId="0" borderId="0" xfId="10" applyNumberFormat="1" applyFont="1" applyFill="1" applyAlignment="1">
      <alignment horizontal="center" vertical="center"/>
    </xf>
    <xf numFmtId="0" fontId="9" fillId="0" borderId="0" xfId="0" applyFont="1" applyAlignment="1">
      <alignment vertical="center" wrapText="1"/>
    </xf>
    <xf numFmtId="0" fontId="26" fillId="0" borderId="0" xfId="32182" applyFill="1"/>
    <xf numFmtId="0" fontId="26" fillId="0" borderId="0" xfId="32182" applyAlignment="1">
      <alignment vertical="center" wrapText="1"/>
    </xf>
    <xf numFmtId="188" fontId="113" fillId="0" borderId="0" xfId="1" applyNumberFormat="1" applyFont="1" applyFill="1" applyAlignment="1">
      <alignment horizontal="center" vertical="center"/>
    </xf>
    <xf numFmtId="2" fontId="113"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190" fontId="2" fillId="4" borderId="0" xfId="1" applyNumberFormat="1" applyFont="1" applyFill="1" applyAlignment="1" applyProtection="1">
      <alignment horizontal="center" vertical="center"/>
      <protection locked="0"/>
    </xf>
    <xf numFmtId="0" fontId="0" fillId="0" borderId="0" xfId="0" applyAlignment="1">
      <alignment horizontal="left" vertical="center"/>
    </xf>
    <xf numFmtId="0" fontId="0" fillId="0" borderId="0" xfId="0" applyAlignment="1">
      <alignment horizontal="left" vertical="center" wrapText="1"/>
    </xf>
    <xf numFmtId="0" fontId="105" fillId="0" borderId="0" xfId="0" applyFont="1" applyAlignment="1">
      <alignment horizontal="left" vertical="center" wrapText="1"/>
    </xf>
    <xf numFmtId="0" fontId="114" fillId="0" borderId="0" xfId="0" applyFont="1" applyAlignment="1">
      <alignment horizontal="left" vertical="center" wrapText="1"/>
    </xf>
  </cellXfs>
  <cellStyles count="32183">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_Display" xfId="6356" xr:uid="{C9213B0B-D999-463D-AF17-71EAB60F1D40}"/>
    <cellStyle name="a_Divisão_Display_1" xfId="6357" xr:uid="{5A40CB84-E881-4CF7-90C2-84D472EA274B}"/>
    <cellStyle name="a_Divisão_IR Diferido" xfId="6358" xr:uid="{4F1068DD-1DF9-4BA5-B3D4-0F318F1434BE}"/>
    <cellStyle name="a_Divisão_Lead" xfId="6359" xr:uid="{432621A1-822E-416C-978E-6606115BA10C}"/>
    <cellStyle name="a_Divisão_Lead_IR Diferido" xfId="6360" xr:uid="{A75434F8-6F9F-4947-8DE2-5316C7446F63}"/>
    <cellStyle name="a_Divisão_Mapa variáveis" xfId="6361" xr:uid="{38B4972C-023B-43EA-B97F-A64B1EF413CA}"/>
    <cellStyle name="a_Divisão_Mapa variáveis_1" xfId="6362" xr:uid="{4B9B7802-4536-4E4B-A7F9-38DB53A3A8B3}"/>
    <cellStyle name="a_Divisão_Mapa variáveis_1_Métricas Op. e Finan. (PT)" xfId="6363" xr:uid="{A0BAFC9B-E8C9-4594-A55B-69F2CAE033CC}"/>
    <cellStyle name="a_Divisão_Mapa variáveis_Mapa variáveis" xfId="6364" xr:uid="{26643887-7CC5-4C5F-BC2D-9D078E696645}"/>
    <cellStyle name="a_Divisão_Mapa variáveis_Mapa variáveis_Métricas Op. e Finan. (PT)" xfId="6365" xr:uid="{4D1446DA-3C49-49B1-96A1-F117A42820E7}"/>
    <cellStyle name="a_Divisão_Mapa variáveis_Métricas Op. e Finan. (PT)" xfId="6366" xr:uid="{BE6FAA99-CC15-4B87-B0AF-95D9FB2BF9E8}"/>
    <cellStyle name="a_Divisão_Métricas Op. e Finan. (PT)" xfId="6367" xr:uid="{EFB7F780-44C7-454C-9C01-C530B2779B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marelocot" xfId="7082" xr:uid="{87DC7462-1FC0-4D21-985A-E9D354A2AE42}"/>
    <cellStyle name="anobase" xfId="7083" xr:uid="{4D32147E-829C-4D5D-8517-0B983F874596}"/>
    <cellStyle name="anos" xfId="7084" xr:uid="{791F4590-1C35-4C9B-9AFC-7CF898F0C430}"/>
    <cellStyle name="Área" xfId="7085" xr:uid="{EBD13A1E-8366-45C1-8D63-8152F0A969F2}"/>
    <cellStyle name="Área 2" xfId="7086" xr:uid="{6D01F8E1-0818-4844-9C4D-B3EB5B351E2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3" xfId="7453" xr:uid="{FDE774B0-194D-467F-BACC-9449149F62C8}"/>
    <cellStyle name="Calculation 10 4" xfId="7454" xr:uid="{FE91D8CC-AB47-4235-B938-4938DE8197E1}"/>
    <cellStyle name="Calculation 10 5" xfId="7455" xr:uid="{4AE8527E-1630-43EA-B840-9081D2175E16}"/>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3" xfId="7459" xr:uid="{88D5D37F-A0A8-4B68-A245-C4446BA392F9}"/>
    <cellStyle name="Calculation 11 4" xfId="7460" xr:uid="{29F26407-A43C-4CEB-B66A-11D056BCC3A1}"/>
    <cellStyle name="Calculation 11 5" xfId="7461" xr:uid="{D733DF25-7650-4A6D-9837-987B2CFAB6D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3" xfId="7465" xr:uid="{73079437-190A-4724-A7C2-D52BC32E3CE8}"/>
    <cellStyle name="Calculation 12 4" xfId="7466" xr:uid="{B8A1C66F-C964-40B3-B8F7-98A5A33096AB}"/>
    <cellStyle name="Calculation 12 5" xfId="7467" xr:uid="{47C709C1-28A3-4B78-B54B-4FA20109BB88}"/>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1" xfId="7492" xr:uid="{5D0DF8D0-5F8E-4ECD-B9D7-B819473BA87D}"/>
    <cellStyle name="Calculation 2 12" xfId="7493" xr:uid="{9769258E-058A-46FE-8B24-5BFD6E84CB48}"/>
    <cellStyle name="Calculation 2 13" xfId="7494" xr:uid="{76732974-FC29-4D94-BE0C-3327EAB5BA9C}"/>
    <cellStyle name="Calculation 2 2" xfId="7495" xr:uid="{86BE55C0-CD29-4468-8A47-CA750041ECC1}"/>
    <cellStyle name="Calculation 2 2 2" xfId="7496" xr:uid="{4161C2E5-F45B-493E-89F5-13A7FC95BDF8}"/>
    <cellStyle name="Calculation 2 2 3" xfId="7497" xr:uid="{C0F05923-E4A4-4833-8B36-75C7647EB73D}"/>
    <cellStyle name="Calculation 2 2 4" xfId="7498" xr:uid="{F1DFBBAF-09D3-4937-8DF8-1E6BDF18D008}"/>
    <cellStyle name="Calculation 2 2 5" xfId="7499" xr:uid="{B04D76F9-5266-46F8-8E47-60C8FE676F50}"/>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_BP - Raízen Combustíveis" xfId="7518" xr:uid="{0B8D2F12-6DDB-42D5-9DB8-01BF4DA30997}"/>
    <cellStyle name="Calculation 2 9" xfId="7519" xr:uid="{F63677C6-737F-43F9-BFE9-5D71170A3165}"/>
    <cellStyle name="Calculation 2_13-Endividamento" xfId="7520" xr:uid="{9C9FACB3-CDE3-4ADC-9B3C-BB6F5D76AA29}"/>
    <cellStyle name="Calculation 20" xfId="7521" xr:uid="{1EE3BD93-C5B3-4F62-8F76-5F903D6F46AD}"/>
    <cellStyle name="Calculation 20 2" xfId="7522" xr:uid="{992580B5-C6C9-4E03-9B7A-F74464880059}"/>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4" xfId="7532" xr:uid="{155A6C8C-AF8D-4AB3-BF28-E83224955049}"/>
    <cellStyle name="Calculation 24 2" xfId="7533" xr:uid="{B787364C-A7B9-425B-8E00-AF52035DB67B}"/>
    <cellStyle name="Calculation 25" xfId="7534" xr:uid="{EA60B0C1-CD8C-4774-84DA-B8278CC01F78}"/>
    <cellStyle name="Calculation 26" xfId="7535" xr:uid="{A7D63EEE-BCBE-4348-AE2B-0FF93FB520C6}"/>
    <cellStyle name="Calculation 27" xfId="7536" xr:uid="{4AC24E98-C79A-4A84-9B22-37B3AC69A46D}"/>
    <cellStyle name="Calculation 28" xfId="7537" xr:uid="{D97357B8-2F32-4A30-B9D2-EFF1FE021CD0}"/>
    <cellStyle name="Calculation 29" xfId="7538" xr:uid="{DB9135CE-EDAB-49A8-8062-560B5892351F}"/>
    <cellStyle name="Calculation 3" xfId="7539" xr:uid="{00DCDDDC-B9A8-476C-B9BC-A85410397CEC}"/>
    <cellStyle name="Calculation 3 10" xfId="7540" xr:uid="{91F482EB-AA5A-4FBF-BF03-73EC22F96787}"/>
    <cellStyle name="Calculation 3 2" xfId="7541" xr:uid="{8973FF84-C7AA-4500-87AA-47B20C82B117}"/>
    <cellStyle name="Calculation 3 2 2" xfId="7542" xr:uid="{B123232C-1340-486E-9973-FE8BC42BB7F5}"/>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_BP - Raízen Combustíveis" xfId="7555" xr:uid="{DCFD4760-6D7F-4AB5-B235-2864BB111014}"/>
    <cellStyle name="Calculation 3 7" xfId="7556" xr:uid="{AB7E477B-5833-4739-AC08-C39CF2BBABF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1" xfId="7561" xr:uid="{2525E3B2-DAF1-4FEB-ACB3-6BAA24F114EB}"/>
    <cellStyle name="Calculation 32" xfId="7562" xr:uid="{92A7AF60-1952-411E-97FE-FC7AC5A1DA2E}"/>
    <cellStyle name="Calculation 33" xfId="7563" xr:uid="{2C97C66B-CE64-45F6-B212-621E07BF60FC}"/>
    <cellStyle name="Calculation 34" xfId="7564" xr:uid="{ECF0DE1B-2A89-44DE-B586-1D8E24631607}"/>
    <cellStyle name="Calculation 35" xfId="7565" xr:uid="{64AD5AF7-601E-47A0-A458-74718E61ADD2}"/>
    <cellStyle name="Calculation 36" xfId="7566" xr:uid="{20DC7B07-F66C-4443-9AA5-0233A1F96B8A}"/>
    <cellStyle name="Calculation 37" xfId="7567" xr:uid="{739AC1D6-DCC5-4718-B522-3ED93C590738}"/>
    <cellStyle name="Calculation 38" xfId="7568" xr:uid="{471582CC-FE9D-4B4F-B8BA-D74B8C25A9A0}"/>
    <cellStyle name="Calculation 39" xfId="7569" xr:uid="{AACE6CE6-F6DF-4DA6-9B4A-5815B9FE61C9}"/>
    <cellStyle name="Calculation 4" xfId="7570" xr:uid="{303197B6-E980-4A0F-985C-0E49778F7D59}"/>
    <cellStyle name="Calculation 4 2" xfId="7571" xr:uid="{23C6B592-AA6C-4111-BAE6-7E3E1B6CE359}"/>
    <cellStyle name="Calculation 4 3" xfId="7572" xr:uid="{1DA71366-BC39-4D32-AAB0-C1EA9A555CE2}"/>
    <cellStyle name="Calculation 4 4" xfId="7573" xr:uid="{1BBFCA2B-14BF-4031-B0E6-07ECA853E80F}"/>
    <cellStyle name="Calculation 4 5" xfId="7574" xr:uid="{992D060D-B725-4AF9-9A7E-AB68847ACD17}"/>
    <cellStyle name="Calculation 4_BP - Raízen Combustíveis" xfId="7575" xr:uid="{7542DC33-89AA-42E4-872B-135FEA2D09C9}"/>
    <cellStyle name="Calculation 40" xfId="7576" xr:uid="{F9C96004-E8B2-4C5F-883B-2718B6F920DA}"/>
    <cellStyle name="Calculation 41" xfId="7577" xr:uid="{8B6D1A4F-B955-497B-9555-CA9DB24A43CC}"/>
    <cellStyle name="Calculation 42" xfId="7578" xr:uid="{1F4E3FD4-7AFB-4722-8328-F5D7FBF1D97B}"/>
    <cellStyle name="Calculation 43" xfId="7579" xr:uid="{CF77A9F1-7B9A-402E-8CA7-D8CC6767F148}"/>
    <cellStyle name="Calculation 44" xfId="7580" xr:uid="{A9F25D13-D4D6-49C8-B35A-07CC3293BD37}"/>
    <cellStyle name="Calculation 45" xfId="7581" xr:uid="{FB65587D-020E-450A-8330-908CF6448DF4}"/>
    <cellStyle name="Calculation 46" xfId="7582" xr:uid="{FE53AAE6-CE56-413E-A0A3-7954BD327776}"/>
    <cellStyle name="Calculation 47" xfId="7583" xr:uid="{E05ACD75-7BCC-4594-890F-715361CA6BCA}"/>
    <cellStyle name="Calculation 48" xfId="7584" xr:uid="{F5B5C205-DDC3-40D2-953E-1EA976B09E98}"/>
    <cellStyle name="Calculation 49" xfId="7585" xr:uid="{1051CB2E-109E-40DD-93CA-C0F7775D3C48}"/>
    <cellStyle name="Calculation 5" xfId="7586" xr:uid="{89C5E367-6692-4710-9436-B39DFB5C0C50}"/>
    <cellStyle name="Calculation 5 2" xfId="7587" xr:uid="{B54978EB-B730-4994-8608-138A306D5951}"/>
    <cellStyle name="Calculation 5 3" xfId="7588" xr:uid="{6AB78D6E-4095-4E01-8CD5-312697BB9AF1}"/>
    <cellStyle name="Calculation 5 4" xfId="7589" xr:uid="{85DACDC1-7261-4FA5-894A-91B429271DB1}"/>
    <cellStyle name="Calculation 5 5" xfId="7590" xr:uid="{CB02711A-2F4E-42EE-9AFC-1BAAA22C3059}"/>
    <cellStyle name="Calculation 5_BP - Raízen Combustíveis" xfId="7591" xr:uid="{57113566-A957-48F7-B568-718ECA94436F}"/>
    <cellStyle name="Calculation 50" xfId="7592" xr:uid="{E6E7FFB1-16D1-431F-BA2A-2F185EEBED79}"/>
    <cellStyle name="Calculation 51" xfId="7593" xr:uid="{9F1CC318-C753-4287-986A-45A7903EDCCC}"/>
    <cellStyle name="Calculation 52" xfId="7594" xr:uid="{D54A3413-D5DD-4689-AFBD-D8E47EAAB319}"/>
    <cellStyle name="Calculation 53" xfId="7595" xr:uid="{CD9D3C40-5F24-4506-BD67-ADBA6F65575F}"/>
    <cellStyle name="Calculation 54" xfId="7596" xr:uid="{E96955A1-56D3-42CB-B843-313D5A50588E}"/>
    <cellStyle name="Calculation 55" xfId="7597" xr:uid="{EBA3AADF-E8A8-4DD0-8C88-930ACBBCEE53}"/>
    <cellStyle name="Calculation 56" xfId="7598" xr:uid="{A41547DF-82CF-4E7F-9BCF-9E983757DBBC}"/>
    <cellStyle name="Calculation 57" xfId="7599" xr:uid="{4D0D486B-9125-4888-8437-5207C255C663}"/>
    <cellStyle name="Calculation 58" xfId="7600" xr:uid="{86DC532A-6F2D-434D-8DD5-77D58B83AD38}"/>
    <cellStyle name="Calculation 59" xfId="7601" xr:uid="{915729D2-DCB9-43B3-9838-3939EE0C5A8A}"/>
    <cellStyle name="Calculation 6" xfId="7602" xr:uid="{FF52AE30-A937-4F06-9B5B-90E694B6AA99}"/>
    <cellStyle name="Calculation 6 2" xfId="7603" xr:uid="{E90FB948-251C-4478-A433-D3C837AF0145}"/>
    <cellStyle name="Calculation 6 3" xfId="7604" xr:uid="{4D6B9BA0-D972-4D33-BC53-B061E249A78E}"/>
    <cellStyle name="Calculation 6 4" xfId="7605" xr:uid="{4AD15136-B089-48F5-B5D4-9D2D6A8D4975}"/>
    <cellStyle name="Calculation 6 5" xfId="7606" xr:uid="{D432B524-F690-4E9F-B17D-2CC2BE7EDAE3}"/>
    <cellStyle name="Calculation 6_BP - Raízen Combustíveis" xfId="7607" xr:uid="{D1CD533F-7F2D-4E2C-ADA5-B8C6A6A21CBA}"/>
    <cellStyle name="Calculation 60" xfId="7608" xr:uid="{ABCADEA6-477D-443A-8B06-3809540D9EFD}"/>
    <cellStyle name="Calculation 61" xfId="7609" xr:uid="{595EFC30-3A20-4A4B-9E56-58001195591C}"/>
    <cellStyle name="Calculation 62" xfId="7610" xr:uid="{F0C0DF58-302A-484C-A86E-94B2DB51DF45}"/>
    <cellStyle name="Calculation 63" xfId="7611" xr:uid="{E257A33D-07A4-4E1F-A9BB-3588821C3663}"/>
    <cellStyle name="Calculation 64" xfId="7612" xr:uid="{2A43C516-9025-485E-B086-5A9997DD428D}"/>
    <cellStyle name="Calculation 65" xfId="7613" xr:uid="{1D0C2997-265C-4586-B135-599C08C4D36B}"/>
    <cellStyle name="Calculation 66" xfId="7614" xr:uid="{109683AA-F5BB-4E45-8FFE-ED837E276D7C}"/>
    <cellStyle name="Calculation 67" xfId="7615" xr:uid="{50585466-4A7E-4ADD-B2BB-A83BE70D15A3}"/>
    <cellStyle name="Calculation 68" xfId="7616" xr:uid="{71C952B2-1533-44BC-A188-105B3656ECE4}"/>
    <cellStyle name="Calculation 69" xfId="7617" xr:uid="{22F22773-0F26-4D79-9336-60928C75B55C}"/>
    <cellStyle name="Calculation 7" xfId="7618" xr:uid="{0C986728-E8C6-45F2-B7D2-5BCCCF43400D}"/>
    <cellStyle name="Calculation 7 2" xfId="7619" xr:uid="{8BD8ECA4-07DC-4658-83AE-1C6EF972ECA4}"/>
    <cellStyle name="Calculation 7 3" xfId="7620" xr:uid="{46D594C8-B938-41CF-AF66-8B95D764047F}"/>
    <cellStyle name="Calculation 7 4" xfId="7621" xr:uid="{EC35C061-B595-4074-A1E6-11E994EB6F3F}"/>
    <cellStyle name="Calculation 7 5" xfId="7622" xr:uid="{7B5ED6C0-90EB-47C6-8DD2-3F601A6B6EB5}"/>
    <cellStyle name="Calculation 7_BP - Raízen Combustíveis" xfId="7623" xr:uid="{401E10F0-5F3A-4162-8C42-5CD9868CFF8C}"/>
    <cellStyle name="Calculation 70" xfId="7624" xr:uid="{49108B67-6C2E-4897-B8A7-52852EBC15E0}"/>
    <cellStyle name="Calculation 71" xfId="7625" xr:uid="{D4854A23-2BC1-451B-8EF6-48C029CD852B}"/>
    <cellStyle name="Calculation 72" xfId="7626" xr:uid="{1FE2F72B-B0E2-45F3-84A2-63A18AE29930}"/>
    <cellStyle name="Calculation 73" xfId="7627" xr:uid="{BAA877F9-0AF8-4365-9DBB-402F8BEE6CB8}"/>
    <cellStyle name="Calculation 74" xfId="7628" xr:uid="{5C42D60B-B568-496B-A2CB-5F3B76CFBA81}"/>
    <cellStyle name="Calculation 75" xfId="7629" xr:uid="{3C9942C2-6432-4844-AEE9-2369717F817B}"/>
    <cellStyle name="Calculation 76" xfId="7630" xr:uid="{D7D67A9B-0FE4-49DA-9FEF-92658A3D81F5}"/>
    <cellStyle name="Calculation 77" xfId="7631" xr:uid="{1E80F4E5-89D1-4A62-BDCA-FFF73AE598DF}"/>
    <cellStyle name="Calculation 78" xfId="7632" xr:uid="{2F26ABA3-33E1-4A6C-8C22-ED92FD2F468A}"/>
    <cellStyle name="Calculation 79" xfId="7633" xr:uid="{7C6BD052-C116-40CD-B1EB-93B1D5D824FD}"/>
    <cellStyle name="Calculation 8" xfId="7634" xr:uid="{DDE035BE-A418-4558-B65C-AD222A4690EB}"/>
    <cellStyle name="Calculation 8 2" xfId="7635" xr:uid="{E320727C-0FAD-4FC6-BA60-99DE45EB3920}"/>
    <cellStyle name="Calculation 8 3" xfId="7636" xr:uid="{F018C7D2-7E70-4785-8071-6809F498971A}"/>
    <cellStyle name="Calculation 8 4" xfId="7637" xr:uid="{B7E63FE0-5A9F-4BD9-87F8-CB08C268BDE7}"/>
    <cellStyle name="Calculation 8 5" xfId="7638" xr:uid="{BC4A6ED5-D014-49CD-B998-25DCA123401E}"/>
    <cellStyle name="Calculation 8_BP - Raízen Combustíveis" xfId="7639" xr:uid="{1F992AC9-B7ED-401D-98C8-746D20DA75AA}"/>
    <cellStyle name="Calculation 80" xfId="7640" xr:uid="{A31DE060-F8DC-4FEE-AD0D-73BB559089A8}"/>
    <cellStyle name="Calculation 81" xfId="7641" xr:uid="{EB25EFFF-33FA-4DA4-A9F8-01788E54CECF}"/>
    <cellStyle name="Calculation 82" xfId="7642" xr:uid="{3625FB35-46A0-4B49-A556-9763B6DFE2FD}"/>
    <cellStyle name="Calculation 83" xfId="7643" xr:uid="{C69EDA99-471B-418A-8147-9FF44733319A}"/>
    <cellStyle name="Calculation 84" xfId="7644" xr:uid="{FA7B2B7E-3D20-4877-9F62-0C718C4409EE}"/>
    <cellStyle name="Calculation 85" xfId="7645" xr:uid="{73714BE3-406C-45F8-9CE2-64509322083C}"/>
    <cellStyle name="Calculation 86" xfId="7646" xr:uid="{1805788E-3F46-4957-8F67-D630D63366F8}"/>
    <cellStyle name="Calculation 87" xfId="7647" xr:uid="{E1BB1566-CE55-4B2A-8DB8-597F70AA0595}"/>
    <cellStyle name="Calculation 88" xfId="7648" xr:uid="{7ADBF347-9E32-40FB-8789-0E7F3C475304}"/>
    <cellStyle name="Calculation 89" xfId="7649" xr:uid="{DA57C25A-77D6-40BB-9D6B-7BF97E312E07}"/>
    <cellStyle name="Calculation 9" xfId="7650" xr:uid="{04B53108-B4DA-4FC4-91AC-B683BEDABE35}"/>
    <cellStyle name="Calculation 9 2" xfId="7651" xr:uid="{673834BF-482D-4A95-9B5B-904C4932A086}"/>
    <cellStyle name="Calculation 9 3" xfId="7652" xr:uid="{D568F27B-6247-4591-B287-F71A249B1057}"/>
    <cellStyle name="Calculation 9 4" xfId="7653" xr:uid="{7A8F4EAB-9D49-4D41-8FC6-2163778B3069}"/>
    <cellStyle name="Calculation 9 5" xfId="7654" xr:uid="{E81FB7E7-2BEB-4A45-A2E1-199F919F9703}"/>
    <cellStyle name="Calculation 9_BP - Raízen Combustíveis" xfId="7655" xr:uid="{4FAE8B03-7079-4695-AA71-5966649CFC54}"/>
    <cellStyle name="Calculation 90" xfId="7656" xr:uid="{C2D89D6C-C2FA-4224-9FF9-2A8951F86B63}"/>
    <cellStyle name="Calculation 91" xfId="7657" xr:uid="{7E68431D-8BAA-4638-B07A-F31054FD4186}"/>
    <cellStyle name="Calculation 92" xfId="7658" xr:uid="{F47BE585-4C26-4142-A2F0-070DF066D14D}"/>
    <cellStyle name="Calculation 93" xfId="7659" xr:uid="{C5FBF189-58C3-4978-8F5C-4A2DC651DC88}"/>
    <cellStyle name="Calculation 94" xfId="7660" xr:uid="{13FE1496-DA52-4ADF-B47B-62AA94A66B30}"/>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2" xfId="7675" xr:uid="{A46AD620-673E-4D9C-B832-9612878F5528}"/>
    <cellStyle name="Cálculo 2 2 2" xfId="7676" xr:uid="{42F95D2E-1B30-4893-A656-1819EEFBB43B}"/>
    <cellStyle name="Cálculo 2 2 3" xfId="7677" xr:uid="{FC8A90DB-3A97-4722-9B8B-345CF1BD171B}"/>
    <cellStyle name="Cálculo 2 2 4" xfId="7678" xr:uid="{460D7E54-B791-4286-83A2-ABD774A55CB2}"/>
    <cellStyle name="Cálculo 2 2_BP - Raízen Combustíveis" xfId="7679" xr:uid="{FB694745-C104-40A4-9A9F-881DAB8F3498}"/>
    <cellStyle name="Cálculo 2 3" xfId="7680" xr:uid="{A6C71921-4D42-4C03-AF4E-F674DD4B7073}"/>
    <cellStyle name="Cálculo 2 3 2" xfId="7681" xr:uid="{D308B867-920D-4CEA-AFF2-7E4187ACFFB0}"/>
    <cellStyle name="Cálculo 2 3 3" xfId="7682" xr:uid="{0355B8BD-8BD6-4002-9FFF-A06253EF6213}"/>
    <cellStyle name="Cálculo 2 3 4" xfId="7683" xr:uid="{0A6B4D44-5418-450F-ACE9-9E10B7D88D0E}"/>
    <cellStyle name="Cálculo 2 3 5" xfId="7684" xr:uid="{F6CEB8D3-E6F0-498E-A4DC-9F0F06C07CF2}"/>
    <cellStyle name="Cálculo 2 3_BP - Raízen Combustíveis" xfId="7685" xr:uid="{1A7FB08B-0819-44E6-9671-D15613FA27C3}"/>
    <cellStyle name="Cálculo 2 4" xfId="7686" xr:uid="{FF17BD20-6CB3-4C5D-962C-927200F70349}"/>
    <cellStyle name="Cálculo 2 4 2" xfId="7687" xr:uid="{155AEE15-C6F9-46AE-BE5D-AB4313201E12}"/>
    <cellStyle name="Cálculo 2 4 3" xfId="7688" xr:uid="{83A5F8B9-B8EB-4A59-9A86-70B768A41D5C}"/>
    <cellStyle name="Cálculo 2 4 4" xfId="7689" xr:uid="{1F670CD6-F2A7-4F52-86DA-7E53D42A3C6D}"/>
    <cellStyle name="Cálculo 2 4_BP - Raízen Combustíveis" xfId="7690" xr:uid="{ED7F3424-6ADF-4FDE-99DD-9BB5AEA66387}"/>
    <cellStyle name="Cálculo 2 5" xfId="7691" xr:uid="{4C19E75C-5EE7-4064-A4D5-79E14EB0E48E}"/>
    <cellStyle name="Cálculo 2 5 2" xfId="7692" xr:uid="{88399FF0-02B6-441B-9E3C-324713E0A80C}"/>
    <cellStyle name="Cálculo 2 5 3" xfId="7693" xr:uid="{F1F0B85C-AD67-4835-AA61-F1232B824FE6}"/>
    <cellStyle name="Cálculo 2 5 4" xfId="7694" xr:uid="{C3F04F58-85BF-4B98-9322-EE0F60290FE9}"/>
    <cellStyle name="Cálculo 2 5_BP - Raízen Combustíveis" xfId="7695" xr:uid="{80A9AFAD-D37E-4E3C-9890-057CFC5DFDA9}"/>
    <cellStyle name="Cálculo 2 6" xfId="7696" xr:uid="{09C231E8-E896-4F20-98B9-2658B32E7829}"/>
    <cellStyle name="Cálculo 2 6 2" xfId="7697" xr:uid="{507F3802-9D6B-4C16-A462-E4C960EC5C90}"/>
    <cellStyle name="Cálculo 2 6_BP - Raízen Combustíveis" xfId="7698" xr:uid="{B9ED43F5-26C2-4B65-9DA8-EA31514D8091}"/>
    <cellStyle name="Cálculo 2 7" xfId="7699" xr:uid="{30E140AB-9233-4628-AE80-4DF938403B02}"/>
    <cellStyle name="Cálculo 2 7 2" xfId="7700" xr:uid="{09D234AB-3AA6-4318-87DD-3FACFE112800}"/>
    <cellStyle name="Cálculo 2 7_BP - Raízen Combustíveis" xfId="7701" xr:uid="{837B9D73-2C18-4BFF-8548-D3EC26D23D14}"/>
    <cellStyle name="Cálculo 2 8" xfId="7702" xr:uid="{7FA7ADFD-8519-400D-92DF-669705926C9E}"/>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3" xfId="7708" xr:uid="{CCD8E2BA-280A-4D07-BD84-1B1D36431444}"/>
    <cellStyle name="Cálculo 3 2 4" xfId="7709" xr:uid="{7883AE08-F3CC-451E-9AA6-365113152E66}"/>
    <cellStyle name="Cálculo 3 2_BP - Raízen Combustíveis" xfId="7710" xr:uid="{F269D45B-BC02-445C-B6D1-B8E06DFC0B54}"/>
    <cellStyle name="Cálculo 3 3" xfId="7711" xr:uid="{67220DEF-ECEB-403A-8754-BD1E808B20FE}"/>
    <cellStyle name="Cálculo 3 3 2" xfId="7712" xr:uid="{AB92CB3B-CB88-409B-840B-102E017D8D5C}"/>
    <cellStyle name="Cálculo 3 3_BP - Raízen Combustíveis" xfId="7713" xr:uid="{CDA510C7-A958-4267-9728-73CD1825000A}"/>
    <cellStyle name="Cálculo 3 4" xfId="7714" xr:uid="{10D9C2F1-5B20-4B70-BEDD-B960AB5D4887}"/>
    <cellStyle name="Cálculo 3 4 2" xfId="7715" xr:uid="{B8821F6F-8689-4D64-9AF9-6DF4C2C79564}"/>
    <cellStyle name="Cálculo 3 4_BP - Raízen Combustíveis" xfId="7716" xr:uid="{956E53E3-3F0E-4913-9B41-C6A6587A5FFB}"/>
    <cellStyle name="Cálculo 3 5" xfId="7717" xr:uid="{B9EA5F4D-C207-4618-B837-D90A44C151BD}"/>
    <cellStyle name="Cálculo 3 6" xfId="7718" xr:uid="{293BA3E0-1FAE-4100-A3CE-8B8FA0815237}"/>
    <cellStyle name="Cálculo 3 7" xfId="7719" xr:uid="{8032AEB8-4A68-4372-8C9D-AF63FC695632}"/>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3" xfId="7724" xr:uid="{0D2F7E31-3DB8-4D0E-9C30-9E04B638A048}"/>
    <cellStyle name="Cálculo 4 2 4" xfId="7725" xr:uid="{043255D0-CC14-4DC3-92CB-89D88CF398A0}"/>
    <cellStyle name="Cálculo 4 2_BP - Raízen Combustíveis" xfId="7726" xr:uid="{3339DA6A-F249-43C2-A749-C53E342085C3}"/>
    <cellStyle name="Cálculo 4 3" xfId="7727" xr:uid="{05E6CE06-7498-4DAC-8BE5-9ED6D4713BE4}"/>
    <cellStyle name="Cálculo 4 3 2" xfId="7728" xr:uid="{6FAAFD34-DAE9-4155-8E47-CB2DC441BEE6}"/>
    <cellStyle name="Cálculo 4 3_BP - Raízen Combustíveis" xfId="7729" xr:uid="{E94E74F0-8212-47CC-A75B-90996B22919A}"/>
    <cellStyle name="Cálculo 4 4" xfId="7730" xr:uid="{FFA2FBF2-B06B-4576-979B-AE3DFBACD0E4}"/>
    <cellStyle name="Cálculo 4 4 2" xfId="7731" xr:uid="{12559DE3-2543-4073-9D20-7EF5B6115656}"/>
    <cellStyle name="Cálculo 4 4_BP - Raízen Combustíveis" xfId="7732" xr:uid="{00F6E8C0-D3C0-4BB9-A885-9ECCE70346CF}"/>
    <cellStyle name="Cálculo 4 5" xfId="7733" xr:uid="{58D8CDD3-0256-440F-929D-4B7197686AEE}"/>
    <cellStyle name="Cálculo 4 6" xfId="7734" xr:uid="{C017A283-5C5D-4F9E-9101-84BE748F2A51}"/>
    <cellStyle name="Cálculo 4 7" xfId="7735" xr:uid="{05AF5BDC-F46C-477F-A1D7-9F16593D9E9E}"/>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3" xfId="7740" xr:uid="{CE4977BF-9BF1-4B55-912A-8C4A33F86D82}"/>
    <cellStyle name="Cálculo 5 2 4" xfId="7741" xr:uid="{EB615FC3-BE38-4324-B3CF-4D5264102525}"/>
    <cellStyle name="Cálculo 5 2_BP - Raízen Combustíveis" xfId="7742" xr:uid="{E29EB09F-9E4C-4D10-B393-34FAD7D1755A}"/>
    <cellStyle name="Cálculo 5 3" xfId="7743" xr:uid="{5BF0C958-719A-4304-A911-6E93D8DFBF02}"/>
    <cellStyle name="Cálculo 5 3 2" xfId="7744" xr:uid="{26EDBE65-AB54-4974-B756-201EC60ACAA3}"/>
    <cellStyle name="Cálculo 5 3_BP - Raízen Combustíveis" xfId="7745" xr:uid="{E48BFD42-E670-4870-ABA7-B70F6C4D666A}"/>
    <cellStyle name="Cálculo 5 4" xfId="7746" xr:uid="{EC4237F2-DF28-42DF-A7A0-34F4763B1A0C}"/>
    <cellStyle name="Cálculo 5 4 2" xfId="7747" xr:uid="{6804A1B8-F5E2-4D99-8BA5-3A0946B1BB7B}"/>
    <cellStyle name="Cálculo 5 4_BP - Raízen Combustíveis" xfId="7748" xr:uid="{4EDFDC6E-F5BC-4670-996E-9A73650101F1}"/>
    <cellStyle name="Cálculo 5 5" xfId="7749" xr:uid="{EC122D18-9564-4608-8814-2CDCB3269191}"/>
    <cellStyle name="Cálculo 5 6" xfId="7750" xr:uid="{DC27554E-B9C7-4B48-97C6-41227AF3E1F3}"/>
    <cellStyle name="Cálculo 5 7" xfId="7751" xr:uid="{53F7D6A5-E271-4DE0-81E0-72E823AF0F4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3" xfId="7756" xr:uid="{EDDDB723-3415-4591-AE43-E157DEEBBE60}"/>
    <cellStyle name="Cálculo 6 2 4" xfId="7757" xr:uid="{2568AF34-F02C-4C5C-92C5-2D87A673A2EC}"/>
    <cellStyle name="Cálculo 6 2_BP - Raízen Combustíveis" xfId="7758" xr:uid="{A8C45E02-F972-4DE3-9C2A-1CE469E7A18C}"/>
    <cellStyle name="Cálculo 6 3" xfId="7759" xr:uid="{9401DEED-9E5E-49A7-9336-0E33556297D2}"/>
    <cellStyle name="Cálculo 6 3 2" xfId="7760" xr:uid="{3C7B2090-D545-4287-9667-EF5037630E83}"/>
    <cellStyle name="Cálculo 6 3_BP - Raízen Combustíveis" xfId="7761" xr:uid="{FAFC5279-B338-4EAD-AA0A-10B185F670F6}"/>
    <cellStyle name="Cálculo 6 4" xfId="7762" xr:uid="{8D037326-9AA4-4953-8E0D-77C58608E83D}"/>
    <cellStyle name="Cálculo 6 4 2" xfId="7763" xr:uid="{18972362-AA3C-4E53-AC79-1B6DD018741D}"/>
    <cellStyle name="Cálculo 6 4_BP - Raízen Combustíveis" xfId="7764" xr:uid="{C28B5740-1EB4-40B3-A10B-78A6CA61D3F9}"/>
    <cellStyle name="Cálculo 6 5" xfId="7765" xr:uid="{64B6BD44-2608-4A27-BA55-3A936EF4C608}"/>
    <cellStyle name="Cálculo 6 6" xfId="7766" xr:uid="{36F690D1-5157-4651-B5DA-FAEC434694CB}"/>
    <cellStyle name="Cálculo 6 7" xfId="7767" xr:uid="{F66F9149-4FFC-48E1-A049-674619BF0B79}"/>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_BP - Raízen Combustíveis" xfId="7776" xr:uid="{55321760-29E7-4453-9963-1C82FDD94019}"/>
    <cellStyle name="Cálculo 7 3" xfId="7777" xr:uid="{EC8824E0-6449-4202-A02C-C77508D19860}"/>
    <cellStyle name="Cálculo 7 3 2" xfId="7778" xr:uid="{F075D4A2-B05A-4058-9753-9069C7C73D55}"/>
    <cellStyle name="Cálculo 7 3_BP - Raízen Combustíveis" xfId="7779" xr:uid="{DC97C0DA-1A40-4CBA-8AFE-B2D90510D530}"/>
    <cellStyle name="Cálculo 7 4" xfId="7780" xr:uid="{BF65C6F4-F774-4C6F-93FB-5FD7B3EAEAB5}"/>
    <cellStyle name="Cálculo 7 4 2" xfId="7781" xr:uid="{0C3B276F-B028-4DCC-8773-E69411F2161A}"/>
    <cellStyle name="Cálculo 7 5" xfId="7782" xr:uid="{B5CA41B3-9E80-4BC7-BF97-63E8757758A3}"/>
    <cellStyle name="Cálculo 7 6" xfId="7783" xr:uid="{3CE383FE-114F-4EB3-BC66-6EB02216A530}"/>
    <cellStyle name="Cálculo 7 7" xfId="7784" xr:uid="{D26B99C5-CC77-42B1-B99D-257C024F8AE0}"/>
    <cellStyle name="Cálculo 7_13-Endividamento" xfId="7785" xr:uid="{ED5C1D87-77F2-4499-8EA1-3659C0ABB568}"/>
    <cellStyle name="Cálculo 8" xfId="7786" xr:uid="{219E9C44-2DF4-430F-929C-54291C80266D}"/>
    <cellStyle name="Cálculo 8 2" xfId="7787" xr:uid="{1C5B5E2F-E566-480D-A5F6-468927B3347E}"/>
    <cellStyle name="Cálculo 8 3" xfId="7788" xr:uid="{28AF830F-1D9D-4E3A-BC5D-9D24509B3788}"/>
    <cellStyle name="Cálculo 8 4" xfId="7789" xr:uid="{6F98E67D-8F47-468D-A9FA-E4FC48F4B65A}"/>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9" xfId="31959" xr:uid="{1F3EF741-098F-4395-B5A9-5F23FB58EB6C}"/>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5" xfId="31958" xr:uid="{86DE1039-B66F-4D33-97A0-0EC790F82C92}"/>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xfId="1" builtinId="4"/>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9" xfId="31957" xr:uid="{E0CF6733-9EEE-4572-8446-8C9E914FF94B}"/>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1" xfId="31956" xr:uid="{0D003180-EF29-4069-93D9-04BFD3506FC9}"/>
    <cellStyle name="Currency 13" xfId="10111" xr:uid="{CAE76BB2-9CFD-4AC9-9A2B-93209FA44CDA}"/>
    <cellStyle name="Currency 13 2" xfId="10112" xr:uid="{EC9EA888-163E-4644-B088-1CFBFDA41F3F}"/>
    <cellStyle name="Currency 13_BP - Raízen Combustíveis" xfId="10113" xr:uid="{049BBEF9-9D31-434A-BD93-B2999469A345}"/>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xfId="10" builtinId="5"/>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72 2" xfId="17" xr:uid="{F1F16209-A401-4C36-BE67-161CB527EC72}"/>
    <cellStyle name="Separador de milhares 2 74" xfId="13" xr:uid="{2B72E019-F617-49A8-A7DC-C1DDA637CF55}"/>
    <cellStyle name="Separador de milhares 3" xfId="31960" xr:uid="{ADFAEE6C-E9DB-404A-A82A-BDD37783B902}"/>
    <cellStyle name="Separador de milhares 3 2 2 2" xfId="31961" xr:uid="{8AA87E68-C947-46B8-8AB6-08756F15533D}"/>
    <cellStyle name="Vírgula" xfId="9" xr:uid="{F2496D4E-6D89-402C-B3B2-CE1D83F33DDD}"/>
    <cellStyle name="Vírgula 5" xfId="14" xr:uid="{45357098-201D-47A4-AD40-A945D8770E1B}"/>
  </cellStyles>
  <dxfs count="0"/>
  <tableStyles count="0" defaultTableStyle="TableStyleMedium2" defaultPivotStyle="PivotStyleLight16"/>
  <colors>
    <mruColors>
      <color rgb="FF808080"/>
      <color rgb="FFD7E8D2"/>
      <color rgb="FF000349"/>
      <color rgb="FF0A9CA6"/>
      <color rgb="FF84CF1F"/>
      <color rgb="FFA19E8F"/>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84CF1F"/>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0A9CA6"/>
              </a:solidFill>
            </cx:spPr>
          </cx:dataPt>
          <cx:dataPt idx="10">
            <cx:spPr>
              <a:solidFill>
                <a:srgbClr val="808080"/>
              </a:solidFill>
            </cx:spPr>
          </cx:dataPt>
          <cx:dataPt idx="11">
            <cx:spPr>
              <a:solidFill>
                <a:srgbClr val="E7E6E6">
                  <a:lumMod val="75000"/>
                </a:srgbClr>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7.95</a:t>
                  </a:r>
                </a:p>
              </cx:txPr>
              <cx:visibility seriesName="0" categoryName="0" value="1"/>
              <cx:separator>, </cx:separator>
            </cx:dataLabel>
            <cx:dataLabel idx="11" pos="ctr">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subtotals>
              <cx:idx val="10"/>
              <cx:idx val="11"/>
            </cx:subtotals>
          </cx:layoutPr>
        </cx:series>
      </cx:plotAreaRegion>
      <cx:axis id="0">
        <cx:catScaling gapWidth="0.5"/>
        <cx:tickLabels/>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BRL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BRL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xdr:colOff>
      <xdr:row>7</xdr:row>
      <xdr:rowOff>156210</xdr:rowOff>
    </xdr:to>
    <xdr:pic>
      <xdr:nvPicPr>
        <xdr:cNvPr id="4" name="Imagem 1723593063">
          <a:extLst>
            <a:ext uri="{FF2B5EF4-FFF2-40B4-BE49-F238E27FC236}">
              <a16:creationId xmlns:a16="http://schemas.microsoft.com/office/drawing/2014/main" id="{A31DCB37-8B0B-821B-73FB-DBB68B31EF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6960" cy="1493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179294</xdr:colOff>
      <xdr:row>0</xdr:row>
      <xdr:rowOff>179295</xdr:rowOff>
    </xdr:from>
    <xdr:to>
      <xdr:col>1</xdr:col>
      <xdr:colOff>1684429</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179294" y="179295"/>
          <a:ext cx="2117723" cy="607550"/>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25457</xdr:rowOff>
    </xdr:from>
    <xdr:to>
      <xdr:col>28</xdr:col>
      <xdr:colOff>381000</xdr:colOff>
      <xdr:row>40</xdr:row>
      <xdr:rowOff>150282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3041" y="1378007"/>
              <a:ext cx="12494559" cy="6189075"/>
            </a:xfrm>
            <a:prstGeom prst="rect">
              <a:avLst/>
            </a:prstGeom>
            <a:solidFill>
              <a:prstClr val="white"/>
            </a:solidFill>
            <a:ln w="1">
              <a:solidFill>
                <a:prstClr val="green"/>
              </a:solidFill>
            </a:ln>
          </xdr:spPr>
          <xdr:txBody>
            <a:bodyPr vertOverflow="clip" horzOverflow="clip"/>
            <a:lstStyle/>
            <a:p>
              <a:r>
                <a:rPr lang="pt-B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140073</xdr:colOff>
      <xdr:row>0</xdr:row>
      <xdr:rowOff>129988</xdr:rowOff>
    </xdr:from>
    <xdr:to>
      <xdr:col>2</xdr:col>
      <xdr:colOff>1865964</xdr:colOff>
      <xdr:row>3</xdr:row>
      <xdr:rowOff>180979</xdr:rowOff>
    </xdr:to>
    <xdr:grpSp>
      <xdr:nvGrpSpPr>
        <xdr:cNvPr id="7" name="Agrupar 3">
          <a:extLst>
            <a:ext uri="{FF2B5EF4-FFF2-40B4-BE49-F238E27FC236}">
              <a16:creationId xmlns:a16="http://schemas.microsoft.com/office/drawing/2014/main" id="{7D8093EC-1634-413A-A164-1C02E9827966}"/>
            </a:ext>
          </a:extLst>
        </xdr:cNvPr>
        <xdr:cNvGrpSpPr/>
      </xdr:nvGrpSpPr>
      <xdr:grpSpPr>
        <a:xfrm>
          <a:off x="140073" y="129988"/>
          <a:ext cx="2106891" cy="607837"/>
          <a:chOff x="4877250" y="2038709"/>
          <a:chExt cx="7062819" cy="2227240"/>
        </a:xfrm>
      </xdr:grpSpPr>
      <xdr:sp macro="" textlink="">
        <xdr:nvSpPr>
          <xdr:cNvPr id="8" name="Forma Livre: Forma 4">
            <a:extLst>
              <a:ext uri="{FF2B5EF4-FFF2-40B4-BE49-F238E27FC236}">
                <a16:creationId xmlns:a16="http://schemas.microsoft.com/office/drawing/2014/main" id="{DD3C29B6-18D9-6B3B-98DE-2B3B99F6D53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6ED9791B-2324-99E5-06AA-7A0FD9B792E2}"/>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7D2A2880-C99E-780F-3D26-477CA7995CEF}"/>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8FBF7625-9DA2-E641-A1EC-C17EA9220037}"/>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78441</xdr:colOff>
      <xdr:row>0</xdr:row>
      <xdr:rowOff>179294</xdr:rowOff>
    </xdr:from>
    <xdr:to>
      <xdr:col>1</xdr:col>
      <xdr:colOff>1122361</xdr:colOff>
      <xdr:row>4</xdr:row>
      <xdr:rowOff>39785</xdr:rowOff>
    </xdr:to>
    <xdr:grpSp>
      <xdr:nvGrpSpPr>
        <xdr:cNvPr id="2" name="Agrupar 3">
          <a:extLst>
            <a:ext uri="{FF2B5EF4-FFF2-40B4-BE49-F238E27FC236}">
              <a16:creationId xmlns:a16="http://schemas.microsoft.com/office/drawing/2014/main" id="{8CF9CCA8-B4E5-4247-A16E-290C3110035B}"/>
            </a:ext>
          </a:extLst>
        </xdr:cNvPr>
        <xdr:cNvGrpSpPr/>
      </xdr:nvGrpSpPr>
      <xdr:grpSpPr>
        <a:xfrm>
          <a:off x="338311" y="179294"/>
          <a:ext cx="2087840" cy="586205"/>
          <a:chOff x="4877250" y="2038709"/>
          <a:chExt cx="7062819" cy="2227240"/>
        </a:xfrm>
      </xdr:grpSpPr>
      <xdr:sp macro="" textlink="">
        <xdr:nvSpPr>
          <xdr:cNvPr id="3" name="Forma Livre: Forma 4">
            <a:extLst>
              <a:ext uri="{FF2B5EF4-FFF2-40B4-BE49-F238E27FC236}">
                <a16:creationId xmlns:a16="http://schemas.microsoft.com/office/drawing/2014/main" id="{D93F4E6A-A782-C044-C208-BB07823A9C4D}"/>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orma Livre: Forma 5">
            <a:extLst>
              <a:ext uri="{FF2B5EF4-FFF2-40B4-BE49-F238E27FC236}">
                <a16:creationId xmlns:a16="http://schemas.microsoft.com/office/drawing/2014/main" id="{54E29789-3DCA-8DB1-B66A-8B9DF27861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6">
            <a:extLst>
              <a:ext uri="{FF2B5EF4-FFF2-40B4-BE49-F238E27FC236}">
                <a16:creationId xmlns:a16="http://schemas.microsoft.com/office/drawing/2014/main" id="{CD0916B3-63B9-D4FC-6881-5946466E9EBA}"/>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7">
            <a:extLst>
              <a:ext uri="{FF2B5EF4-FFF2-40B4-BE49-F238E27FC236}">
                <a16:creationId xmlns:a16="http://schemas.microsoft.com/office/drawing/2014/main" id="{BF06A578-9D1C-FA68-14B3-05CEC0F14F7D}"/>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Market Capitaliza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Market Capitalizatio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vale.com/pt/comunicados-resultados-apresentacoes-e-relatorios" TargetMode="External"/><Relationship Id="rId7" Type="http://schemas.openxmlformats.org/officeDocument/2006/relationships/hyperlink" Target="https://www.vale.com/en/announcements-results-presentations-and-reports" TargetMode="External"/><Relationship Id="rId2" Type="http://schemas.openxmlformats.org/officeDocument/2006/relationships/hyperlink" Target="https://ri.rumolog.com/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api.mziq.com/mzfilemanager/v2/d/6aa68515-2422-4cc4-bafa-8870ccdfedb0/bc04a6de-cfd6-5ddc-b583-3de734fa2ca2?origin=2" TargetMode="External"/><Relationship Id="rId5" Type="http://schemas.openxmlformats.org/officeDocument/2006/relationships/hyperlink" Target="https://www.compassbr.com/divulgacao-de-resultados/central-de-resultados/" TargetMode="External"/><Relationship Id="rId4" Type="http://schemas.openxmlformats.org/officeDocument/2006/relationships/hyperlink" Target="https://www.compassbr.com/divulgacao-de-resultados/central-de-resultados/"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3EB-5B9C-4C44-9864-E8921A81D59C}">
  <dimension ref="A8:A18"/>
  <sheetViews>
    <sheetView showGridLines="0" zoomScale="85" zoomScaleNormal="85" workbookViewId="0"/>
  </sheetViews>
  <sheetFormatPr defaultRowHeight="14.5"/>
  <cols>
    <col min="1" max="1" width="149.26953125" customWidth="1"/>
  </cols>
  <sheetData>
    <row r="8" spans="1:1">
      <c r="A8" s="39"/>
    </row>
    <row r="9" spans="1:1">
      <c r="A9" s="53" t="s">
        <v>30</v>
      </c>
    </row>
    <row r="10" spans="1:1" ht="29">
      <c r="A10" s="38" t="s">
        <v>36</v>
      </c>
    </row>
    <row r="11" spans="1:1">
      <c r="A11" s="38"/>
    </row>
    <row r="12" spans="1:1" ht="43.5">
      <c r="A12" s="38" t="s">
        <v>32</v>
      </c>
    </row>
    <row r="13" spans="1:1">
      <c r="A13" s="38"/>
    </row>
    <row r="14" spans="1:1" ht="58">
      <c r="A14" s="38" t="s">
        <v>33</v>
      </c>
    </row>
    <row r="15" spans="1:1">
      <c r="A15" s="38"/>
    </row>
    <row r="16" spans="1:1" ht="29">
      <c r="A16" s="38" t="s">
        <v>34</v>
      </c>
    </row>
    <row r="17" spans="1:1">
      <c r="A17" s="38"/>
    </row>
    <row r="18" spans="1:1" ht="31.5" customHeight="1">
      <c r="A18" s="38" t="s">
        <v>35</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topLeftCell="C1" zoomScale="85" zoomScaleNormal="85" workbookViewId="0">
      <pane ySplit="7" topLeftCell="A13" activePane="bottomLeft" state="frozen"/>
      <selection pane="bottomLeft" activeCell="O23" sqref="O18:O23"/>
    </sheetView>
  </sheetViews>
  <sheetFormatPr defaultColWidth="0" defaultRowHeight="14.5" zeroHeight="1"/>
  <cols>
    <col min="1" max="1" width="8.7265625" customWidth="1"/>
    <col min="2" max="2" width="119.7265625" customWidth="1"/>
    <col min="3" max="3" width="8.7265625" customWidth="1"/>
    <col min="4" max="4" width="32.54296875" bestFit="1" customWidth="1"/>
    <col min="5" max="5" width="18.54296875" customWidth="1"/>
    <col min="6" max="6" width="18.54296875" bestFit="1" customWidth="1"/>
    <col min="7" max="7" width="15.26953125" customWidth="1"/>
    <col min="8" max="11" width="15.7265625" customWidth="1"/>
    <col min="12" max="12" width="20.54296875" bestFit="1" customWidth="1"/>
    <col min="13" max="13" width="24.1796875" bestFit="1" customWidth="1"/>
    <col min="14" max="17" width="15.7265625" customWidth="1"/>
    <col min="18" max="18" width="8.7265625" customWidth="1"/>
    <col min="19" max="21" width="8.7265625" hidden="1" customWidth="1"/>
    <col min="22" max="28" width="0" hidden="1" customWidth="1"/>
    <col min="29" max="16384" width="8.7265625" hidden="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40"/>
      <c r="B6" s="40" t="s">
        <v>38</v>
      </c>
      <c r="C6" s="40"/>
      <c r="D6" s="40"/>
      <c r="E6" s="40"/>
      <c r="F6" s="40"/>
      <c r="G6" s="40"/>
      <c r="H6" s="40"/>
      <c r="I6" s="40"/>
      <c r="J6" s="40"/>
      <c r="K6" s="40"/>
      <c r="L6" s="40"/>
      <c r="M6" s="40"/>
      <c r="N6" s="40"/>
      <c r="O6" s="40"/>
      <c r="P6" s="40"/>
      <c r="Q6" s="40"/>
      <c r="R6"/>
    </row>
    <row r="7" spans="1:18" s="2" customFormat="1" collapsed="1">
      <c r="A7" s="41"/>
      <c r="B7" s="41"/>
      <c r="C7" s="41"/>
      <c r="D7" s="41"/>
      <c r="E7" s="41"/>
      <c r="F7" s="41"/>
      <c r="G7" s="41"/>
      <c r="H7" s="41"/>
      <c r="I7" s="41"/>
      <c r="J7" s="41"/>
      <c r="K7" s="41"/>
      <c r="L7" s="41"/>
      <c r="M7" s="41"/>
      <c r="N7" s="41"/>
      <c r="O7" s="41"/>
      <c r="P7" s="41"/>
      <c r="Q7" s="41"/>
    </row>
    <row r="8" spans="1:18"/>
    <row r="9" spans="1:18">
      <c r="B9" s="42" t="s">
        <v>37</v>
      </c>
      <c r="D9" s="42" t="s">
        <v>12</v>
      </c>
      <c r="E9" s="42"/>
      <c r="F9" s="42"/>
      <c r="G9" s="42"/>
      <c r="H9" s="42"/>
      <c r="I9" s="42"/>
      <c r="J9" s="42"/>
      <c r="K9" s="42"/>
      <c r="L9" s="42"/>
      <c r="M9" s="42"/>
      <c r="N9" s="42"/>
      <c r="O9" s="42"/>
      <c r="P9" s="42"/>
      <c r="Q9" s="42"/>
    </row>
    <row r="10" spans="1:18"/>
    <row r="11" spans="1:18">
      <c r="B11" s="14" t="s">
        <v>39</v>
      </c>
      <c r="D11" s="19" t="s">
        <v>62</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40</v>
      </c>
      <c r="D13" s="69" t="s">
        <v>63</v>
      </c>
      <c r="E13" s="69"/>
      <c r="F13" s="69"/>
      <c r="G13" s="69"/>
      <c r="H13" s="69"/>
      <c r="I13" s="69"/>
      <c r="J13" s="69"/>
      <c r="K13" s="69"/>
      <c r="L13" s="69"/>
      <c r="M13" s="69"/>
      <c r="N13" s="69"/>
      <c r="O13" s="69"/>
      <c r="P13" s="69"/>
      <c r="Q13" s="69"/>
    </row>
    <row r="14" spans="1:18">
      <c r="B14" s="7"/>
    </row>
    <row r="15" spans="1:18">
      <c r="B15" s="14" t="s">
        <v>41</v>
      </c>
      <c r="D15" s="19" t="s">
        <v>67</v>
      </c>
      <c r="E15" s="58">
        <v>45841</v>
      </c>
      <c r="G15" s="19" t="s">
        <v>134</v>
      </c>
      <c r="H15" s="65" t="s">
        <v>155</v>
      </c>
      <c r="I15" s="66"/>
      <c r="J15" s="66"/>
    </row>
    <row r="16" spans="1:18">
      <c r="B16" s="7"/>
    </row>
    <row r="17" spans="2:16" ht="52">
      <c r="B17" s="15" t="s">
        <v>42</v>
      </c>
      <c r="D17" s="12" t="s">
        <v>45</v>
      </c>
      <c r="E17" s="12" t="s">
        <v>60</v>
      </c>
      <c r="F17" s="12" t="s">
        <v>111</v>
      </c>
      <c r="G17" s="12" t="s">
        <v>142</v>
      </c>
      <c r="H17" s="12" t="s">
        <v>150</v>
      </c>
      <c r="I17" s="12" t="s">
        <v>61</v>
      </c>
      <c r="J17" s="12" t="s">
        <v>112</v>
      </c>
      <c r="K17" s="12" t="s">
        <v>113</v>
      </c>
      <c r="L17" s="12" t="s">
        <v>114</v>
      </c>
      <c r="M17" s="12" t="s">
        <v>115</v>
      </c>
      <c r="N17" s="12" t="s">
        <v>116</v>
      </c>
      <c r="O17" s="12" t="s">
        <v>144</v>
      </c>
      <c r="P17" s="12" t="s">
        <v>117</v>
      </c>
    </row>
    <row r="18" spans="2:16" ht="45" customHeight="1">
      <c r="B18" s="15" t="s">
        <v>43</v>
      </c>
      <c r="D18" s="17" t="s">
        <v>13</v>
      </c>
      <c r="E18" s="67">
        <v>0</v>
      </c>
      <c r="F18" s="16" t="s">
        <v>10</v>
      </c>
      <c r="G18" s="63">
        <v>10334245810</v>
      </c>
      <c r="H18" s="28">
        <v>4568146490</v>
      </c>
      <c r="I18" s="59">
        <v>0.44101884170297279</v>
      </c>
      <c r="J18" s="64">
        <v>1.74</v>
      </c>
      <c r="K18" s="21">
        <v>3.9</v>
      </c>
      <c r="L18" s="28">
        <v>12742900000</v>
      </c>
      <c r="M18" s="28" t="s">
        <v>10</v>
      </c>
      <c r="N18" s="28">
        <v>38592190046.639999</v>
      </c>
      <c r="O18" s="28">
        <v>23864556000</v>
      </c>
      <c r="P18" s="35" t="s">
        <v>10</v>
      </c>
    </row>
    <row r="19" spans="2:16" ht="45" customHeight="1">
      <c r="B19" s="15" t="s">
        <v>44</v>
      </c>
      <c r="D19" s="17" t="s">
        <v>1</v>
      </c>
      <c r="E19" s="67">
        <v>0</v>
      </c>
      <c r="F19" s="16" t="s">
        <v>10</v>
      </c>
      <c r="G19" s="63">
        <v>1850707227</v>
      </c>
      <c r="H19" s="28">
        <v>562529490</v>
      </c>
      <c r="I19" s="59">
        <v>0.30395379765813169</v>
      </c>
      <c r="J19" s="64">
        <v>17.84</v>
      </c>
      <c r="K19" s="21">
        <v>26.83</v>
      </c>
      <c r="L19" s="28">
        <v>7712892280.1800003</v>
      </c>
      <c r="M19" s="28">
        <v>8400000000</v>
      </c>
      <c r="N19" s="28">
        <v>11119030633.049999</v>
      </c>
      <c r="O19" s="28">
        <v>4477643000</v>
      </c>
      <c r="P19" s="35" t="s">
        <v>10</v>
      </c>
    </row>
    <row r="20" spans="2:16" ht="45" customHeight="1">
      <c r="B20" s="15" t="s">
        <v>46</v>
      </c>
      <c r="D20" s="17" t="s">
        <v>2</v>
      </c>
      <c r="E20" s="67">
        <v>0</v>
      </c>
      <c r="F20" s="16" t="s">
        <v>10</v>
      </c>
      <c r="G20" s="63">
        <v>4268720013</v>
      </c>
      <c r="H20" s="63">
        <v>177342515</v>
      </c>
      <c r="I20" s="59">
        <v>4.1538457740015501E-2</v>
      </c>
      <c r="J20" s="64">
        <v>57.02</v>
      </c>
      <c r="K20" s="21">
        <v>74.11</v>
      </c>
      <c r="L20" s="28">
        <v>91562800000</v>
      </c>
      <c r="M20" s="35" t="s">
        <v>10</v>
      </c>
      <c r="N20" s="28">
        <v>101595220000</v>
      </c>
      <c r="O20" s="28" t="s">
        <v>10</v>
      </c>
      <c r="P20" s="35" t="s">
        <v>10</v>
      </c>
    </row>
    <row r="21" spans="2:16" ht="45" customHeight="1">
      <c r="B21" s="60" t="s">
        <v>47</v>
      </c>
      <c r="D21" s="17" t="s">
        <v>3</v>
      </c>
      <c r="E21" s="67">
        <v>0</v>
      </c>
      <c r="F21" s="67">
        <v>0</v>
      </c>
      <c r="G21" s="35" t="s">
        <v>10</v>
      </c>
      <c r="H21" s="35" t="s">
        <v>10</v>
      </c>
      <c r="I21" s="59">
        <v>0.88</v>
      </c>
      <c r="J21" s="35" t="s">
        <v>10</v>
      </c>
      <c r="K21" s="35" t="s">
        <v>10</v>
      </c>
      <c r="L21" s="28">
        <v>4789868843.7299995</v>
      </c>
      <c r="M21" s="28">
        <v>4750000000</v>
      </c>
      <c r="N21" s="28">
        <v>8142089052.8500004</v>
      </c>
      <c r="O21" s="28">
        <v>4091601000</v>
      </c>
      <c r="P21" s="35" t="s">
        <v>10</v>
      </c>
    </row>
    <row r="22" spans="2:16" ht="26.25" customHeight="1">
      <c r="D22" s="17" t="s">
        <v>8</v>
      </c>
      <c r="E22" s="67">
        <v>0</v>
      </c>
      <c r="F22" s="67">
        <v>0</v>
      </c>
      <c r="G22" s="35" t="s">
        <v>10</v>
      </c>
      <c r="H22" s="35" t="s">
        <v>10</v>
      </c>
      <c r="I22" s="59">
        <v>0.7</v>
      </c>
      <c r="J22" s="35" t="s">
        <v>10</v>
      </c>
      <c r="K22" s="35" t="s">
        <v>10</v>
      </c>
      <c r="L22" s="28">
        <v>1385513595.3599999</v>
      </c>
      <c r="M22" s="35" t="s">
        <v>10</v>
      </c>
      <c r="N22" s="28">
        <v>2407158014.6799998</v>
      </c>
      <c r="O22" s="28">
        <v>1326385000</v>
      </c>
      <c r="P22" s="35" t="s">
        <v>10</v>
      </c>
    </row>
    <row r="23" spans="2:16" ht="26.25" customHeight="1">
      <c r="D23" s="17" t="s">
        <v>130</v>
      </c>
      <c r="E23" s="16" t="s">
        <v>10</v>
      </c>
      <c r="F23" s="67">
        <v>0</v>
      </c>
      <c r="G23" s="35" t="s">
        <v>10</v>
      </c>
      <c r="H23" s="35" t="s">
        <v>10</v>
      </c>
      <c r="I23" s="59">
        <v>0.3</v>
      </c>
      <c r="J23" s="35" t="s">
        <v>10</v>
      </c>
      <c r="K23" s="35" t="s">
        <v>10</v>
      </c>
      <c r="L23" s="28">
        <v>1908554355.4100001</v>
      </c>
      <c r="M23" s="35" t="s">
        <v>10</v>
      </c>
      <c r="N23" s="28">
        <v>-284307830.02999997</v>
      </c>
      <c r="O23" s="28">
        <v>5311909000</v>
      </c>
      <c r="P23" s="28">
        <v>-402800000</v>
      </c>
    </row>
    <row r="24" spans="2:16" ht="40.5" customHeight="1">
      <c r="B24" s="14" t="s">
        <v>48</v>
      </c>
    </row>
    <row r="25" spans="2:16" ht="40.5" customHeight="1">
      <c r="B25" s="54" t="s">
        <v>151</v>
      </c>
      <c r="D25" s="12" t="s">
        <v>58</v>
      </c>
      <c r="E25" s="12" t="s">
        <v>59</v>
      </c>
      <c r="F25" s="12" t="s">
        <v>118</v>
      </c>
      <c r="G25" s="12" t="s">
        <v>119</v>
      </c>
      <c r="H25" s="12" t="s">
        <v>113</v>
      </c>
      <c r="I25" s="12" t="s">
        <v>120</v>
      </c>
      <c r="J25" s="12" t="s">
        <v>145</v>
      </c>
      <c r="K25" s="12" t="s">
        <v>112</v>
      </c>
      <c r="L25" s="12" t="s">
        <v>146</v>
      </c>
      <c r="M25" s="12" t="s">
        <v>135</v>
      </c>
    </row>
    <row r="26" spans="2:16" ht="40.5" customHeight="1">
      <c r="B26" s="55" t="s">
        <v>49</v>
      </c>
      <c r="D26" s="17" t="s">
        <v>14</v>
      </c>
      <c r="E26" s="25">
        <v>10</v>
      </c>
      <c r="F26" s="21">
        <v>0.37078717277999995</v>
      </c>
      <c r="G26" s="21">
        <v>23.462099760329998</v>
      </c>
      <c r="H26" s="21">
        <v>14.1</v>
      </c>
      <c r="I26" s="13">
        <v>370787172.77999997</v>
      </c>
      <c r="J26" s="13">
        <v>23462099760.330002</v>
      </c>
      <c r="K26" s="64">
        <v>8.16</v>
      </c>
      <c r="L26" s="63">
        <v>1858644618</v>
      </c>
      <c r="M26" s="63">
        <v>1027932000</v>
      </c>
    </row>
    <row r="27" spans="2:16" ht="40.5" customHeight="1">
      <c r="B27" s="55" t="s">
        <v>50</v>
      </c>
    </row>
    <row r="28" spans="2:16" ht="40.5" customHeight="1">
      <c r="B28" s="55" t="s">
        <v>51</v>
      </c>
      <c r="D28" s="12" t="s">
        <v>143</v>
      </c>
    </row>
    <row r="29" spans="2:16" ht="40.5" customHeight="1">
      <c r="B29" s="15" t="s">
        <v>109</v>
      </c>
      <c r="D29" s="21">
        <v>8.5410000000000004</v>
      </c>
      <c r="E29" s="16"/>
      <c r="F29" s="29"/>
      <c r="G29" s="29"/>
      <c r="H29" s="29"/>
    </row>
    <row r="30" spans="2:16" ht="40.5" customHeight="1">
      <c r="B30" s="15" t="s">
        <v>110</v>
      </c>
    </row>
    <row r="31" spans="2:16" ht="40.5" customHeight="1">
      <c r="B31" s="15" t="s">
        <v>52</v>
      </c>
    </row>
    <row r="32" spans="2:16" ht="40.5" customHeight="1">
      <c r="B32" s="15" t="s">
        <v>53</v>
      </c>
      <c r="F32" s="13"/>
    </row>
    <row r="33" spans="2:17" ht="40.5" customHeight="1">
      <c r="B33" s="15" t="s">
        <v>54</v>
      </c>
      <c r="F33" s="13"/>
    </row>
    <row r="34" spans="2:17" ht="40.5" customHeight="1">
      <c r="B34" s="15" t="s">
        <v>55</v>
      </c>
      <c r="D34" s="70" t="s">
        <v>65</v>
      </c>
      <c r="E34" s="70"/>
      <c r="F34" s="70"/>
      <c r="G34" s="70"/>
      <c r="H34" s="70"/>
      <c r="I34" s="70"/>
      <c r="J34" s="70"/>
      <c r="K34" s="70"/>
      <c r="L34" s="70"/>
      <c r="M34" s="70"/>
      <c r="N34" s="70"/>
      <c r="O34" s="70"/>
      <c r="P34" s="70"/>
      <c r="Q34" s="70"/>
    </row>
    <row r="35" spans="2:17" ht="40.5" customHeight="1">
      <c r="B35" s="15" t="s">
        <v>56</v>
      </c>
      <c r="D35" s="70" t="s">
        <v>133</v>
      </c>
      <c r="E35" s="70"/>
      <c r="F35" s="70"/>
      <c r="G35" s="70"/>
      <c r="H35" s="70"/>
      <c r="I35" s="70"/>
      <c r="J35" s="70"/>
      <c r="K35" s="70"/>
      <c r="L35" s="70"/>
      <c r="M35" s="70"/>
      <c r="N35" s="70"/>
      <c r="O35" s="70"/>
      <c r="P35" s="70"/>
      <c r="Q35" s="70"/>
    </row>
    <row r="36" spans="2:17" ht="40.5" customHeight="1">
      <c r="B36" s="15" t="s">
        <v>57</v>
      </c>
      <c r="D36" s="70" t="s">
        <v>66</v>
      </c>
      <c r="E36" s="70"/>
      <c r="F36" s="70"/>
      <c r="G36" s="70"/>
      <c r="H36" s="70"/>
      <c r="I36" s="70"/>
      <c r="J36" s="70"/>
      <c r="K36" s="70"/>
      <c r="L36" s="70"/>
      <c r="M36" s="70"/>
      <c r="N36" s="70"/>
      <c r="O36" s="70"/>
      <c r="P36" s="70"/>
      <c r="Q36" s="70"/>
    </row>
    <row r="37" spans="2:17" ht="35.25" customHeight="1">
      <c r="B37" s="15" t="s">
        <v>64</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1"/>
  <sheetViews>
    <sheetView showGridLines="0" tabSelected="1" zoomScale="130" zoomScaleNormal="130" workbookViewId="0">
      <pane xSplit="8" ySplit="7" topLeftCell="X25" activePane="bottomRight" state="frozen"/>
      <selection pane="topRight" activeCell="H1" sqref="H1"/>
      <selection pane="bottomLeft" activeCell="A6" sqref="A6"/>
      <selection pane="bottomRight" activeCell="F34" sqref="F34"/>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40"/>
      <c r="B6" s="40" t="s">
        <v>71</v>
      </c>
      <c r="C6" s="40"/>
      <c r="D6" s="40"/>
      <c r="E6" s="40"/>
      <c r="F6" s="40"/>
      <c r="G6" s="40"/>
      <c r="H6" s="40"/>
    </row>
    <row r="7" spans="1:8" ht="14.5" collapsed="1">
      <c r="A7" s="43"/>
      <c r="B7" s="52" t="s">
        <v>121</v>
      </c>
      <c r="C7" s="43"/>
      <c r="D7" s="43"/>
      <c r="E7" s="43"/>
      <c r="F7" s="43"/>
      <c r="G7" s="43"/>
      <c r="H7" s="43"/>
    </row>
    <row r="8" spans="1:8" ht="13.9" customHeight="1"/>
    <row r="9" spans="1:8" ht="13.9" customHeight="1">
      <c r="B9" s="51" t="s">
        <v>70</v>
      </c>
      <c r="C9" s="44"/>
      <c r="D9" s="44"/>
      <c r="E9" s="44"/>
      <c r="F9" s="44"/>
      <c r="G9" s="44"/>
      <c r="H9" s="44"/>
    </row>
    <row r="10" spans="1:8" ht="13.9" customHeight="1"/>
    <row r="11" spans="1:8" ht="13.9" customHeight="1">
      <c r="B11" s="46" t="s">
        <v>72</v>
      </c>
      <c r="C11" s="46"/>
      <c r="D11" s="47"/>
      <c r="E11" s="47"/>
      <c r="F11" s="47" t="s">
        <v>73</v>
      </c>
      <c r="G11" s="47" t="s">
        <v>74</v>
      </c>
      <c r="H11" s="47" t="s">
        <v>122</v>
      </c>
    </row>
    <row r="12" spans="1:8" ht="13.9" customHeight="1"/>
    <row r="13" spans="1:8" ht="13.9" customHeight="1">
      <c r="B13" s="56" t="s">
        <v>17</v>
      </c>
      <c r="C13" s="3" t="s">
        <v>0</v>
      </c>
      <c r="F13" s="22" t="s">
        <v>76</v>
      </c>
      <c r="G13" s="27">
        <f>(H13/'Guide and Assumptions'!I18+'Guide and Assumptions'!N18)/IF(F13="EV/EBITDA Guidance",'Guide and Assumptions'!M18,'Guide and Assumptions'!L18)</f>
        <v>4.4428975628955634</v>
      </c>
      <c r="H13" s="13" cm="1">
        <f t="array" ref="H13">_xlfn.IFS($F13="Market Capitalization", 'Guide and Assumptions'!H18*'Guide and Assumptions'!J18, $F13="EV/EBITDA LTM", (('Guide and Assumptions'!E18*'Guide and Assumptions'!L18)-'Guide and Assumptions'!N18)*'Guide and Assumptions'!I18, $F13="EV/EBITDA Guidance", (('Guide and Assumptions'!E18*'Guide and Assumptions'!M18)-'Guide and Assumptions'!N18)*'Guide and Assumptions'!I18, $F13="Target Price", 'Guide and Assumptions'!H18*'Guide and Assumptions'!K18)</f>
        <v>7948574892.6000004</v>
      </c>
    </row>
    <row r="14" spans="1:8" ht="13.9" customHeight="1">
      <c r="B14" s="56" t="s">
        <v>18</v>
      </c>
      <c r="C14" s="3" t="s">
        <v>1</v>
      </c>
      <c r="F14" s="22" t="s">
        <v>76</v>
      </c>
      <c r="G14" s="27">
        <f>(H14/'Guide and Assumptions'!I19+'Guide and Assumptions'!N19)/IF(F14="EV/EBITDA Guidance",'Guide and Assumptions'!M19,'Guide and Assumptions'!L19)</f>
        <v>5.722321271897755</v>
      </c>
      <c r="H14" s="13" cm="1">
        <f t="array" ref="H14">_xlfn.IFS($F14="Market Capitalization", 'Guide and Assumptions'!H19*'Guide and Assumptions'!J19, $F14="EV/EBITDA LTM", (('Guide and Assumptions'!E19*'Guide and Assumptions'!L19)-'Guide and Assumptions'!N19)*'Guide and Assumptions'!I19, $F14="EV/EBITDA Guidance", (('Guide and Assumptions'!E19*'Guide and Assumptions'!M19)-'Guide and Assumptions'!N19)*'Guide and Assumptions'!I19, $F14="Target Price", 'Guide and Assumptions'!H19*'Guide and Assumptions'!K19)</f>
        <v>10035526101.6</v>
      </c>
    </row>
    <row r="15" spans="1:8" ht="13.9" customHeight="1">
      <c r="A15" s="48"/>
      <c r="B15" s="57" t="s">
        <v>20</v>
      </c>
      <c r="C15" s="3" t="s">
        <v>2</v>
      </c>
      <c r="F15" s="22" t="s">
        <v>76</v>
      </c>
      <c r="G15" s="27">
        <f>(H15/'Guide and Assumptions'!I20+'Guide and Assumptions'!N20)/IF(F15="EV/EBITDA Guidance",'Guide and Assumptions'!L20,'Guide and Assumptions'!L20)</f>
        <v>3.7682767393052643</v>
      </c>
      <c r="H15" s="13" cm="1">
        <f t="array" ref="H15">_xlfn.IFS($F15="Market Capitalization", 'Guide and Assumptions'!H20*'Guide and Assumptions'!J20, $F15="EV/EBITDA LTM", (('Guide and Assumptions'!E20*'Guide and Assumptions'!L20)-'Guide and Assumptions'!N20)*'Guide and Assumptions'!I20, $F15="EV/EBITDA Guidance", (('Guide and Assumptions'!E20*'Guide and Assumptions'!M20)-'Guide and Assumptions'!N20)*'Guide and Assumptions'!I20, $F15="Target Price", 'Guide and Assumptions'!H20*'Guide and Assumptions'!K20)</f>
        <v>10112070205.300001</v>
      </c>
    </row>
    <row r="16" spans="1:8" ht="13.9" customHeight="1">
      <c r="B16" s="56" t="s">
        <v>19</v>
      </c>
      <c r="C16" s="3" t="s">
        <v>153</v>
      </c>
      <c r="F16" s="22" t="s">
        <v>31</v>
      </c>
      <c r="G16" s="27">
        <f>(H16/'Guide and Assumptions'!I21+'Guide and Assumptions'!N21)/IF(F16="EV/EBITDA Guidance",'Guide and Assumptions'!M21,'Guide and Assumptions'!L21)</f>
        <v>2.6705607316374658</v>
      </c>
      <c r="H16" s="13" cm="1">
        <f t="array" ref="H16">_xlfn.IFS($F16="Book Value", 'Guide and Assumptions'!O21, $F16="Equity Value", 'Guide and Assumptions'!F21*1000000000*'Guide and Assumptions'!I21,F16= "EV/EBITDA LTM", (('Guide and Assumptions'!E21*'Guide and Assumptions'!L21)-'Guide and Assumptions'!N21)*'Guide and Assumptions'!I21, F16= "EV/EBITDA Guidance", (('Guide and Assumptions'!E21*'Guide and Assumptions'!M21)-'Guide and Assumptions'!N21)*'Guide and Assumptions'!I21)</f>
        <v>4091601000</v>
      </c>
    </row>
    <row r="17" spans="2:8" ht="13.9" customHeight="1">
      <c r="B17" s="56" t="s">
        <v>21</v>
      </c>
      <c r="C17" s="3" t="s">
        <v>154</v>
      </c>
      <c r="F17" s="22" t="s">
        <v>31</v>
      </c>
      <c r="G17" s="27">
        <f>(H17/'Guide and Assumptions'!I22+'Guide and Assumptions'!N22)/IF(F17="EV/EBITDA Guidance",'Guide and Assumptions'!L22,'Guide and Assumptions'!L22)</f>
        <v>3.1049812454910786</v>
      </c>
      <c r="H17" s="13" cm="1">
        <f t="array" ref="H17">_xlfn.IFS($F17="Book Value", 'Guide and Assumptions'!O22, $F17="Equity Value", 'Guide and Assumptions'!F22*1000000000*'Guide and Assumptions'!I22,F17= "EV/EBITDA LTM", (('Guide and Assumptions'!E22*'Guide and Assumptions'!L22)-'Guide and Assumptions'!N22)*'Guide and Assumptions'!I22, F17= "EV/EBITDA Guidance", (('Guide and Assumptions'!E22*'Guide and Assumptions'!M22)-'Guide and Assumptions'!N22)*'Guide and Assumptions'!I22)</f>
        <v>1326385000</v>
      </c>
    </row>
    <row r="18" spans="2:8" ht="13.9" customHeight="1">
      <c r="B18" s="56" t="s">
        <v>22</v>
      </c>
      <c r="C18" s="3" t="s">
        <v>131</v>
      </c>
      <c r="F18" s="22" t="s">
        <v>31</v>
      </c>
      <c r="G18" s="27">
        <f>(H18/'Guide and Assumptions'!I23+'Guide and Assumptions'!N23 -'Guide and Assumptions'!P23 )/IF(F18="EV/EBITDA Guidance",'Guide and Assumptions'!L23,'Guide and Assumptions'!L23)</f>
        <v>8.6359546375591307</v>
      </c>
      <c r="H18" s="13" cm="1">
        <f t="array" ref="H18">_xlfn.IFS($F18="Book Value", 'Guide and Assumptions'!O23 + 'Guide and Assumptions'!P23, $F18="Equity Value", 'Guide and Assumptions'!F23*1000000000*'Guide and Assumptions'!I23 + 'Guide and Assumptions'!P23,F18= "EV/EBITDA LTM", (('Guide and Assumptions'!E23*'Guide and Assumptions'!L23)-'Guide and Assumptions'!N23)*'Guide and Assumptions'!I23, F18= "EV/EBITDA Guidance", (('Guide and Assumptions'!E23*'Guide and Assumptions'!M23)-'Guide and Assumptions'!N23)*'Guide and Assumptions'!I23)</f>
        <v>4909109000</v>
      </c>
    </row>
    <row r="19" spans="2:8" ht="13.9" customHeight="1">
      <c r="G19" s="27"/>
      <c r="H19" s="13"/>
    </row>
    <row r="20" spans="2:8" ht="13.9" customHeight="1"/>
    <row r="21" spans="2:8" ht="13.9" customHeight="1">
      <c r="B21" s="46" t="s">
        <v>85</v>
      </c>
      <c r="C21" s="46"/>
      <c r="D21" s="47"/>
      <c r="E21" s="47"/>
      <c r="F21" s="47"/>
      <c r="G21" s="47"/>
      <c r="H21" s="47" t="str">
        <f>$H$11</f>
        <v>Value (BRL bn)</v>
      </c>
    </row>
    <row r="22" spans="2:8" ht="13.9" customHeight="1">
      <c r="F22" s="23"/>
    </row>
    <row r="23" spans="2:8" ht="13.9" customHeight="1">
      <c r="B23" s="56" t="s">
        <v>23</v>
      </c>
      <c r="C23" s="3" t="s">
        <v>136</v>
      </c>
      <c r="F23" s="24" t="s">
        <v>5</v>
      </c>
      <c r="H23" s="13" cm="1">
        <f t="array" ref="H23">-_xlfn.IFS(F23="Multiple",('Guide and Assumptions'!E26*'Guide and Assumptions'!I26)-'Guide and Assumptions'!M26,F23="Input",'Guide and Assumptions'!I26*10-'Guide and Assumptions'!M26)</f>
        <v>-2679939727.7999997</v>
      </c>
    </row>
    <row r="24" spans="2:8" ht="13.9" customHeight="1">
      <c r="B24" s="56" t="s">
        <v>24</v>
      </c>
      <c r="C24" s="3" t="s">
        <v>84</v>
      </c>
      <c r="F24" s="24" t="s">
        <v>5</v>
      </c>
      <c r="H24" s="13" cm="1">
        <f t="array" ref="H24">-_xlfn.IFS(F24="Last Available", 'Guide and Assumptions'!J26, F24="Input", 'Guide and Assumptions'!G26*1000000000)</f>
        <v>-23462099760.329998</v>
      </c>
    </row>
    <row r="25" spans="2:8" ht="13.9" customHeight="1">
      <c r="H25" s="13"/>
    </row>
    <row r="26" spans="2:8" ht="13.9" customHeight="1">
      <c r="B26" s="46" t="s">
        <v>83</v>
      </c>
      <c r="C26" s="46"/>
      <c r="D26" s="47"/>
      <c r="E26" s="47"/>
      <c r="F26" s="47"/>
      <c r="G26" s="47"/>
      <c r="H26" s="47" t="str">
        <f>$H$11</f>
        <v>Value (BRL bn)</v>
      </c>
    </row>
    <row r="27" spans="2:8" ht="13.9" customHeight="1"/>
    <row r="28" spans="2:8" ht="13.9" customHeight="1">
      <c r="B28" s="56" t="s">
        <v>25</v>
      </c>
      <c r="C28" s="3" t="s">
        <v>82</v>
      </c>
      <c r="F28" s="24" t="s">
        <v>5</v>
      </c>
      <c r="G28" s="4"/>
      <c r="H28" s="13" cm="1">
        <f t="array" ref="H28">-_xlfn.IFS(F28="Last Available",'Guide and Assumptions'!D29*1000000000, F28="Input", 'Guide and Assumptions'!D29*1000000000)</f>
        <v>-8541000000</v>
      </c>
    </row>
    <row r="29" spans="2:8" ht="13.9" customHeight="1">
      <c r="B29" s="56"/>
    </row>
    <row r="30" spans="2:8" ht="13.9" customHeight="1">
      <c r="B30" s="49" t="s">
        <v>81</v>
      </c>
      <c r="C30" s="45"/>
      <c r="D30" s="45"/>
      <c r="E30" s="45"/>
      <c r="F30" s="45"/>
      <c r="G30" s="45"/>
      <c r="H30" s="45"/>
    </row>
    <row r="31" spans="2:8" ht="13.9" customHeight="1"/>
    <row r="32" spans="2:8" ht="13.9" customHeight="1">
      <c r="B32" s="56" t="s">
        <v>26</v>
      </c>
      <c r="C32" s="3" t="s">
        <v>140</v>
      </c>
      <c r="H32" s="13">
        <f>SUM(H13:H18,H23:H24,H28:H28)</f>
        <v>3740226711.3699989</v>
      </c>
    </row>
    <row r="33" spans="2:8" ht="13.9" customHeight="1">
      <c r="B33" s="56" t="s">
        <v>27</v>
      </c>
      <c r="C33" s="3" t="s">
        <v>79</v>
      </c>
      <c r="H33" s="26">
        <f>'Guide and Assumptions'!L26*'Guide and Assumptions'!K26</f>
        <v>15166540082.880001</v>
      </c>
    </row>
    <row r="34" spans="2:8" ht="13.9" customHeight="1">
      <c r="C34" s="3" t="s">
        <v>80</v>
      </c>
      <c r="H34" s="30">
        <f>H32/'Guide and Assumptions'!L26</f>
        <v>2.012340968869391</v>
      </c>
    </row>
    <row r="35" spans="2:8" ht="13.9" customHeight="1">
      <c r="C35" s="9" t="s">
        <v>123</v>
      </c>
      <c r="D35" s="9"/>
      <c r="E35" s="10"/>
      <c r="F35" s="10"/>
      <c r="G35" s="10"/>
      <c r="H35" s="31">
        <f>'Guide and Assumptions'!H26</f>
        <v>14.1</v>
      </c>
    </row>
    <row r="36" spans="2:8" ht="13.9" customHeight="1">
      <c r="B36" s="56" t="s">
        <v>28</v>
      </c>
      <c r="C36" s="11" t="s">
        <v>141</v>
      </c>
      <c r="H36" s="13">
        <f>H33-H32</f>
        <v>11426313371.510002</v>
      </c>
    </row>
    <row r="37" spans="2:8" ht="13.9" customHeight="1">
      <c r="B37" s="56" t="s">
        <v>29</v>
      </c>
      <c r="C37" s="3" t="s">
        <v>156</v>
      </c>
      <c r="H37" s="8">
        <f>H33/H32-1</f>
        <v>3.0549788163308111</v>
      </c>
    </row>
    <row r="38" spans="2:8" ht="13.9" customHeight="1"/>
    <row r="39" spans="2:8" ht="13.9" customHeight="1">
      <c r="B39" s="32" t="s">
        <v>124</v>
      </c>
    </row>
    <row r="40" spans="2:8" ht="45.65" customHeight="1">
      <c r="B40" s="71" t="s">
        <v>157</v>
      </c>
      <c r="C40" s="71"/>
      <c r="D40" s="71"/>
      <c r="E40" s="71"/>
      <c r="F40" s="71"/>
      <c r="G40" s="71"/>
      <c r="H40" s="71"/>
    </row>
    <row r="41" spans="2:8" ht="30" customHeight="1">
      <c r="B41" s="71" t="s">
        <v>152</v>
      </c>
      <c r="C41" s="71"/>
      <c r="D41" s="71"/>
      <c r="E41" s="71"/>
      <c r="F41" s="71"/>
      <c r="G41" s="71"/>
      <c r="H41" s="71"/>
    </row>
    <row r="42" spans="2:8" ht="12.75" customHeight="1">
      <c r="B42" s="50"/>
      <c r="C42" s="50"/>
      <c r="D42" s="50"/>
      <c r="E42" s="50"/>
      <c r="F42" s="50"/>
      <c r="G42" s="50"/>
    </row>
    <row r="43" spans="2:8" ht="13.9" hidden="1" customHeight="1"/>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sheetData>
  <mergeCells count="2">
    <mergeCell ref="B40:H40"/>
    <mergeCell ref="B41:H41"/>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7">
        <x14:dataValidation type="list" allowBlank="1" showInputMessage="1" showErrorMessage="1" xr:uid="{D24B353E-4542-4AF7-906E-B59A9C99A31F}">
          <x14:formula1>
            <xm:f>Others!$E$1:$E$2</xm:f>
          </x14:formula1>
          <xm:sqref>F23</xm:sqref>
        </x14:dataValidation>
        <x14:dataValidation type="list" allowBlank="1" showErrorMessage="1" prompt="Choose how to value this asset" xr:uid="{6C2B86FA-21A2-4DE0-8848-56862E2BA715}">
          <x14:formula1>
            <xm:f>Others!$C$1:$C$2</xm:f>
          </x14:formula1>
          <xm:sqref>F18</xm:sqref>
        </x14:dataValidation>
        <x14:dataValidation type="list" allowBlank="1" showErrorMessage="1" prompt="Choose how to value this asset" xr:uid="{2152BFB9-9BBE-4452-BB8D-5B32CD0C8AAD}">
          <x14:formula1>
            <xm:f>Others!$C$1:$C$3</xm:f>
          </x14:formula1>
          <xm:sqref>F16</xm:sqref>
        </x14:dataValidation>
        <x14:dataValidation type="list" allowBlank="1" showErrorMessage="1" prompt="Choose how to value this asset" xr:uid="{550C37E9-0C61-47B9-A273-EDDEA1660AEA}">
          <x14:formula1>
            <xm:f>Others!$C$7:$C$9</xm:f>
          </x14:formula1>
          <xm:sqref>F17</xm:sqref>
        </x14:dataValidation>
        <x14:dataValidation type="list" allowBlank="1" showInputMessage="1" showErrorMessage="1" xr:uid="{833F163E-C39A-4135-A686-C39D9A3BD201}">
          <x14:formula1>
            <xm:f>Others!$I$1:$I$2</xm:f>
          </x14:formula1>
          <xm:sqref>F24 F28</xm:sqref>
        </x14:dataValidation>
        <x14:dataValidation type="list" allowBlank="1" showInputMessage="1" showErrorMessage="1" xr:uid="{9BFD5622-DD9D-40FF-9372-6F01901C0067}">
          <x14:formula1>
            <xm:f>Others!$A$1:$A$3</xm:f>
          </x14:formula1>
          <xm:sqref>F13:F14</xm:sqref>
        </x14:dataValidation>
        <x14:dataValidation type="list" allowBlank="1" showInputMessage="1" showErrorMessage="1" xr:uid="{D1765E32-9F09-4673-B674-A4ED1B5D6A00}">
          <x14:formula1>
            <xm:f>Others!$A$1:$A$2</xm:f>
          </x14:formula1>
          <xm:sqref>F15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4"/>
  <sheetViews>
    <sheetView showFormulas="1" showGridLines="0" zoomScale="70" zoomScaleNormal="70" workbookViewId="0">
      <pane ySplit="7" topLeftCell="A8" activePane="bottomLeft" state="frozen"/>
      <selection pane="bottomLeft" activeCell="B62" sqref="B62"/>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40"/>
      <c r="B6" s="40" t="s">
        <v>68</v>
      </c>
      <c r="C6" s="40"/>
      <c r="D6" s="40"/>
      <c r="E6" s="40"/>
      <c r="F6" s="40"/>
      <c r="G6" s="40"/>
      <c r="H6" s="40"/>
      <c r="I6" s="40"/>
      <c r="J6" s="40"/>
      <c r="K6" s="40"/>
      <c r="L6" s="40"/>
      <c r="M6" s="40"/>
      <c r="N6" s="40"/>
      <c r="O6" s="40"/>
      <c r="P6" s="40"/>
      <c r="Q6" s="40"/>
      <c r="R6"/>
    </row>
    <row r="7" spans="1:18" s="2" customFormat="1" collapsed="1">
      <c r="A7" s="41"/>
      <c r="B7" s="41"/>
      <c r="C7" s="41"/>
      <c r="D7" s="41"/>
      <c r="E7" s="41"/>
      <c r="F7" s="41"/>
      <c r="G7" s="41"/>
      <c r="H7" s="41"/>
      <c r="I7" s="41"/>
      <c r="J7" s="41"/>
      <c r="K7" s="41"/>
      <c r="L7" s="41"/>
      <c r="M7" s="41"/>
      <c r="N7" s="41"/>
      <c r="O7" s="41"/>
      <c r="P7" s="41"/>
      <c r="Q7" s="41"/>
    </row>
    <row r="8" spans="1:18"/>
    <row r="9" spans="1:18">
      <c r="B9" s="44" t="s">
        <v>69</v>
      </c>
      <c r="C9" s="44"/>
      <c r="D9" s="44"/>
      <c r="E9" s="44"/>
    </row>
    <row r="10" spans="1:18"/>
    <row r="11" spans="1:18">
      <c r="B11" s="12" t="s">
        <v>0</v>
      </c>
      <c r="C11" s="12"/>
      <c r="D11" s="12"/>
      <c r="E11" s="12"/>
    </row>
    <row r="12" spans="1:18" ht="15" customHeight="1">
      <c r="B12" t="s">
        <v>86</v>
      </c>
      <c r="D12" s="20" t="s">
        <v>97</v>
      </c>
    </row>
    <row r="13" spans="1:18" ht="15" customHeight="1">
      <c r="B13" t="s">
        <v>88</v>
      </c>
      <c r="D13" s="20" t="s">
        <v>98</v>
      </c>
    </row>
    <row r="14" spans="1:18" ht="15" customHeight="1">
      <c r="B14" t="s">
        <v>89</v>
      </c>
      <c r="D14" s="61"/>
      <c r="E14" t="s">
        <v>94</v>
      </c>
    </row>
    <row r="15" spans="1:18" ht="15" customHeight="1">
      <c r="B15" t="s">
        <v>4</v>
      </c>
      <c r="D15" s="20" t="s">
        <v>99</v>
      </c>
      <c r="E15" t="s">
        <v>92</v>
      </c>
    </row>
    <row r="16" spans="1:18" ht="15" customHeight="1">
      <c r="B16" t="s">
        <v>7</v>
      </c>
      <c r="D16" s="20" t="s">
        <v>132</v>
      </c>
      <c r="E16" t="s">
        <v>147</v>
      </c>
    </row>
    <row r="17" spans="2:5" ht="15" customHeight="1">
      <c r="B17" t="s">
        <v>87</v>
      </c>
      <c r="D17" s="20" t="s">
        <v>99</v>
      </c>
      <c r="E17" t="s">
        <v>96</v>
      </c>
    </row>
    <row r="18" spans="2:5" ht="15" customHeight="1">
      <c r="B18" t="s">
        <v>31</v>
      </c>
      <c r="D18" s="20" t="s">
        <v>93</v>
      </c>
      <c r="E18" t="s">
        <v>96</v>
      </c>
    </row>
    <row r="19" spans="2:5" ht="15" customHeight="1">
      <c r="B19" s="7"/>
    </row>
    <row r="20" spans="2:5" ht="15" customHeight="1">
      <c r="B20" s="12" t="s">
        <v>1</v>
      </c>
      <c r="C20" s="12"/>
      <c r="D20" s="12"/>
      <c r="E20" s="12"/>
    </row>
    <row r="21" spans="2:5" ht="15" customHeight="1">
      <c r="B21" t="s">
        <v>86</v>
      </c>
      <c r="D21" s="20" t="s">
        <v>100</v>
      </c>
    </row>
    <row r="22" spans="2:5" ht="15" customHeight="1">
      <c r="B22" t="s">
        <v>88</v>
      </c>
      <c r="D22" s="20" t="s">
        <v>100</v>
      </c>
    </row>
    <row r="23" spans="2:5" ht="15" customHeight="1">
      <c r="B23" t="s">
        <v>89</v>
      </c>
      <c r="D23" s="61"/>
      <c r="E23" t="s">
        <v>94</v>
      </c>
    </row>
    <row r="24" spans="2:5" ht="15" customHeight="1">
      <c r="B24" t="s">
        <v>4</v>
      </c>
      <c r="D24" s="20" t="s">
        <v>101</v>
      </c>
      <c r="E24" t="s">
        <v>92</v>
      </c>
    </row>
    <row r="25" spans="2:5" ht="15" customHeight="1">
      <c r="B25" t="s">
        <v>7</v>
      </c>
      <c r="D25" s="20" t="s">
        <v>102</v>
      </c>
      <c r="E25" t="s">
        <v>148</v>
      </c>
    </row>
    <row r="26" spans="2:5" ht="15" customHeight="1">
      <c r="B26" t="s">
        <v>87</v>
      </c>
      <c r="D26" s="20" t="s">
        <v>101</v>
      </c>
      <c r="E26" t="s">
        <v>96</v>
      </c>
    </row>
    <row r="27" spans="2:5" ht="15" customHeight="1">
      <c r="B27" t="s">
        <v>31</v>
      </c>
      <c r="D27" s="20" t="s">
        <v>93</v>
      </c>
      <c r="E27" t="s">
        <v>96</v>
      </c>
    </row>
    <row r="28" spans="2:5" ht="15" customHeight="1">
      <c r="B28" s="15"/>
    </row>
    <row r="29" spans="2:5" ht="15" customHeight="1">
      <c r="B29" s="12" t="s">
        <v>2</v>
      </c>
      <c r="C29" s="12"/>
      <c r="D29" s="12"/>
      <c r="E29" s="12"/>
    </row>
    <row r="30" spans="2:5" ht="15" customHeight="1">
      <c r="B30" t="s">
        <v>86</v>
      </c>
      <c r="D30" s="20" t="s">
        <v>103</v>
      </c>
    </row>
    <row r="31" spans="2:5" ht="15" customHeight="1">
      <c r="B31" t="s">
        <v>88</v>
      </c>
      <c r="D31" s="20" t="s">
        <v>93</v>
      </c>
      <c r="E31" t="s">
        <v>92</v>
      </c>
    </row>
    <row r="32" spans="2:5" ht="15" customHeight="1">
      <c r="B32" t="s">
        <v>89</v>
      </c>
      <c r="D32" s="61"/>
      <c r="E32" t="s">
        <v>94</v>
      </c>
    </row>
    <row r="33" spans="2:5" ht="15" customHeight="1">
      <c r="B33" t="s">
        <v>4</v>
      </c>
      <c r="D33" s="20" t="s">
        <v>104</v>
      </c>
      <c r="E33" t="s">
        <v>149</v>
      </c>
    </row>
    <row r="34" spans="2:5">
      <c r="B34" t="s">
        <v>87</v>
      </c>
      <c r="D34" s="20" t="s">
        <v>104</v>
      </c>
      <c r="E34" t="s">
        <v>149</v>
      </c>
    </row>
    <row r="35" spans="2:5">
      <c r="B35" t="s">
        <v>31</v>
      </c>
      <c r="D35" s="20" t="s">
        <v>93</v>
      </c>
      <c r="E35" t="s">
        <v>96</v>
      </c>
    </row>
    <row r="36" spans="2:5"/>
    <row r="37" spans="2:5">
      <c r="B37" s="12" t="s">
        <v>3</v>
      </c>
      <c r="C37" s="12"/>
      <c r="D37" s="12"/>
      <c r="E37" s="12"/>
    </row>
    <row r="38" spans="2:5">
      <c r="B38" t="s">
        <v>88</v>
      </c>
      <c r="D38" s="20" t="s">
        <v>107</v>
      </c>
    </row>
    <row r="39" spans="2:5">
      <c r="B39" t="s">
        <v>4</v>
      </c>
      <c r="D39" s="20" t="s">
        <v>108</v>
      </c>
      <c r="E39" t="s">
        <v>92</v>
      </c>
    </row>
    <row r="40" spans="2:5">
      <c r="B40" t="s">
        <v>7</v>
      </c>
      <c r="D40" s="20" t="s">
        <v>108</v>
      </c>
      <c r="E40" t="s">
        <v>92</v>
      </c>
    </row>
    <row r="41" spans="2:5">
      <c r="B41" t="s">
        <v>87</v>
      </c>
      <c r="D41" s="20" t="s">
        <v>108</v>
      </c>
      <c r="E41" t="s">
        <v>92</v>
      </c>
    </row>
    <row r="42" spans="2:5">
      <c r="B42" t="s">
        <v>31</v>
      </c>
      <c r="D42" s="20" t="s">
        <v>93</v>
      </c>
      <c r="E42" t="s">
        <v>96</v>
      </c>
    </row>
    <row r="43" spans="2:5"/>
    <row r="44" spans="2:5">
      <c r="B44" s="12" t="s">
        <v>8</v>
      </c>
      <c r="C44" s="12"/>
      <c r="D44" s="12"/>
      <c r="E44" s="12"/>
    </row>
    <row r="45" spans="2:5">
      <c r="B45" t="s">
        <v>88</v>
      </c>
      <c r="D45" s="20" t="s">
        <v>93</v>
      </c>
      <c r="E45" t="s">
        <v>92</v>
      </c>
    </row>
    <row r="46" spans="2:5">
      <c r="B46" t="s">
        <v>4</v>
      </c>
      <c r="D46" s="20" t="s">
        <v>93</v>
      </c>
      <c r="E46" t="s">
        <v>92</v>
      </c>
    </row>
    <row r="47" spans="2:5">
      <c r="B47" t="s">
        <v>87</v>
      </c>
      <c r="D47" s="20" t="s">
        <v>93</v>
      </c>
      <c r="E47" t="s">
        <v>95</v>
      </c>
    </row>
    <row r="48" spans="2:5">
      <c r="B48" t="s">
        <v>31</v>
      </c>
      <c r="D48" s="20" t="s">
        <v>93</v>
      </c>
      <c r="E48" t="s">
        <v>96</v>
      </c>
    </row>
    <row r="49" spans="2:5"/>
    <row r="50" spans="2:5">
      <c r="B50" s="12" t="s">
        <v>131</v>
      </c>
      <c r="C50" s="12"/>
      <c r="D50" s="12"/>
      <c r="E50" s="12"/>
    </row>
    <row r="51" spans="2:5">
      <c r="B51" t="s">
        <v>31</v>
      </c>
      <c r="D51" s="20" t="s">
        <v>93</v>
      </c>
      <c r="E51" t="s">
        <v>96</v>
      </c>
    </row>
    <row r="52" spans="2:5">
      <c r="B52" t="s">
        <v>87</v>
      </c>
      <c r="D52" s="20" t="s">
        <v>93</v>
      </c>
      <c r="E52" t="s">
        <v>95</v>
      </c>
    </row>
    <row r="53" spans="2:5" ht="30" customHeight="1">
      <c r="B53" s="55" t="s">
        <v>90</v>
      </c>
      <c r="D53" s="62" t="s">
        <v>105</v>
      </c>
      <c r="E53" s="15" t="s">
        <v>106</v>
      </c>
    </row>
    <row r="54" spans="2:5"/>
    <row r="55" spans="2:5">
      <c r="B55" s="12" t="s">
        <v>14</v>
      </c>
      <c r="C55" s="12"/>
      <c r="D55" s="12"/>
      <c r="E55" s="12"/>
    </row>
    <row r="56" spans="2:5">
      <c r="B56" t="s">
        <v>6</v>
      </c>
      <c r="D56" s="20" t="s">
        <v>93</v>
      </c>
      <c r="E56" t="s">
        <v>92</v>
      </c>
    </row>
    <row r="57" spans="2:5">
      <c r="B57" t="s">
        <v>87</v>
      </c>
      <c r="D57" s="20" t="s">
        <v>93</v>
      </c>
      <c r="E57" t="s">
        <v>92</v>
      </c>
    </row>
    <row r="58" spans="2:5">
      <c r="B58" t="s">
        <v>86</v>
      </c>
      <c r="D58" s="20" t="s">
        <v>125</v>
      </c>
    </row>
    <row r="59" spans="2:5">
      <c r="B59" t="s">
        <v>139</v>
      </c>
      <c r="D59" s="20" t="s">
        <v>93</v>
      </c>
      <c r="E59" t="s">
        <v>96</v>
      </c>
    </row>
    <row r="60" spans="2:5"/>
    <row r="61" spans="2:5">
      <c r="B61" s="12" t="s">
        <v>126</v>
      </c>
      <c r="C61" s="12"/>
      <c r="D61" s="12"/>
      <c r="E61" s="12"/>
    </row>
    <row r="62" spans="2:5">
      <c r="B62" s="68" t="s">
        <v>91</v>
      </c>
      <c r="D62" s="20" t="s">
        <v>93</v>
      </c>
      <c r="E62" t="s">
        <v>92</v>
      </c>
    </row>
    <row r="63" spans="2:5"/>
    <row r="64" spans="2:5"/>
    <row r="65"/>
    <row r="66"/>
    <row r="67"/>
    <row r="68"/>
    <row r="69"/>
    <row r="70"/>
    <row r="71"/>
    <row r="72"/>
    <row r="73"/>
    <row r="74"/>
  </sheetData>
  <hyperlinks>
    <hyperlink ref="D17" r:id="rId1" display="https://ri.raizen.com.br/informacoes-financeiras/central-de-resultados/" xr:uid="{23CBFFE2-B338-458D-B87A-6EFBAF790FAD}"/>
    <hyperlink ref="D26" r:id="rId2" display="https://ri.rumolog.com/informacoes-financeiras/central-de-resultados/" xr:uid="{4F610486-254A-4BF9-A287-14B85C04F3B7}"/>
    <hyperlink ref="D34" r:id="rId3" display="https://www.vale.com/pt/comunicados-resultados-apresentacoes-e-relatorios" xr:uid="{B8FECFBC-4C59-4C1F-BE50-648F672FD4ED}"/>
    <hyperlink ref="D40" r:id="rId4" display="https://www.compassbr.com/divulgacao-de-resultados/central-de-resultados/" xr:uid="{866CC1C0-1FB1-40F6-9BD7-32C6A399031C}"/>
    <hyperlink ref="D41" r:id="rId5" display="https://www.compassbr.com/divulgacao-de-resultados/central-de-resultados/" xr:uid="{2A1D9159-12CF-4BD2-9978-54BE0221CF07}"/>
    <hyperlink ref="D53" r:id="rId6" xr:uid="{73C723CD-5834-4C2F-94B3-85A6A4474BCC}"/>
    <hyperlink ref="D33" r:id="rId7" xr:uid="{BB84CA13-EC8B-400E-8E1D-A32765F46A1A}"/>
  </hyperlinks>
  <pageMargins left="0.7" right="0.7" top="0.75" bottom="0.75" header="0.3" footer="0.3"/>
  <pageSetup orientation="portrait"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topLeftCell="B1" zoomScale="85" zoomScaleNormal="85" workbookViewId="0">
      <selection activeCell="K11" sqref="K11"/>
    </sheetView>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37.81640625" style="7" customWidth="1"/>
    <col min="13" max="13" width="9" bestFit="1" customWidth="1"/>
  </cols>
  <sheetData>
    <row r="1" spans="1:14">
      <c r="A1" t="s">
        <v>76</v>
      </c>
      <c r="C1" t="s">
        <v>31</v>
      </c>
      <c r="E1" t="s">
        <v>77</v>
      </c>
      <c r="G1" t="s">
        <v>31</v>
      </c>
      <c r="I1" t="s">
        <v>78</v>
      </c>
      <c r="K1" s="37" t="s">
        <v>16</v>
      </c>
      <c r="L1" s="18" t="s">
        <v>15</v>
      </c>
      <c r="M1" s="34" t="s">
        <v>15</v>
      </c>
    </row>
    <row r="2" spans="1:14">
      <c r="A2" t="s">
        <v>75</v>
      </c>
      <c r="C2" t="s">
        <v>129</v>
      </c>
      <c r="E2" t="s">
        <v>5</v>
      </c>
      <c r="G2" t="s">
        <v>5</v>
      </c>
      <c r="I2" t="s">
        <v>5</v>
      </c>
      <c r="K2" s="37" t="str">
        <f>'Guide - SOTP Indicative Model'!C13</f>
        <v>Raízen</v>
      </c>
      <c r="L2" s="36" t="s">
        <v>0</v>
      </c>
      <c r="M2" s="33">
        <f>'Guide - SOTP Indicative Model'!H13</f>
        <v>7948574892.6000004</v>
      </c>
    </row>
    <row r="3" spans="1:14">
      <c r="A3" t="s">
        <v>9</v>
      </c>
      <c r="C3" t="s">
        <v>9</v>
      </c>
      <c r="K3" s="37" t="str">
        <f>'Guide - SOTP Indicative Model'!C14</f>
        <v>Rumo</v>
      </c>
      <c r="L3" s="36" t="s">
        <v>1</v>
      </c>
      <c r="M3" s="33">
        <f>'Guide - SOTP Indicative Model'!H14</f>
        <v>10035526101.6</v>
      </c>
    </row>
    <row r="4" spans="1:14">
      <c r="K4" s="37" t="str">
        <f>'Guide - SOTP Indicative Model'!C16</f>
        <v>Compass³</v>
      </c>
      <c r="L4" s="36" t="s">
        <v>3</v>
      </c>
      <c r="M4" s="33">
        <f>'Guide - SOTP Indicative Model'!H16</f>
        <v>4091601000</v>
      </c>
    </row>
    <row r="5" spans="1:14">
      <c r="K5" s="37" t="str">
        <f>'Guide - SOTP Indicative Model'!C17</f>
        <v>Moove³</v>
      </c>
      <c r="L5" s="36" t="s">
        <v>8</v>
      </c>
      <c r="M5" s="33">
        <f>'Guide - SOTP Indicative Model'!H17</f>
        <v>1326385000</v>
      </c>
    </row>
    <row r="6" spans="1:14">
      <c r="K6" s="37" t="str">
        <f>'Guide - SOTP Indicative Model'!C18</f>
        <v>Radar</v>
      </c>
      <c r="L6" s="36" t="s">
        <v>131</v>
      </c>
      <c r="M6" s="33">
        <f>'Guide - SOTP Indicative Model'!H18</f>
        <v>4909109000</v>
      </c>
    </row>
    <row r="7" spans="1:14">
      <c r="A7" t="s">
        <v>76</v>
      </c>
      <c r="C7" t="s">
        <v>31</v>
      </c>
      <c r="K7" s="37" t="str">
        <f>'Guide - SOTP Indicative Model'!C15</f>
        <v>Vale</v>
      </c>
      <c r="L7" s="36" t="s">
        <v>2</v>
      </c>
      <c r="M7" s="33">
        <f>'Guide - SOTP Indicative Model'!H15</f>
        <v>10112070205.300001</v>
      </c>
    </row>
    <row r="8" spans="1:14" ht="26">
      <c r="A8" t="s">
        <v>11</v>
      </c>
      <c r="C8" t="s">
        <v>129</v>
      </c>
      <c r="K8" s="37" t="str">
        <f>'Guide - SOTP Indicative Model'!C23</f>
        <v>G&amp;A and Other Investments</v>
      </c>
      <c r="L8" s="36" t="s">
        <v>137</v>
      </c>
      <c r="M8" s="33">
        <f>'Guide - SOTP Indicative Model'!H23</f>
        <v>-2679939727.7999997</v>
      </c>
    </row>
    <row r="9" spans="1:14" ht="26">
      <c r="C9" t="s">
        <v>11</v>
      </c>
      <c r="K9" s="37" t="str">
        <f>'Guide - SOTP Indicative Model'!C24</f>
        <v>Net Debt (Corporate)</v>
      </c>
      <c r="L9" s="36" t="s">
        <v>127</v>
      </c>
      <c r="M9" s="33">
        <f>'Guide - SOTP Indicative Model'!H24</f>
        <v>-23462099760.329998</v>
      </c>
    </row>
    <row r="10" spans="1:14" ht="39">
      <c r="K10" s="37" t="str">
        <f>'Guide - SOTP Indicative Model'!C28</f>
        <v>Preferred shares updated redemption value²</v>
      </c>
      <c r="L10" s="36" t="s">
        <v>138</v>
      </c>
      <c r="M10" s="33">
        <f>'Guide - SOTP Indicative Model'!H28</f>
        <v>-8541000000</v>
      </c>
    </row>
    <row r="11" spans="1:14">
      <c r="K11" s="37" t="str">
        <f>'Guide - SOTP Indicative Model'!C36</f>
        <v>Holding Discount (l = j-k)</v>
      </c>
      <c r="L11" s="36" t="s">
        <v>128</v>
      </c>
      <c r="M11" s="33">
        <f>'Guide - SOTP Indicative Model'!H36</f>
        <v>11426313371.510002</v>
      </c>
    </row>
    <row r="12" spans="1:14">
      <c r="K12" s="37" t="str">
        <f>'Guide - SOTP Indicative Model'!C33</f>
        <v>CSAN3 Market Value</v>
      </c>
      <c r="L12" s="36" t="s">
        <v>79</v>
      </c>
      <c r="M12" s="33">
        <f>'Guide - SOTP Indicative Model'!H33</f>
        <v>15166540082.880001</v>
      </c>
      <c r="N12" s="33"/>
    </row>
    <row r="13" spans="1:14">
      <c r="N13" s="33"/>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2.xml><?xml version="1.0" encoding="utf-8"?>
<ds:datastoreItem xmlns:ds="http://schemas.openxmlformats.org/officeDocument/2006/customXml" ds:itemID="{F66E77F1-C15F-4C28-B09C-EB548465E8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Guide and Assumptions</vt:lpstr>
      <vt:lpstr>Guide - SOTP Indicative Model</vt:lpstr>
      <vt:lpstr>Sources</vt:lpstr>
      <vt:lpstr>Others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2025-03-10T23:16:23Z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