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5/3T25/SOTP/"/>
    </mc:Choice>
  </mc:AlternateContent>
  <xr:revisionPtr revIDLastSave="54" documentId="8_{E7F69120-4195-46FD-8FB6-4362C08DAD22}" xr6:coauthVersionLast="47" xr6:coauthVersionMax="47" xr10:uidLastSave="{E8F86872-48B8-4309-8536-5D3CB7B2E2EE}"/>
  <bookViews>
    <workbookView xWindow="-110" yWindow="-110" windowWidth="19420" windowHeight="10300" activeTab="1" xr2:uid="{6A3D670A-5D9B-437A-A5E6-5095F69CC653}"/>
  </bookViews>
  <sheets>
    <sheet name="Capa" sheetId="15" r:id="rId1"/>
    <sheet name="Guia e Premissas" sheetId="11" r:id="rId2"/>
    <sheet name="Modelo indicativo da SOTP" sheetId="4" r:id="rId3"/>
    <sheet name="Others" sheetId="9" state="hidden" r:id="rId4"/>
    <sheet name="Fontes" sheetId="13" r:id="rId5"/>
  </sheets>
  <externalReferences>
    <externalReference r:id="rId6"/>
  </externalReferences>
  <definedNames>
    <definedName name="_xlchart.v1.0" hidden="1">Others!$L$2:$L$11</definedName>
    <definedName name="_xlchart.v1.1" hidden="1">Others!$M$2:$M$11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 i="4" l="1"/>
  <c r="H23" i="4" a="1"/>
  <c r="H23" i="4" s="1"/>
  <c r="M8" i="9" s="1"/>
  <c r="H17" i="4" a="1"/>
  <c r="H17" i="4" s="1"/>
  <c r="H16" i="4" a="1"/>
  <c r="H16" i="4" s="1"/>
  <c r="H15" i="4" a="1"/>
  <c r="H15" i="4" s="1"/>
  <c r="H14" i="4" a="1"/>
  <c r="H14" i="4" s="1"/>
  <c r="H13" i="4" a="1"/>
  <c r="H13" i="4" s="1"/>
  <c r="H32" i="4"/>
  <c r="M11" i="9" s="1"/>
  <c r="AB19" i="11"/>
  <c r="AA19" i="11"/>
  <c r="Z19" i="11"/>
  <c r="Y19" i="11"/>
  <c r="X19" i="11"/>
  <c r="W19" i="11"/>
  <c r="V19" i="11"/>
  <c r="U19" i="11"/>
  <c r="T19" i="11"/>
  <c r="S19" i="11"/>
  <c r="K10" i="9"/>
  <c r="K11" i="9"/>
  <c r="K9" i="9"/>
  <c r="K8" i="9"/>
  <c r="K7" i="9"/>
  <c r="K6" i="9"/>
  <c r="K5" i="9"/>
  <c r="K4" i="9"/>
  <c r="K3" i="9"/>
  <c r="K2" i="9"/>
  <c r="H27" i="4" a="1"/>
  <c r="H27" i="4"/>
  <c r="M9" i="9"/>
  <c r="H22" i="4" l="1" a="1"/>
  <c r="H22" i="4" s="1"/>
  <c r="M7" i="9" s="1"/>
  <c r="M6" i="9"/>
  <c r="G17" i="4"/>
  <c r="M5" i="9"/>
  <c r="G16" i="4"/>
  <c r="G15" i="4"/>
  <c r="M4" i="9"/>
  <c r="G14" i="4"/>
  <c r="M3" i="9"/>
  <c r="G13" i="4"/>
  <c r="M2" i="9"/>
  <c r="H31" i="4" l="1"/>
  <c r="H35" i="4" s="1"/>
  <c r="M10" i="9" s="1"/>
  <c r="H36" i="4" l="1"/>
  <c r="H33"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<sst xmlns="http://schemas.openxmlformats.org/spreadsheetml/2006/main" count="267" uniqueCount="156">
  <si>
    <t>Raízen</t>
  </si>
  <si>
    <t>Rumo</t>
  </si>
  <si>
    <t>Compass</t>
  </si>
  <si>
    <t>EBITDA</t>
  </si>
  <si>
    <t>Input</t>
  </si>
  <si>
    <t>G&amp;A</t>
  </si>
  <si>
    <t>(R$ bn)</t>
  </si>
  <si>
    <t>EBITDA Guidance</t>
  </si>
  <si>
    <t>Moove</t>
  </si>
  <si>
    <t>EV/EBITDA Guidance</t>
  </si>
  <si>
    <t>-</t>
  </si>
  <si>
    <t>EV/EBITDA LTM</t>
  </si>
  <si>
    <t>Inputs</t>
  </si>
  <si>
    <t>Cosan</t>
  </si>
  <si>
    <t>https://www.cosan.com.br/sobre-a-cosan/composicao-acionaria/</t>
  </si>
  <si>
    <t>https://ri.raizen.com.br/sobre-a-raizen/composicao-acionaria/</t>
  </si>
  <si>
    <t>https://ri.raizen.com.br/sobre-a-raizen/estrutura-societaria/</t>
  </si>
  <si>
    <t>https://ri.raizen.com.br/informacoes-financeiras/central-de-resultados/</t>
  </si>
  <si>
    <t>https://ri.rumolog.com/governanca-corporativa/composicao-acionaria/</t>
  </si>
  <si>
    <t>https://ri.rumolog.com/informacoes-financeiras/central-de-resultados/</t>
  </si>
  <si>
    <t>https://www.compassbr.com/governanca-corporativa/composicao-acionaria/</t>
  </si>
  <si>
    <t>https://www.compassbr.com/divulgacao-de-resultados/central-de-resultados/</t>
  </si>
  <si>
    <t>https://www.cosan.com.br/informacoes-financeiras/central-de-resultados/</t>
  </si>
  <si>
    <t>Guia e Premissas</t>
  </si>
  <si>
    <t>Guia</t>
  </si>
  <si>
    <t>Como usar esta ferramenta?</t>
  </si>
  <si>
    <t>Companhias</t>
  </si>
  <si>
    <t>Entradas e valores base</t>
  </si>
  <si>
    <t>Todos os valores apresentados aqui são informações públicas fornecidas pelas empresas envolvidas neste documento. As informações são atualizadas trimestralmente com a divulgação das demonstrações financeiras de cada empresa ou de outros documentos que contenham os dados exibidos. As fontes de cada valor podem ser encontradas na planilha "Fontes".</t>
  </si>
  <si>
    <t>Último Update:</t>
  </si>
  <si>
    <t>Múltiplo
EV/EBITDA</t>
  </si>
  <si>
    <t>Múltiplo
G&amp;A</t>
  </si>
  <si>
    <t>Componentes</t>
  </si>
  <si>
    <t>Corporativo</t>
  </si>
  <si>
    <t>Estrutura de Financiamento da Vale</t>
  </si>
  <si>
    <t>Resultados</t>
  </si>
  <si>
    <t>Método de valuation</t>
  </si>
  <si>
    <t>Valor (RS bn)</t>
  </si>
  <si>
    <t>CSAN3 Preço-alvo por ação (R$)</t>
  </si>
  <si>
    <t>GRÁFICO</t>
  </si>
  <si>
    <t>Fontes</t>
  </si>
  <si>
    <t>Ações em circulação</t>
  </si>
  <si>
    <t>Ações detidas pela Cosan</t>
  </si>
  <si>
    <t>Dívida Líquida</t>
  </si>
  <si>
    <t>Parcelas a pagar</t>
  </si>
  <si>
    <t>Último disponível</t>
  </si>
  <si>
    <t>Múltiplo</t>
  </si>
  <si>
    <t>Capitalização de mercado</t>
  </si>
  <si>
    <t>Release de Resultados</t>
  </si>
  <si>
    <t>Demostrações Financeiras / ITR</t>
  </si>
  <si>
    <t>Planilha por segmento</t>
  </si>
  <si>
    <t>Todas as células destacadas em amarelo são editáveis, permitindo ao usuário determinar os métodos de avaliação de cada ativo do portfólio da COSAN. Uma vez escolhido o método de avaliação de cada ativo/dívida, será apresentado o valor da Soma das Partes (SOTP). Este valor pode ser comparado com a capitalização de mercado de CSAN3, indicando o desconto implícito no preço de mercado de CSAN3.</t>
  </si>
  <si>
    <t>Modelo indicativo da SOTP¹</t>
  </si>
  <si>
    <t>Múltiplo Implícito²</t>
  </si>
  <si>
    <t>Preço Alvo</t>
  </si>
  <si>
    <t>Todas as informações contidas neste documento são públicas conforme descrito neste e em outros documentos públicos divulgados pela Companhia, notadamente suas demonstrações financeiras trimestrais e anuais auditadas. Esse material está sujeito a revisão e ajuste sem aviso prévio e deve ser lido e analisado considerando a data base das informações utilizadas, nos termos divulgados pela Cosan.</t>
  </si>
  <si>
    <t>Ao fazer esta planilha, nem a Companhia, nem qualquer de seus afiliados, executivos, diretores, funcionários, agentes, representantes ou quaisquer terceiros agindo em seu nome, assume qualquer obrigação de fornecer acesso ou publicar qualquer informação adicional, atualizar esta ferramenta ou corrigir quaisquer imprecisões. A Companhia também não se responsabiliza pelo uso desse material no todo ou em parte de forma diversa da seguir apresentada. Também, a Cosan não se responsabiliza por alterações ou intervenções realizadas por terceiros, nem por relatórios, análises, matérias jornalísticas, publicações ou previsões de terceiros que se baseiem neste material.</t>
  </si>
  <si>
    <t>A apresentação do material não se trata de uma declaração ou garantia com expectativa de rendimentos futuros e/ou pagamento e/ou retorno de qualquer valor investido.</t>
  </si>
  <si>
    <t>CSAN3 Valor de mercado atual</t>
  </si>
  <si>
    <t xml:space="preserve">CSAN3 Preço por ação da Soma das Partes - SOTP </t>
  </si>
  <si>
    <t>Dívida Líquida
(Corporativo)</t>
  </si>
  <si>
    <t>CSAN3 Valor de
mercado atual</t>
  </si>
  <si>
    <t>Valor de Resgate das
Ações Preferenciais</t>
  </si>
  <si>
    <t>Source:</t>
  </si>
  <si>
    <t>Preço de mercado
(R$ por ação)</t>
  </si>
  <si>
    <t>Participação</t>
  </si>
  <si>
    <t>Valor de Resgate Atualizado das Ações Preferenciais</t>
  </si>
  <si>
    <t>Valor de Resgate Atualizado das Ações Preferenciais²</t>
  </si>
  <si>
    <t>(a)</t>
  </si>
  <si>
    <t>(b)</t>
  </si>
  <si>
    <t>(d)</t>
  </si>
  <si>
    <t>(e)</t>
  </si>
  <si>
    <t>(f)</t>
  </si>
  <si>
    <t>(g)</t>
  </si>
  <si>
    <t>(h)</t>
  </si>
  <si>
    <t>(i)</t>
  </si>
  <si>
    <t>(j)</t>
  </si>
  <si>
    <t>(k)</t>
  </si>
  <si>
    <t>(l)</t>
  </si>
  <si>
    <t>Disclaimer</t>
  </si>
  <si>
    <t>O material não substitui a necessidade de o investidor ou acionista procurar seus próprios assessores e seguir com a leitura cuidadosa dos documentos e informações tornados públicos pela Cosan, para que possa conduzir sua própria análise, avaliação e investigação independente sobre a Cosan, suas atividades e situação financeira no momento da tomada de decisão de investimento.</t>
  </si>
  <si>
    <t>Nota 1: Para efeito de cálculo de soma das partes, para Raízen e Compass consideramos os percentuais totais detidos pela Cosan Nove e Cosan Dez, respectivamente, uma vez que a distribuição de dividendos é desproporcional ao percentual detido por cada assionista destas empresas e que o valor das ações preferenciais atualizado no caso de um possível resgate pela Cosan está sendo considerado como passivo.</t>
  </si>
  <si>
    <t>Corporativo³</t>
  </si>
  <si>
    <t>Nota 3: O Corporativo considera as empresas conforme estrutura demosntrada no Guia de Modelagem e nas demonstrações financeiras disponíveis no site de RI da Cosan.</t>
  </si>
  <si>
    <t>Book Value</t>
  </si>
  <si>
    <t>Métodos de avaliação</t>
  </si>
  <si>
    <t>Definições</t>
  </si>
  <si>
    <r>
      <rPr>
        <b/>
        <sz val="11"/>
        <color theme="1"/>
        <rFont val="Calibri"/>
        <family val="2"/>
        <scheme val="minor"/>
      </rPr>
      <t>EBITDA LTM:</t>
    </r>
    <r>
      <rPr>
        <sz val="11"/>
        <color theme="1"/>
        <rFont val="Calibri"/>
        <family val="2"/>
        <scheme val="minor"/>
      </rPr>
      <t xml:space="preserve"> EBITDA ajustado acumulado dos últimos doze meses</t>
    </r>
  </si>
  <si>
    <r>
      <rPr>
        <b/>
        <sz val="11"/>
        <color theme="1"/>
        <rFont val="Calibri"/>
        <family val="2"/>
        <scheme val="minor"/>
      </rPr>
      <t>Book Value:</t>
    </r>
    <r>
      <rPr>
        <sz val="11"/>
        <color theme="1"/>
        <rFont val="Calibri"/>
        <family val="2"/>
        <scheme val="minor"/>
      </rPr>
      <t xml:space="preserve"> valor do patrimônio líquido na data da última atualização</t>
    </r>
  </si>
  <si>
    <r>
      <rPr>
        <b/>
        <sz val="11"/>
        <color theme="1"/>
        <rFont val="Calibri"/>
        <family val="2"/>
        <scheme val="minor"/>
      </rPr>
      <t xml:space="preserve">EBITDA </t>
    </r>
    <r>
      <rPr>
        <b/>
        <i/>
        <sz val="11"/>
        <color theme="1"/>
        <rFont val="Calibri"/>
        <family val="2"/>
        <scheme val="minor"/>
      </rPr>
      <t>Guidance</t>
    </r>
    <r>
      <rPr>
        <b/>
        <sz val="11"/>
        <color theme="1"/>
        <rFont val="Calibri"/>
        <family val="2"/>
        <scheme val="minor"/>
      </rPr>
      <t>:</t>
    </r>
    <r>
      <rPr>
        <sz val="11"/>
        <color theme="1"/>
        <rFont val="Calibri"/>
        <family val="2"/>
        <scheme val="minor"/>
      </rPr>
      <t xml:space="preserve"> valor médio do EBITDA apresentado pela empresa como </t>
    </r>
    <r>
      <rPr>
        <i/>
        <sz val="11"/>
        <color theme="1"/>
        <rFont val="Calibri"/>
        <family val="2"/>
        <scheme val="minor"/>
      </rPr>
      <t>guidance</t>
    </r>
    <r>
      <rPr>
        <sz val="11"/>
        <color theme="1"/>
        <rFont val="Calibri"/>
        <family val="2"/>
        <scheme val="minor"/>
      </rPr>
      <t xml:space="preserve"> para o ano, quando aplicável</t>
    </r>
    <r>
      <rPr>
        <b/>
        <sz val="11"/>
        <color theme="1"/>
        <rFont val="Calibri"/>
        <family val="2"/>
        <scheme val="minor"/>
      </rPr>
      <t xml:space="preserve">
</t>
    </r>
  </si>
  <si>
    <r>
      <rPr>
        <b/>
        <sz val="11"/>
        <color theme="1"/>
        <rFont val="Calibri"/>
        <family val="2"/>
        <scheme val="minor"/>
      </rPr>
      <t>Parcelas a pagar:</t>
    </r>
    <r>
      <rPr>
        <sz val="11"/>
        <color theme="1"/>
        <rFont val="Calibri"/>
        <family val="2"/>
        <scheme val="minor"/>
      </rPr>
      <t xml:space="preserve"> valor em aberto a ser pago pelo aumento de participação no segmento de Terras (Radar, Tellus e Janus)</t>
    </r>
  </si>
  <si>
    <r>
      <rPr>
        <b/>
        <sz val="11"/>
        <color theme="1"/>
        <rFont val="Calibri"/>
        <family val="2"/>
        <scheme val="minor"/>
      </rPr>
      <t xml:space="preserve">Preço de Mercado (R$ por ação): </t>
    </r>
    <r>
      <rPr>
        <sz val="11"/>
        <color theme="1"/>
        <rFont val="Calibri"/>
        <family val="2"/>
        <scheme val="minor"/>
      </rPr>
      <t>preço de fechamento por ação na data da atualização desta planilha</t>
    </r>
  </si>
  <si>
    <r>
      <rPr>
        <b/>
        <sz val="11"/>
        <color theme="1"/>
        <rFont val="Calibri"/>
        <family val="2"/>
        <scheme val="minor"/>
      </rPr>
      <t>Ações detidas:</t>
    </r>
    <r>
      <rPr>
        <sz val="11"/>
        <color theme="1"/>
        <rFont val="Calibri"/>
        <family val="2"/>
        <scheme val="minor"/>
      </rPr>
      <t xml:space="preserve"> total de ações detidas pela Cosan</t>
    </r>
  </si>
  <si>
    <r>
      <rPr>
        <b/>
        <sz val="11"/>
        <color theme="1"/>
        <rFont val="Calibri"/>
        <family val="2"/>
        <scheme val="minor"/>
      </rPr>
      <t xml:space="preserve">Valor de Mercado: </t>
    </r>
    <r>
      <rPr>
        <sz val="11"/>
        <color theme="1"/>
        <rFont val="Calibri"/>
        <family val="2"/>
        <scheme val="minor"/>
      </rPr>
      <t>preço de mercado multiplicado pelo número de ações em circulação</t>
    </r>
  </si>
  <si>
    <r>
      <rPr>
        <b/>
        <sz val="11"/>
        <color theme="1"/>
        <rFont val="Calibri"/>
        <family val="2"/>
        <scheme val="minor"/>
      </rPr>
      <t>Dívida Líquida</t>
    </r>
    <r>
      <rPr>
        <sz val="11"/>
        <color theme="1"/>
        <rFont val="Calibri"/>
        <family val="2"/>
        <scheme val="minor"/>
      </rPr>
      <t>: é a medida que considera empréstimos e financiamentos (dívida bruta) menos caixa e equivalente de caixa e títulos e valores mobiliários</t>
    </r>
  </si>
  <si>
    <r>
      <rPr>
        <b/>
        <sz val="11"/>
        <color theme="1"/>
        <rFont val="Calibri"/>
        <family val="2"/>
        <scheme val="minor"/>
      </rPr>
      <t>Ações preferenciais:</t>
    </r>
    <r>
      <rPr>
        <sz val="11"/>
        <color theme="1"/>
        <rFont val="Calibri"/>
        <family val="2"/>
        <scheme val="minor"/>
      </rPr>
      <t xml:space="preserve"> estrutura de equity utilizada para captação de Recursos para aquisição de participação minoritária na Vale. A estrutura inclui a emissão de ações preferenciais de holdings intermediárias entre Cosan e Compass/Raizen </t>
    </r>
  </si>
  <si>
    <r>
      <rPr>
        <b/>
        <sz val="11"/>
        <color theme="1"/>
        <rFont val="Calibri"/>
        <family val="2"/>
        <scheme val="minor"/>
      </rPr>
      <t>EV/EBITDA Guidance</t>
    </r>
    <r>
      <rPr>
        <sz val="11"/>
        <color theme="1"/>
        <rFont val="Calibri"/>
        <family val="2"/>
        <scheme val="minor"/>
      </rPr>
      <t>: Múltiplo utilizado para determinar o valuation da empresa. Nesta opção, o usuário deve insirir um múltiplo justo do ativo. Esse método utiliza o valor médio do EBITDA apresentado pela empresa como guidance, quando a empresa publica o guidance para o ano, ou  o EBITDA LTM, quando a empresa não publica o guidance</t>
    </r>
  </si>
  <si>
    <t>Ao avaliar os ativos, o usuário pode escolher diferentes métodos de avaliação para determinar o valor de cada empresa</t>
  </si>
  <si>
    <t>Preço Médio Bloomberg
(R$ por ação)</t>
  </si>
  <si>
    <r>
      <rPr>
        <b/>
        <sz val="11"/>
        <color theme="1"/>
        <rFont val="Calibri"/>
        <family val="2"/>
        <scheme val="minor"/>
      </rPr>
      <t>Total de ações ex-tesouraria:</t>
    </r>
    <r>
      <rPr>
        <sz val="11"/>
        <color theme="1"/>
        <rFont val="Calibri"/>
        <family val="2"/>
        <scheme val="minor"/>
      </rPr>
      <t xml:space="preserve"> total de ações excluindo ações mantidas em tesouraria</t>
    </r>
  </si>
  <si>
    <t>Total de ações ex-tesouraria</t>
  </si>
  <si>
    <t>Preço Médio Bloomberg</t>
  </si>
  <si>
    <r>
      <rPr>
        <b/>
        <sz val="11"/>
        <color theme="1"/>
        <rFont val="Calibri"/>
        <family val="2"/>
        <scheme val="minor"/>
      </rPr>
      <t xml:space="preserve">Preço Médio Bloomberg (R$ por ação): </t>
    </r>
    <r>
      <rPr>
        <sz val="11"/>
        <color theme="1"/>
        <rFont val="Calibri"/>
        <family val="2"/>
        <scheme val="minor"/>
      </rPr>
      <t>média do preço target dos analistas Sell Side que cobrem a Companhia extraida da Bloomberg</t>
    </r>
  </si>
  <si>
    <r>
      <rPr>
        <b/>
        <i/>
        <sz val="11"/>
        <color theme="1"/>
        <rFont val="Calibri"/>
        <family val="2"/>
      </rPr>
      <t>Book Value</t>
    </r>
    <r>
      <rPr>
        <b/>
        <sz val="11"/>
        <color theme="1"/>
        <rFont val="Calibri"/>
        <family val="2"/>
      </rPr>
      <t xml:space="preserve">: </t>
    </r>
    <r>
      <rPr>
        <sz val="11"/>
        <color theme="1"/>
        <rFont val="Calibri"/>
        <family val="2"/>
      </rPr>
      <t>V</t>
    </r>
    <r>
      <rPr>
        <sz val="11"/>
        <color theme="1"/>
        <rFont val="Calibri"/>
        <family val="2"/>
        <scheme val="minor"/>
      </rPr>
      <t xml:space="preserve">alor do ativo menos o total do passivo = valor contábil da empresa </t>
    </r>
  </si>
  <si>
    <t xml:space="preserve">Demostrações Financeiras / ITR </t>
  </si>
  <si>
    <r>
      <rPr>
        <b/>
        <sz val="11"/>
        <color theme="1"/>
        <rFont val="Calibri"/>
        <family val="2"/>
        <scheme val="minor"/>
      </rPr>
      <t>Capitalização de Mercado:</t>
    </r>
    <r>
      <rPr>
        <sz val="11"/>
        <color theme="1"/>
        <rFont val="Calibri"/>
        <family val="2"/>
        <scheme val="minor"/>
      </rPr>
      <t xml:space="preserve"> Número de ações detidas pela Cosan no ativo multiplicado pelo preço de mercado da última data disponível</t>
    </r>
  </si>
  <si>
    <r>
      <rPr>
        <b/>
        <sz val="11"/>
        <color theme="1"/>
        <rFont val="Calibri"/>
        <family val="2"/>
        <scheme val="minor"/>
      </rPr>
      <t>Preço Alvo:</t>
    </r>
    <r>
      <rPr>
        <sz val="11"/>
        <color theme="1"/>
        <rFont val="Calibri"/>
        <family val="2"/>
        <scheme val="minor"/>
      </rPr>
      <t xml:space="preserve"> Número de ações detidas pela Cosan no ativo multiplicado pelo preço médio bloomberg para cada um deles ou com o preço alvo inserido pelo usuário</t>
    </r>
  </si>
  <si>
    <r>
      <rPr>
        <b/>
        <sz val="11"/>
        <color theme="1"/>
        <rFont val="Calibri"/>
        <family val="2"/>
        <scheme val="minor"/>
      </rPr>
      <t>Participação:</t>
    </r>
    <r>
      <rPr>
        <sz val="11"/>
        <color theme="1"/>
        <rFont val="Calibri"/>
        <family val="2"/>
        <scheme val="minor"/>
      </rPr>
      <t xml:space="preserve"> total de ações detidas dividido pela número de total de ações ex-tesouraria</t>
    </r>
  </si>
  <si>
    <t>Bloomberg</t>
  </si>
  <si>
    <t>https://ri.rumolog.com/divulgacoes-e-documentos/avisos-comunicados-e-fatos-relevantes/</t>
  </si>
  <si>
    <t>Equity Value</t>
  </si>
  <si>
    <t>Radar²</t>
  </si>
  <si>
    <t>Radar</t>
  </si>
  <si>
    <t>Nota 2: Segmento Radar considera a participação de 50% na Radar e 20% em Tellus e Janus.</t>
  </si>
  <si>
    <t>Data base informações:</t>
  </si>
  <si>
    <t>Outros Investimentos</t>
  </si>
  <si>
    <t>Desconto de holding</t>
  </si>
  <si>
    <t>G&amp;A Corporativo e Outros Investimentos</t>
  </si>
  <si>
    <t>G&amp;A Corporativo e
Outros Investimentos</t>
  </si>
  <si>
    <t xml:space="preserve">Estrutura Vale - Preferenciais </t>
  </si>
  <si>
    <t>Valor de Resgate Atualizado das Ações preferenciais
(R$ bn)</t>
  </si>
  <si>
    <t>Participação
(%)¹</t>
  </si>
  <si>
    <r>
      <t>A apresentação a seguir é um material de apoio disponibilizado aos acionistas como forma de auxiliar no cálculo do desconto de holding observado na Cosan S.A. (“</t>
    </r>
    <r>
      <rPr>
        <i/>
        <u/>
        <sz val="11"/>
        <color rgb="FF000000"/>
        <rFont val="Calibri Light"/>
        <family val="2"/>
      </rPr>
      <t>Cosan</t>
    </r>
    <r>
      <rPr>
        <i/>
        <sz val="11"/>
        <color rgb="FF000000"/>
        <rFont val="Calibri Light"/>
        <family val="2"/>
      </rPr>
      <t>” ou “</t>
    </r>
    <r>
      <rPr>
        <i/>
        <u/>
        <sz val="11"/>
        <color rgb="FF000000"/>
        <rFont val="Calibri Light"/>
        <family val="2"/>
      </rPr>
      <t>Companhia</t>
    </r>
    <r>
      <rPr>
        <i/>
        <sz val="11"/>
        <color rgb="FF000000"/>
        <rFont val="Calibri Light"/>
        <family val="2"/>
      </rPr>
      <t>”).</t>
    </r>
  </si>
  <si>
    <t>Input G&amp;A
(RS bi)</t>
  </si>
  <si>
    <t>Input Dívida Líquida
(RS bi)</t>
  </si>
  <si>
    <t>G&amp;A LTM
(R$ bi)</t>
  </si>
  <si>
    <t>Equity Value (@100%)
(R$ bi)</t>
  </si>
  <si>
    <t>EBITDA LTM
(R$ bi)</t>
  </si>
  <si>
    <t>EBITDA Guidance
(RS bi)</t>
  </si>
  <si>
    <t>Dívida Líquida
(R$ bi)</t>
  </si>
  <si>
    <t>Book Value - atribuível ao controlador
(R$ bi)</t>
  </si>
  <si>
    <t>Parcelas a pagar 
(R$ bi)</t>
  </si>
  <si>
    <t>+</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</si>
  <si>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estimativa do valor de mercado (market cap) para companhias não listadas</t>
    </r>
  </si>
  <si>
    <t>Total de ações ex-tesouraria 
(bi)</t>
  </si>
  <si>
    <t>Ações detidas
(bi)</t>
  </si>
  <si>
    <t>Compass³</t>
  </si>
  <si>
    <t>Moove³</t>
  </si>
  <si>
    <t>Nota 3: Para utilização do método de valuation de equity value e EV/EBITDA na Compass e na Moove, preencher as premissas "Múltiplo
EV/EBITDA" e "Equity Value (@100%)" na aba "Guia e Premissas"</t>
  </si>
  <si>
    <r>
      <t xml:space="preserve">Nota 2:  A Cosan possui uma opção de compra a qual lhe confere o direito de recompra da totalidade das ações preferenciais da Cosan Nove e da Cosan Dez. O valor aqui apresentado é o de um pontencial resgate antecipado atualizado, conforme explicado </t>
    </r>
    <r>
      <rPr>
        <sz val="9"/>
        <color rgb="FF808080"/>
        <rFont val="Calibri"/>
        <family val="2"/>
        <scheme val="minor"/>
      </rPr>
      <t xml:space="preserve">no Release de Resultados 4T24  </t>
    </r>
    <r>
      <rPr>
        <i/>
        <sz val="9"/>
        <color rgb="FF808080"/>
        <rFont val="Calibri"/>
        <family val="2"/>
        <scheme val="minor"/>
      </rPr>
      <t>e na nota explicativa 5.12 Gestão de Risco Financeiro das Demonstrações Financeiras de 10 de março de 2025</t>
    </r>
  </si>
  <si>
    <t>Nota 1: Para Rumo e Compass - utilizado EBITDA Guidance quando valuation por "EV/EBITDA Guidance"</t>
  </si>
  <si>
    <t>RAÍZEN</t>
  </si>
  <si>
    <t>RUMO</t>
  </si>
  <si>
    <t>Outros Investimentos - Book Value 31/12/2023
(R$ bi)</t>
  </si>
  <si>
    <t>Guia de modelagem</t>
  </si>
  <si>
    <t>https://api.mziq.com/mzfilemanager/v2/d/6aa68515-2422-4cc4-bafa-8870ccdfedb0/ea2b64a3-01e4-c1dc-2e90-f49fded25c26?origin=2</t>
  </si>
  <si>
    <t>(c)</t>
  </si>
  <si>
    <r>
      <t xml:space="preserve">Soma das Partes - SOTP </t>
    </r>
    <r>
      <rPr>
        <b/>
        <sz val="10"/>
        <color rgb="FFFF0000"/>
        <rFont val="Calibri"/>
        <family val="2"/>
        <scheme val="minor"/>
      </rPr>
      <t>(j = a+b+c+d+e-f-g-h)</t>
    </r>
  </si>
  <si>
    <r>
      <t xml:space="preserve">Desconto de holding </t>
    </r>
    <r>
      <rPr>
        <b/>
        <sz val="10"/>
        <color rgb="FFFF0000"/>
        <rFont val="Calibri"/>
        <family val="2"/>
        <scheme val="minor"/>
      </rPr>
      <t>(k = j-i)</t>
    </r>
  </si>
  <si>
    <r>
      <t xml:space="preserve">Desconto de holding (%) </t>
    </r>
    <r>
      <rPr>
        <b/>
        <sz val="10"/>
        <color rgb="FFFF0000"/>
        <rFont val="Calibri"/>
        <family val="2"/>
        <scheme val="minor"/>
      </rPr>
      <t>(m=j/i-1)</t>
    </r>
  </si>
  <si>
    <t>Dívida Líquida (Corporativo)</t>
  </si>
  <si>
    <t>30/09/2025 - exceto quando indicado de outra forma</t>
  </si>
  <si>
    <t>Ações Tesouraria Setembro 2025</t>
  </si>
  <si>
    <t>Total de ações ex-tesouraria 30/09/2024
(bi)</t>
  </si>
  <si>
    <t>Fato Relevante - Atualização Guidance 2025 - 20/02/25</t>
  </si>
  <si>
    <t>Fato Relevante - Atualização Guidance 2025 - 25/02/25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</si>
</sst>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8">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i/>
      <sz val="11"/>
      <color theme="1"/>
      <name val="Calibri"/>
      <family val="2"/>
      <scheme val="minor"/>
    </font>
    <font>
      <b/>
      <sz val="11"/>
      <color theme="1"/>
      <name val="Calibri"/>
      <family val="2"/>
    </font>
    <font>
      <i/>
      <sz val="11"/>
      <color rgb="FF000000"/>
      <name val="Calibri Light"/>
      <family val="2"/>
    </font>
    <font>
      <i/>
      <u/>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8">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s>
  <cellStyleXfs count="32431">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38" fontId="46" fillId="52" borderId="33"/>
    <xf numFmtId="3" fontId="10" fillId="64" borderId="34">
      <alignment horizontal="center"/>
    </xf>
    <xf numFmtId="0" fontId="47" fillId="6" borderId="32" applyNumberFormat="0">
      <alignment horizontal="center"/>
    </xf>
    <xf numFmtId="38" fontId="47" fillId="5" borderId="32">
      <alignment horizontal="center"/>
    </xf>
    <xf numFmtId="38" fontId="47" fillId="5" borderId="32">
      <alignment horizontal="center"/>
    </xf>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41" fontId="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7" fillId="13" borderId="35" applyNumberFormat="0" applyAlignment="0" applyProtection="0"/>
    <xf numFmtId="0" fontId="85" fillId="0" borderId="31">
      <alignment horizontal="left" vertical="center"/>
    </xf>
    <xf numFmtId="0" fontId="85" fillId="0" borderId="31">
      <alignment horizontal="left" vertical="center"/>
    </xf>
    <xf numFmtId="0" fontId="79" fillId="14" borderId="33" applyNumberFormat="0" applyBorder="0" applyAlignment="0" applyProtection="0"/>
    <xf numFmtId="0" fontId="79" fillId="14" borderId="33" applyNumberFormat="0" applyBorder="0" applyAlignment="0" applyProtection="0"/>
    <xf numFmtId="0" fontId="85" fillId="0" borderId="37">
      <alignment horizontal="left" vertical="center"/>
    </xf>
    <xf numFmtId="0" fontId="85" fillId="0" borderId="37">
      <alignment horizontal="left" vertical="center"/>
    </xf>
    <xf numFmtId="0" fontId="11" fillId="14" borderId="36" applyNumberFormat="0" applyFont="0" applyAlignment="0" applyProtection="0"/>
    <xf numFmtId="0" fontId="11" fillId="14" borderId="36"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44" fontId="1"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6" fillId="0" borderId="0" applyNumberFormat="0" applyFill="0" applyBorder="0" applyAlignment="0" applyProtection="0"/>
  </cellStyleXfs>
  <cellXfs count="82">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430"/>
    <xf numFmtId="44" fontId="2" fillId="4" borderId="0" xfId="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188" fontId="2" fillId="0" borderId="0" xfId="0" applyNumberFormat="1" applyFont="1" applyAlignment="1">
      <alignment horizontal="center" vertical="center"/>
    </xf>
    <xf numFmtId="0" fontId="7" fillId="0" borderId="0" xfId="0" applyFont="1"/>
    <xf numFmtId="49" fontId="2" fillId="0" borderId="0" xfId="0" applyNumberFormat="1" applyFont="1" applyAlignment="1">
      <alignment horizontal="center" vertical="center" wrapText="1"/>
    </xf>
    <xf numFmtId="0" fontId="110" fillId="0" borderId="0" xfId="0" applyFont="1" applyAlignment="1">
      <alignment vertical="center"/>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11"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11" fillId="75" borderId="0" xfId="2" applyFont="1" applyFill="1"/>
    <xf numFmtId="0" fontId="7" fillId="0" borderId="0" xfId="0" applyFont="1" applyAlignment="1">
      <alignment vertical="center" wrapText="1"/>
    </xf>
    <xf numFmtId="0" fontId="0" fillId="0" borderId="0" xfId="0" applyAlignment="1">
      <alignment vertical="center"/>
    </xf>
    <xf numFmtId="0" fontId="113" fillId="0" borderId="0" xfId="0" applyFont="1" applyAlignment="1">
      <alignment horizontal="center" vertical="center"/>
    </xf>
    <xf numFmtId="0" fontId="26" fillId="0" borderId="0" xfId="32430" applyFill="1"/>
    <xf numFmtId="188" fontId="115" fillId="0" borderId="0" xfId="1" applyNumberFormat="1" applyFont="1" applyFill="1" applyAlignment="1">
      <alignment horizontal="center" vertical="center"/>
    </xf>
    <xf numFmtId="188" fontId="115" fillId="0" borderId="0" xfId="1" applyNumberFormat="1" applyFont="1" applyAlignment="1">
      <alignment horizontal="center" vertical="center"/>
    </xf>
    <xf numFmtId="14" fontId="0" fillId="0" borderId="2" xfId="0" applyNumberFormat="1" applyBorder="1" applyAlignment="1">
      <alignment horizontal="left" vertical="center"/>
    </xf>
    <xf numFmtId="0" fontId="0" fillId="0" borderId="2" xfId="0" applyBorder="1"/>
    <xf numFmtId="0" fontId="108" fillId="75" borderId="0" xfId="0" applyFont="1" applyFill="1" applyAlignment="1">
      <alignment horizontal="left" vertical="center" wrapText="1" indent="8"/>
    </xf>
    <xf numFmtId="0" fontId="0" fillId="75" borderId="0" xfId="0" applyFill="1" applyAlignment="1">
      <alignment horizontal="left" indent="3"/>
    </xf>
    <xf numFmtId="0" fontId="112" fillId="75" borderId="0" xfId="0" applyFont="1" applyFill="1"/>
    <xf numFmtId="3" fontId="0" fillId="0" borderId="0" xfId="0" applyNumberFormat="1"/>
    <xf numFmtId="14" fontId="0" fillId="0" borderId="2" xfId="0" applyNumberFormat="1" applyBorder="1" applyAlignment="1">
      <alignment horizontal="center" vertical="center"/>
    </xf>
    <xf numFmtId="0" fontId="116" fillId="0" borderId="0" xfId="0" applyFont="1" applyAlignment="1">
      <alignment horizontal="left" vertical="center"/>
    </xf>
    <xf numFmtId="190" fontId="2" fillId="4" borderId="0" xfId="1" applyNumberFormat="1" applyFont="1" applyFill="1" applyAlignment="1" applyProtection="1">
      <alignment horizontal="center" vertical="center"/>
      <protection locked="0"/>
    </xf>
    <xf numFmtId="190" fontId="115" fillId="4" borderId="0" xfId="1" applyNumberFormat="1" applyFont="1" applyFill="1" applyAlignment="1" applyProtection="1">
      <alignment horizontal="center" vertical="center"/>
      <protection locked="0"/>
    </xf>
    <xf numFmtId="15" fontId="23" fillId="74" borderId="0" xfId="0" applyNumberFormat="1" applyFont="1" applyFill="1" applyAlignment="1">
      <alignment horizontal="center" vertical="center" wrapText="1"/>
    </xf>
    <xf numFmtId="0" fontId="0" fillId="0" borderId="0" xfId="0" applyAlignment="1">
      <alignment horizontal="left" vertical="center"/>
    </xf>
    <xf numFmtId="17" fontId="0" fillId="0" borderId="0" xfId="0" applyNumberFormat="1"/>
    <xf numFmtId="164" fontId="115" fillId="0" borderId="0" xfId="10" applyNumberFormat="1" applyFont="1" applyFill="1" applyAlignment="1">
      <alignment horizontal="center" vertical="center"/>
    </xf>
    <xf numFmtId="0" fontId="116" fillId="0" borderId="0" xfId="0" applyFont="1" applyAlignment="1">
      <alignment horizontal="left" vertical="center" wrapText="1"/>
    </xf>
    <xf numFmtId="0" fontId="26" fillId="0" borderId="0" xfId="32430" applyFill="1" applyAlignment="1">
      <alignment vertical="center" wrapText="1"/>
    </xf>
    <xf numFmtId="2" fontId="115" fillId="4" borderId="0" xfId="1" applyNumberFormat="1" applyFont="1" applyFill="1" applyAlignment="1" applyProtection="1">
      <alignment horizontal="center" vertical="center"/>
      <protection locked="0"/>
    </xf>
    <xf numFmtId="2" fontId="2" fillId="4" borderId="0" xfId="1" applyNumberFormat="1" applyFont="1" applyFill="1" applyAlignment="1" applyProtection="1">
      <alignment horizontal="center" vertical="center"/>
      <protection locked="0"/>
    </xf>
    <xf numFmtId="2" fontId="115" fillId="0" borderId="0" xfId="32182" applyNumberFormat="1" applyFont="1" applyFill="1" applyAlignment="1">
      <alignment horizontal="center" vertical="center"/>
    </xf>
    <xf numFmtId="189" fontId="2" fillId="4" borderId="0" xfId="1" applyNumberFormat="1" applyFont="1" applyFill="1" applyAlignment="1" applyProtection="1">
      <alignment horizontal="center" vertical="center"/>
      <protection locked="0"/>
    </xf>
    <xf numFmtId="188" fontId="115" fillId="0" borderId="0" xfId="32182" applyNumberFormat="1" applyFont="1" applyFill="1" applyAlignment="1">
      <alignment horizontal="center" vertical="center"/>
    </xf>
    <xf numFmtId="2" fontId="115" fillId="0" borderId="0" xfId="32182" applyNumberFormat="1" applyFont="1" applyFill="1" applyBorder="1" applyAlignment="1">
      <alignment horizontal="center" vertical="center"/>
    </xf>
    <xf numFmtId="2" fontId="115" fillId="0" borderId="0" xfId="32424" applyNumberFormat="1" applyFont="1" applyFill="1" applyAlignment="1">
      <alignment horizontal="center" vertical="center"/>
    </xf>
    <xf numFmtId="188" fontId="115" fillId="0" borderId="0" xfId="32424" applyNumberFormat="1" applyFont="1" applyFill="1" applyAlignment="1">
      <alignment horizontal="center" vertical="center"/>
    </xf>
    <xf numFmtId="2" fontId="115" fillId="0" borderId="0" xfId="32424" applyNumberFormat="1" applyFont="1" applyFill="1" applyBorder="1" applyAlignment="1">
      <alignment horizontal="center" vertical="center"/>
    </xf>
    <xf numFmtId="2" fontId="2" fillId="0" borderId="0" xfId="1" applyNumberFormat="1" applyFont="1" applyFill="1" applyAlignment="1" applyProtection="1">
      <alignment horizontal="center" vertical="center"/>
      <protection locked="0"/>
    </xf>
    <xf numFmtId="0" fontId="108" fillId="75" borderId="0" xfId="0" applyFont="1" applyFill="1" applyAlignment="1">
      <alignment horizontal="left" vertical="center" wrapText="1" indent="3"/>
    </xf>
    <xf numFmtId="0" fontId="0" fillId="0" borderId="0" xfId="0" applyAlignment="1">
      <alignment horizontal="left" vertical="center" wrapText="1"/>
    </xf>
    <xf numFmtId="0" fontId="105" fillId="0" borderId="0" xfId="0" applyFont="1" applyAlignment="1">
      <alignment horizontal="left" vertical="center" wrapText="1"/>
    </xf>
    <xf numFmtId="0" fontId="116" fillId="0" borderId="0" xfId="0" applyFont="1" applyAlignment="1">
      <alignment horizontal="left" vertical="center" wrapText="1"/>
    </xf>
  </cellXfs>
  <cellStyles count="32431">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 2" xfId="32192" xr:uid="{0D126C21-4B4C-4F0B-ABCC-2B88C9FBD93A}"/>
    <cellStyle name="a_Divisão_Display" xfId="6356" xr:uid="{C9213B0B-D999-463D-AF17-71EAB60F1D40}"/>
    <cellStyle name="a_Divisão_Display_1" xfId="6357" xr:uid="{5A40CB84-E881-4CF7-90C2-84D472EA274B}"/>
    <cellStyle name="a_Divisão_Display_1 2" xfId="32193" xr:uid="{E52D8F08-B380-4F47-97E6-53B5C6F7AE64}"/>
    <cellStyle name="a_Divisão_IR Diferido" xfId="6358" xr:uid="{4F1068DD-1DF9-4BA5-B3D4-0F318F1434BE}"/>
    <cellStyle name="a_Divisão_IR Diferido 2" xfId="32194" xr:uid="{52A64E15-4DDF-4CF8-8642-A88A2E5BC6A7}"/>
    <cellStyle name="a_Divisão_Lead" xfId="6359" xr:uid="{432621A1-822E-416C-978E-6606115BA10C}"/>
    <cellStyle name="a_Divisão_Lead 2" xfId="32195" xr:uid="{BC93B8AC-C04A-46EB-A07E-7D8DD267E4BB}"/>
    <cellStyle name="a_Divisão_Lead_IR Diferido" xfId="6360" xr:uid="{A75434F8-6F9F-4947-8DE2-5316C7446F63}"/>
    <cellStyle name="a_Divisão_Lead_IR Diferido 2" xfId="32196" xr:uid="{897F3C4B-2978-4668-AB81-A91D5E0CEF05}"/>
    <cellStyle name="a_Divisão_Mapa variáveis" xfId="6361" xr:uid="{38B4972C-023B-43EA-B97F-A64B1EF413CA}"/>
    <cellStyle name="a_Divisão_Mapa variáveis 2" xfId="32197" xr:uid="{582E53F4-53EC-4526-8DBC-CFD90AB0C61E}"/>
    <cellStyle name="a_Divisão_Mapa variáveis_1" xfId="6362" xr:uid="{4B9B7802-4536-4E4B-A7F9-38DB53A3A8B3}"/>
    <cellStyle name="a_Divisão_Mapa variáveis_1 2" xfId="32198" xr:uid="{46A534D6-165B-4293-B0E4-20BAB8514F4E}"/>
    <cellStyle name="a_Divisão_Mapa variáveis_1_Métricas Op. e Finan. (PT)" xfId="6363" xr:uid="{A0BAFC9B-E8C9-4594-A55B-69F2CAE033CC}"/>
    <cellStyle name="a_Divisão_Mapa variáveis_1_Métricas Op. e Finan. (PT) 2" xfId="32199" xr:uid="{8FA3D593-23A5-4E95-A82D-B9DBBEEF2D51}"/>
    <cellStyle name="a_Divisão_Mapa variáveis_Mapa variáveis" xfId="6364" xr:uid="{26643887-7CC5-4C5F-BC2D-9D078E696645}"/>
    <cellStyle name="a_Divisão_Mapa variáveis_Mapa variáveis 2" xfId="32200" xr:uid="{5293EA33-B90D-4B39-84A8-348C831931D8}"/>
    <cellStyle name="a_Divisão_Mapa variáveis_Mapa variáveis_Métricas Op. e Finan. (PT)" xfId="6365" xr:uid="{4D1446DA-3C49-49B1-96A1-F117A42820E7}"/>
    <cellStyle name="a_Divisão_Mapa variáveis_Mapa variáveis_Métricas Op. e Finan. (PT) 2" xfId="32201" xr:uid="{2011585B-3068-4CC3-9146-86C5E99D4C30}"/>
    <cellStyle name="a_Divisão_Mapa variáveis_Métricas Op. e Finan. (PT)" xfId="6366" xr:uid="{BE6FAA99-CC15-4B87-B0AF-95D9FB2BF9E8}"/>
    <cellStyle name="a_Divisão_Mapa variáveis_Métricas Op. e Finan. (PT) 2" xfId="32202" xr:uid="{5D14F580-E72C-42FE-94CB-42F243A8AFAB}"/>
    <cellStyle name="a_Divisão_Métricas Op. e Finan. (PT)" xfId="6367" xr:uid="{EFB7F780-44C7-454C-9C01-C530B2779BF6}"/>
    <cellStyle name="a_Divisão_Métricas Op. e Finan. (PT) 2" xfId="32203" xr:uid="{699521F6-B876-4E1B-AE12-20BBDB163E21}"/>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lbert style 2" xfId="32204" xr:uid="{B6730C65-96CB-40F7-8156-50EDC1E35C24}"/>
    <cellStyle name="Amarelocot" xfId="7082" xr:uid="{87DC7462-1FC0-4D21-985A-E9D354A2AE42}"/>
    <cellStyle name="anobase" xfId="7083" xr:uid="{4D32147E-829C-4D5D-8517-0B983F874596}"/>
    <cellStyle name="anobase 2" xfId="32205" xr:uid="{690014EF-6338-486A-B01E-C34ACB59283E}"/>
    <cellStyle name="anos" xfId="7084" xr:uid="{791F4590-1C35-4C9B-9AFC-7CF898F0C430}"/>
    <cellStyle name="anos 2" xfId="32206" xr:uid="{FDDD9B54-E806-434D-953F-22C67A02498D}"/>
    <cellStyle name="Área" xfId="7085" xr:uid="{EBD13A1E-8366-45C1-8D63-8152F0A969F2}"/>
    <cellStyle name="Área 2" xfId="7086" xr:uid="{6D01F8E1-0818-4844-9C4D-B3EB5B351E20}"/>
    <cellStyle name="Área 2 2" xfId="32208" xr:uid="{7E51B51B-0399-4EA3-951A-16C58938D366}"/>
    <cellStyle name="Área 3" xfId="32207" xr:uid="{B6ADF433-6A68-4567-A95E-70F2B59A123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2 2" xfId="32210" xr:uid="{D6AFC515-7D37-4EDD-9970-9F2387F419BD}"/>
    <cellStyle name="Calculation 10 3" xfId="7453" xr:uid="{FDE774B0-194D-467F-BACC-9449149F62C8}"/>
    <cellStyle name="Calculation 10 4" xfId="7454" xr:uid="{FE91D8CC-AB47-4235-B938-4938DE8197E1}"/>
    <cellStyle name="Calculation 10 5" xfId="7455" xr:uid="{4AE8527E-1630-43EA-B840-9081D2175E16}"/>
    <cellStyle name="Calculation 10 6" xfId="32209" xr:uid="{1BCFCC7A-0B2D-41E6-96CF-889BF0534449}"/>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2 2" xfId="32212" xr:uid="{8F5C5BE2-639A-446E-84F1-5CD12EB642BE}"/>
    <cellStyle name="Calculation 11 3" xfId="7459" xr:uid="{88D5D37F-A0A8-4B68-A245-C4446BA392F9}"/>
    <cellStyle name="Calculation 11 4" xfId="7460" xr:uid="{29F26407-A43C-4CEB-B66A-11D056BCC3A1}"/>
    <cellStyle name="Calculation 11 5" xfId="7461" xr:uid="{D733DF25-7650-4A6D-9837-987B2CFAB6D6}"/>
    <cellStyle name="Calculation 11 6" xfId="32211" xr:uid="{2411164D-9DDE-4001-828D-DC5E9499187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2 2" xfId="32214" xr:uid="{476CE1BE-C2CD-4B9E-8EE6-68FB05648566}"/>
    <cellStyle name="Calculation 12 3" xfId="7465" xr:uid="{73079437-190A-4724-A7C2-D52BC32E3CE8}"/>
    <cellStyle name="Calculation 12 4" xfId="7466" xr:uid="{B8A1C66F-C964-40B3-B8F7-98A5A33096AB}"/>
    <cellStyle name="Calculation 12 5" xfId="7467" xr:uid="{47C709C1-28A3-4B78-B54B-4FA20109BB88}"/>
    <cellStyle name="Calculation 12 6" xfId="32213" xr:uid="{5AA873B9-2AD4-4E2A-A4C7-4CABFA96CB16}"/>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 2 2" xfId="32216" xr:uid="{97E519F8-DB24-4C10-9EE8-4008EE485385}"/>
    <cellStyle name="Calculation 13 3" xfId="32215" xr:uid="{C4F4FE72-4D6C-42BE-82C5-F61DEEF94660}"/>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 2 2" xfId="32218" xr:uid="{89403B1B-147D-4C70-9F73-C9455D7468D5}"/>
    <cellStyle name="Calculation 14 3" xfId="32217" xr:uid="{96C9F589-959D-47AC-AF5C-04478D1812D3}"/>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 2 2" xfId="32220" xr:uid="{6E6EB60E-8F4E-4F3A-BEFD-7AA8B597B7CD}"/>
    <cellStyle name="Calculation 15 3" xfId="32219" xr:uid="{733A674B-0CCD-4A94-BD16-1AB2CED23439}"/>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 2 2" xfId="32222" xr:uid="{A89023FF-DE94-44B2-9F23-F8AE0D8A4D97}"/>
    <cellStyle name="Calculation 16 3" xfId="32221" xr:uid="{79A59809-0AA5-4C19-8555-4A46035F95C7}"/>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 2 2" xfId="32224" xr:uid="{0953BAF5-FED1-4136-A7C6-80FAAE77448B}"/>
    <cellStyle name="Calculation 17 3" xfId="32223" xr:uid="{AA7C3F5E-DA9E-4C58-B733-73AC66AF0F5E}"/>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 2 2" xfId="32226" xr:uid="{9BD8C48B-AED9-4797-BAF5-7A4FA6549C83}"/>
    <cellStyle name="Calculation 18 3" xfId="32225" xr:uid="{0C0D2F3B-8134-44B5-BBBB-1936CA2614FC}"/>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 2 2" xfId="32228" xr:uid="{6870EE24-9BBE-4F07-9FC0-8878CF833E41}"/>
    <cellStyle name="Calculation 19 3" xfId="32227" xr:uid="{E6F019EE-EF96-4A11-A43E-D5091667B6B3}"/>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0 2" xfId="32230" xr:uid="{02EFED80-FB5B-4ECD-8969-B09143A3FD9D}"/>
    <cellStyle name="Calculation 2 11" xfId="7492" xr:uid="{5D0DF8D0-5F8E-4ECD-B9D7-B819473BA87D}"/>
    <cellStyle name="Calculation 2 12" xfId="7493" xr:uid="{9769258E-058A-46FE-8B24-5BFD6E84CB48}"/>
    <cellStyle name="Calculation 2 13" xfId="7494" xr:uid="{76732974-FC29-4D94-BE0C-3327EAB5BA9C}"/>
    <cellStyle name="Calculation 2 14" xfId="32229" xr:uid="{011C1EF6-4A37-47B5-9D65-548F90F2E8D9}"/>
    <cellStyle name="Calculation 2 2" xfId="7495" xr:uid="{86BE55C0-CD29-4468-8A47-CA750041ECC1}"/>
    <cellStyle name="Calculation 2 2 2" xfId="7496" xr:uid="{4161C2E5-F45B-493E-89F5-13A7FC95BDF8}"/>
    <cellStyle name="Calculation 2 2 2 2" xfId="32232" xr:uid="{1077172C-879D-4043-9F0B-A36D35D81F27}"/>
    <cellStyle name="Calculation 2 2 3" xfId="7497" xr:uid="{C0F05923-E4A4-4833-8B36-75C7647EB73D}"/>
    <cellStyle name="Calculation 2 2 4" xfId="7498" xr:uid="{F1DFBBAF-09D3-4937-8DF8-1E6BDF18D008}"/>
    <cellStyle name="Calculation 2 2 5" xfId="7499" xr:uid="{B04D76F9-5266-46F8-8E47-60C8FE676F50}"/>
    <cellStyle name="Calculation 2 2 6" xfId="32231" xr:uid="{718B4F41-2325-47D0-AD20-069C85A02B34}"/>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 2 2" xfId="32234" xr:uid="{73C11CF3-2BF1-4ABF-9292-A4DEACC848BF}"/>
    <cellStyle name="Calculation 2 3 3" xfId="32233" xr:uid="{7B1F530B-A1C3-4B2A-86FF-33B8B4C13AB4}"/>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 2 2" xfId="32236" xr:uid="{336A65E0-3C3B-45F8-AB92-802F6CDAC993}"/>
    <cellStyle name="Calculation 2 4 3" xfId="32235" xr:uid="{80DE3786-3B6A-4083-BC35-CDAD016DEF36}"/>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 2 2" xfId="32238" xr:uid="{AD726C01-ADC1-4CEE-BF51-D4EB8344C6E8}"/>
    <cellStyle name="Calculation 2 5 3" xfId="32237" xr:uid="{8656D0A9-2212-406F-870D-5C31439DF726}"/>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 2 2" xfId="32240" xr:uid="{B65D7A6D-087C-4E0E-A523-6F61BF2F6152}"/>
    <cellStyle name="Calculation 2 6 3" xfId="32239" xr:uid="{0F9A52F9-94D1-4EB9-B6EE-5797C04A4039}"/>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 2 2" xfId="32242" xr:uid="{707ABCB0-84A5-4794-9264-594F1BB80101}"/>
    <cellStyle name="Calculation 2 7 3" xfId="32241" xr:uid="{D5B02BD4-14D0-4631-8561-BE850868DE6F}"/>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 2 2" xfId="32244" xr:uid="{E59B45AA-3F38-45DD-A872-7B6F86E7F412}"/>
    <cellStyle name="Calculation 2 8 3" xfId="32243" xr:uid="{A9EF70DB-A163-4F9B-9031-CF6F72947D5D}"/>
    <cellStyle name="Calculation 2 8_BP - Raízen Combustíveis" xfId="7518" xr:uid="{0B8D2F12-6DDB-42D5-9DB8-01BF4DA30997}"/>
    <cellStyle name="Calculation 2 9" xfId="7519" xr:uid="{F63677C6-737F-43F9-BFE9-5D71170A3165}"/>
    <cellStyle name="Calculation 2 9 2" xfId="32245" xr:uid="{D1CAF82D-B284-42F6-900C-09235C2A23F0}"/>
    <cellStyle name="Calculation 2_13-Endividamento" xfId="7520" xr:uid="{9C9FACB3-CDE3-4ADC-9B3C-BB6F5D76AA29}"/>
    <cellStyle name="Calculation 20" xfId="7521" xr:uid="{1EE3BD93-C5B3-4F62-8F76-5F903D6F46AD}"/>
    <cellStyle name="Calculation 20 2" xfId="7522" xr:uid="{992580B5-C6C9-4E03-9B7A-F74464880059}"/>
    <cellStyle name="Calculation 20 2 2" xfId="32247" xr:uid="{2A0AED8E-8D4B-44E2-887E-5256676870A0}"/>
    <cellStyle name="Calculation 20 3" xfId="32246" xr:uid="{DCCFCD0C-FB0B-4250-94C0-7048430AFA5F}"/>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 2 2" xfId="32249" xr:uid="{B107FD5E-56B5-487A-B4F4-30055AE08C63}"/>
    <cellStyle name="Calculation 21 3" xfId="32248" xr:uid="{D7D682D8-6CE2-46F9-B4EF-6D00C28C914D}"/>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 2 2" xfId="32251" xr:uid="{1C5AAB3E-CA42-4266-9882-FA2C7A505761}"/>
    <cellStyle name="Calculation 22 3" xfId="32250" xr:uid="{2060F9B7-84C2-41F0-BAF5-0739E9BEC52E}"/>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3 2 2" xfId="32253" xr:uid="{5FFC3C04-4BB6-4979-A8D0-CE80389BA9BC}"/>
    <cellStyle name="Calculation 23 3" xfId="32252" xr:uid="{74363351-3A24-40FE-9F1A-D7262E77EB36}"/>
    <cellStyle name="Calculation 24" xfId="7532" xr:uid="{155A6C8C-AF8D-4AB3-BF28-E83224955049}"/>
    <cellStyle name="Calculation 24 2" xfId="7533" xr:uid="{B787364C-A7B9-425B-8E00-AF52035DB67B}"/>
    <cellStyle name="Calculation 24 2 2" xfId="32255" xr:uid="{7E878D60-2D4B-49D0-849E-B500F28DAD11}"/>
    <cellStyle name="Calculation 24 3" xfId="32254" xr:uid="{E92690AE-33F3-4830-BC7A-8266153F1777}"/>
    <cellStyle name="Calculation 25" xfId="7534" xr:uid="{EA60B0C1-CD8C-4774-84DA-B8278CC01F78}"/>
    <cellStyle name="Calculation 25 2" xfId="32256" xr:uid="{E9C54585-944C-4523-81DA-CEE2D12C62E9}"/>
    <cellStyle name="Calculation 26" xfId="7535" xr:uid="{A7D63EEE-BCBE-4348-AE2B-0FF93FB520C6}"/>
    <cellStyle name="Calculation 26 2" xfId="32257" xr:uid="{34711D4E-7338-4C92-9785-0B90ED4A1743}"/>
    <cellStyle name="Calculation 27" xfId="7536" xr:uid="{4AC24E98-C79A-4A84-9B22-37B3AC69A46D}"/>
    <cellStyle name="Calculation 27 2" xfId="32258" xr:uid="{E7D2C0B0-C2AD-4851-8E3A-D00B0568CB88}"/>
    <cellStyle name="Calculation 28" xfId="7537" xr:uid="{D97357B8-2F32-4A30-B9D2-EFF1FE021CD0}"/>
    <cellStyle name="Calculation 28 2" xfId="32259" xr:uid="{98281EE4-A7E5-4674-9210-EEB01D77946E}"/>
    <cellStyle name="Calculation 29" xfId="7538" xr:uid="{DB9135CE-EDAB-49A8-8062-560B5892351F}"/>
    <cellStyle name="Calculation 29 2" xfId="32260" xr:uid="{2C71BDB8-26A6-4967-B83D-F82915C87E93}"/>
    <cellStyle name="Calculation 3" xfId="7539" xr:uid="{00DCDDDC-B9A8-476C-B9BC-A85410397CEC}"/>
    <cellStyle name="Calculation 3 10" xfId="7540" xr:uid="{91F482EB-AA5A-4FBF-BF03-73EC22F96787}"/>
    <cellStyle name="Calculation 3 11" xfId="32261" xr:uid="{AA88568B-BF36-4C0F-AD44-A9CA417C2651}"/>
    <cellStyle name="Calculation 3 2" xfId="7541" xr:uid="{8973FF84-C7AA-4500-87AA-47B20C82B117}"/>
    <cellStyle name="Calculation 3 2 2" xfId="7542" xr:uid="{B123232C-1340-486E-9973-FE8BC42BB7F5}"/>
    <cellStyle name="Calculation 3 2 2 2" xfId="32263" xr:uid="{6C96C60D-91CE-4DC1-A789-07DD39DABD70}"/>
    <cellStyle name="Calculation 3 2 3" xfId="32262" xr:uid="{18A77DE6-1F70-4995-A519-A59B28F5AED0}"/>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 2 2" xfId="32265" xr:uid="{74104144-92CA-4505-8D32-2A7C2E2AAD23}"/>
    <cellStyle name="Calculation 3 3 3" xfId="32264" xr:uid="{BB9AC6CD-09B2-44AE-BDEC-874FEB8616D8}"/>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 2 2" xfId="32267" xr:uid="{35BE25A1-9ECC-429A-93E3-A75196130473}"/>
    <cellStyle name="Calculation 3 4 3" xfId="32266" xr:uid="{106DBB0E-262D-40B6-8D7F-C4E7173BCD5E}"/>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 2 2" xfId="32269" xr:uid="{87BA3286-DB47-453B-9749-3A7F74EC0202}"/>
    <cellStyle name="Calculation 3 5 3" xfId="32268" xr:uid="{B0E03B5F-B753-4951-BBDA-BD118566A49D}"/>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 2 2" xfId="32271" xr:uid="{8F717D0D-84E4-41E1-ACBA-19AD43664624}"/>
    <cellStyle name="Calculation 3 6 3" xfId="32270" xr:uid="{CCD89072-B31A-4981-A22E-B06745DE681D}"/>
    <cellStyle name="Calculation 3 6_BP - Raízen Combustíveis" xfId="7555" xr:uid="{DCFD4760-6D7F-4AB5-B235-2864BB111014}"/>
    <cellStyle name="Calculation 3 7" xfId="7556" xr:uid="{AB7E477B-5833-4739-AC08-C39CF2BBABFD}"/>
    <cellStyle name="Calculation 3 7 2" xfId="32272" xr:uid="{ED8A9042-B0B5-4EF4-99E4-6EC11361F84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0 2" xfId="32273" xr:uid="{27DF99E6-455C-4141-95D5-65BD719BE5E2}"/>
    <cellStyle name="Calculation 31" xfId="7561" xr:uid="{2525E3B2-DAF1-4FEB-ACB3-6BAA24F114EB}"/>
    <cellStyle name="Calculation 31 2" xfId="32274" xr:uid="{0E476EB8-F1C1-424C-80F3-66C3ACD8515B}"/>
    <cellStyle name="Calculation 32" xfId="7562" xr:uid="{92A7AF60-1952-411E-97FE-FC7AC5A1DA2E}"/>
    <cellStyle name="Calculation 32 2" xfId="32275" xr:uid="{3D337528-296F-495F-8A24-0AAFFF55AF4A}"/>
    <cellStyle name="Calculation 33" xfId="7563" xr:uid="{2C97C66B-CE64-45F6-B212-621E07BF60FC}"/>
    <cellStyle name="Calculation 33 2" xfId="32276" xr:uid="{4BFF0979-056F-4BDA-87C0-D7642E006FD5}"/>
    <cellStyle name="Calculation 34" xfId="7564" xr:uid="{ECF0DE1B-2A89-44DE-B586-1D8E24631607}"/>
    <cellStyle name="Calculation 34 2" xfId="32277" xr:uid="{389F811C-2FA1-4361-A741-673E3BF6C11A}"/>
    <cellStyle name="Calculation 35" xfId="7565" xr:uid="{64AD5AF7-601E-47A0-A458-74718E61ADD2}"/>
    <cellStyle name="Calculation 35 2" xfId="32278" xr:uid="{8017E943-1E02-4E05-A3DC-724045E3D774}"/>
    <cellStyle name="Calculation 36" xfId="7566" xr:uid="{20DC7B07-F66C-4443-9AA5-0233A1F96B8A}"/>
    <cellStyle name="Calculation 36 2" xfId="32279" xr:uid="{26720ABB-6BE5-481C-BA79-94BB163A0DC7}"/>
    <cellStyle name="Calculation 37" xfId="7567" xr:uid="{739AC1D6-DCC5-4718-B522-3ED93C590738}"/>
    <cellStyle name="Calculation 37 2" xfId="32280" xr:uid="{EBED9C36-53AB-475A-9D0D-163AC77E521B}"/>
    <cellStyle name="Calculation 38" xfId="7568" xr:uid="{471582CC-FE9D-4B4F-B8BA-D74B8C25A9A0}"/>
    <cellStyle name="Calculation 38 2" xfId="32281" xr:uid="{F5B8511F-73AF-4CE7-A659-ACE28508AF4B}"/>
    <cellStyle name="Calculation 39" xfId="7569" xr:uid="{AACE6CE6-F6DF-4DA6-9B4A-5815B9FE61C9}"/>
    <cellStyle name="Calculation 39 2" xfId="32282" xr:uid="{D63C4C6F-FB81-4512-B7B6-BFC5312D65B2}"/>
    <cellStyle name="Calculation 4" xfId="7570" xr:uid="{303197B6-E980-4A0F-985C-0E49778F7D59}"/>
    <cellStyle name="Calculation 4 2" xfId="7571" xr:uid="{23C6B592-AA6C-4111-BAE6-7E3E1B6CE359}"/>
    <cellStyle name="Calculation 4 2 2" xfId="32284" xr:uid="{9F7CF7D4-6D61-4315-8654-7C7E4DED05EE}"/>
    <cellStyle name="Calculation 4 3" xfId="7572" xr:uid="{1DA71366-BC39-4D32-AAB0-C1EA9A555CE2}"/>
    <cellStyle name="Calculation 4 4" xfId="7573" xr:uid="{1BBFCA2B-14BF-4031-B0E6-07ECA853E80F}"/>
    <cellStyle name="Calculation 4 5" xfId="7574" xr:uid="{992D060D-B725-4AF9-9A7E-AB68847ACD17}"/>
    <cellStyle name="Calculation 4 6" xfId="32283" xr:uid="{9EE0056F-EECC-4EAB-8193-80F71B844D24}"/>
    <cellStyle name="Calculation 4_BP - Raízen Combustíveis" xfId="7575" xr:uid="{7542DC33-89AA-42E4-872B-135FEA2D09C9}"/>
    <cellStyle name="Calculation 40" xfId="7576" xr:uid="{F9C96004-E8B2-4C5F-883B-2718B6F920DA}"/>
    <cellStyle name="Calculation 40 2" xfId="32285" xr:uid="{7E03757E-9E2F-4FB8-8B49-9A2470FCA9B1}"/>
    <cellStyle name="Calculation 41" xfId="7577" xr:uid="{8B6D1A4F-B955-497B-9555-CA9DB24A43CC}"/>
    <cellStyle name="Calculation 41 2" xfId="32286" xr:uid="{CE468763-AAFB-4E41-92AD-ADBB7344F261}"/>
    <cellStyle name="Calculation 42" xfId="7578" xr:uid="{1F4E3FD4-7AFB-4722-8328-F5D7FBF1D97B}"/>
    <cellStyle name="Calculation 42 2" xfId="32287" xr:uid="{6042B8FA-52A1-4102-AD87-4A8F166AB1E5}"/>
    <cellStyle name="Calculation 43" xfId="7579" xr:uid="{CF77A9F1-7B9A-402E-8CA7-D8CC6767F148}"/>
    <cellStyle name="Calculation 43 2" xfId="32288" xr:uid="{5B6CDD87-2359-49D2-A5A3-5D757030BB18}"/>
    <cellStyle name="Calculation 44" xfId="7580" xr:uid="{A9F25D13-D4D6-49C8-B35A-07CC3293BD37}"/>
    <cellStyle name="Calculation 44 2" xfId="32289" xr:uid="{08BFF365-39F2-49C1-95AE-B60013C83060}"/>
    <cellStyle name="Calculation 45" xfId="7581" xr:uid="{FB65587D-020E-450A-8330-908CF6448DF4}"/>
    <cellStyle name="Calculation 45 2" xfId="32290" xr:uid="{A1446A77-BBA0-471D-9548-FB55A58BBDCC}"/>
    <cellStyle name="Calculation 46" xfId="7582" xr:uid="{FE53AAE6-CE56-413E-A0A3-7954BD327776}"/>
    <cellStyle name="Calculation 46 2" xfId="32291" xr:uid="{60DDFB69-645B-4A9A-B560-55587B60722E}"/>
    <cellStyle name="Calculation 47" xfId="7583" xr:uid="{E05ACD75-7BCC-4594-890F-715361CA6BCA}"/>
    <cellStyle name="Calculation 47 2" xfId="32292" xr:uid="{41D679C2-E331-4753-AA5A-21F3B863062E}"/>
    <cellStyle name="Calculation 48" xfId="7584" xr:uid="{F5B5C205-DDC3-40D2-953E-1EA976B09E98}"/>
    <cellStyle name="Calculation 48 2" xfId="32293" xr:uid="{B7A25881-CCD8-41A6-B823-51167B9C0726}"/>
    <cellStyle name="Calculation 49" xfId="7585" xr:uid="{1051CB2E-109E-40DD-93CA-C0F7775D3C48}"/>
    <cellStyle name="Calculation 49 2" xfId="32294" xr:uid="{561CB5EF-4BE0-4BAD-A36B-41C4235A1B70}"/>
    <cellStyle name="Calculation 5" xfId="7586" xr:uid="{89C5E367-6692-4710-9436-B39DFB5C0C50}"/>
    <cellStyle name="Calculation 5 2" xfId="7587" xr:uid="{B54978EB-B730-4994-8608-138A306D5951}"/>
    <cellStyle name="Calculation 5 2 2" xfId="32296" xr:uid="{88665FCE-B7B3-4E18-8174-3A972E62B65F}"/>
    <cellStyle name="Calculation 5 3" xfId="7588" xr:uid="{6AB78D6E-4095-4E01-8CD5-312697BB9AF1}"/>
    <cellStyle name="Calculation 5 4" xfId="7589" xr:uid="{85DACDC1-7261-4FA5-894A-91B429271DB1}"/>
    <cellStyle name="Calculation 5 5" xfId="7590" xr:uid="{CB02711A-2F4E-42EE-9AFC-1BAAA22C3059}"/>
    <cellStyle name="Calculation 5 6" xfId="32295" xr:uid="{E0597A6D-CFE5-43C2-BDB1-8613AE12B708}"/>
    <cellStyle name="Calculation 5_BP - Raízen Combustíveis" xfId="7591" xr:uid="{57113566-A957-48F7-B568-718ECA94436F}"/>
    <cellStyle name="Calculation 50" xfId="7592" xr:uid="{E6E7FFB1-16D1-431F-BA2A-2F185EEBED79}"/>
    <cellStyle name="Calculation 50 2" xfId="32297" xr:uid="{14ECAAC0-D806-4959-A848-2E71F9A2DE63}"/>
    <cellStyle name="Calculation 51" xfId="7593" xr:uid="{9F1CC318-C753-4287-986A-45A7903EDCCC}"/>
    <cellStyle name="Calculation 51 2" xfId="32298" xr:uid="{8D53A86C-9E00-444B-B6D9-10A581491B62}"/>
    <cellStyle name="Calculation 52" xfId="7594" xr:uid="{D54A3413-D5DD-4689-AFBD-D8E47EAAB319}"/>
    <cellStyle name="Calculation 52 2" xfId="32299" xr:uid="{39C825E7-9187-4493-9734-DFC2C5A2C14E}"/>
    <cellStyle name="Calculation 53" xfId="7595" xr:uid="{CD9D3C40-5F24-4506-BD67-ADBA6F65575F}"/>
    <cellStyle name="Calculation 53 2" xfId="32300" xr:uid="{27CF5178-BFB0-4529-953C-39D5EE7B4080}"/>
    <cellStyle name="Calculation 54" xfId="7596" xr:uid="{E96955A1-56D3-42CB-B843-313D5A50588E}"/>
    <cellStyle name="Calculation 54 2" xfId="32301" xr:uid="{AB15742C-AE43-44B3-ACA0-A99AE9A997EF}"/>
    <cellStyle name="Calculation 55" xfId="7597" xr:uid="{EBA3AADF-E8A8-4DD0-8C88-930ACBBCEE53}"/>
    <cellStyle name="Calculation 55 2" xfId="32302" xr:uid="{1BA87266-8DD8-42AD-9CCD-C1B8D1814E08}"/>
    <cellStyle name="Calculation 56" xfId="7598" xr:uid="{A41547DF-82CF-4E7F-9BCF-9E983757DBBC}"/>
    <cellStyle name="Calculation 56 2" xfId="32303" xr:uid="{8F8C2392-D719-4996-AE0B-CC0EB3BA18B0}"/>
    <cellStyle name="Calculation 57" xfId="7599" xr:uid="{4D0D486B-9125-4888-8437-5207C255C663}"/>
    <cellStyle name="Calculation 57 2" xfId="32304" xr:uid="{F352B98C-2018-4FE8-BEE4-775FDB6330BA}"/>
    <cellStyle name="Calculation 58" xfId="7600" xr:uid="{86DC532A-6F2D-434D-8DD5-77D58B83AD38}"/>
    <cellStyle name="Calculation 58 2" xfId="32305" xr:uid="{B28C069D-6BE7-4A9B-9B0D-C70416F4900B}"/>
    <cellStyle name="Calculation 59" xfId="7601" xr:uid="{915729D2-DCB9-43B3-9838-3939EE0C5A8A}"/>
    <cellStyle name="Calculation 59 2" xfId="32306" xr:uid="{70FC0D6B-EA7C-4C41-B2EA-229831092258}"/>
    <cellStyle name="Calculation 6" xfId="7602" xr:uid="{FF52AE30-A937-4F06-9B5B-90E694B6AA99}"/>
    <cellStyle name="Calculation 6 2" xfId="7603" xr:uid="{E90FB948-251C-4478-A433-D3C837AF0145}"/>
    <cellStyle name="Calculation 6 2 2" xfId="32308" xr:uid="{9D5C773B-4994-4217-81E9-79EB9B14A73F}"/>
    <cellStyle name="Calculation 6 3" xfId="7604" xr:uid="{4D6B9BA0-D972-4D33-BC53-B061E249A78E}"/>
    <cellStyle name="Calculation 6 4" xfId="7605" xr:uid="{4AD15136-B089-48F5-B5D4-9D2D6A8D4975}"/>
    <cellStyle name="Calculation 6 5" xfId="7606" xr:uid="{D432B524-F690-4E9F-B17D-2CC2BE7EDAE3}"/>
    <cellStyle name="Calculation 6 6" xfId="32307" xr:uid="{7B355A4D-7898-424A-A7B4-F45F8A10AC49}"/>
    <cellStyle name="Calculation 6_BP - Raízen Combustíveis" xfId="7607" xr:uid="{D1CD533F-7F2D-4E2C-ADA5-B8C6A6A21CBA}"/>
    <cellStyle name="Calculation 60" xfId="7608" xr:uid="{ABCADEA6-477D-443A-8B06-3809540D9EFD}"/>
    <cellStyle name="Calculation 60 2" xfId="32309" xr:uid="{D9769B07-6DD9-4943-8CEE-7DB6C306F63F}"/>
    <cellStyle name="Calculation 61" xfId="7609" xr:uid="{595EFC30-3A20-4A4B-9E56-58001195591C}"/>
    <cellStyle name="Calculation 61 2" xfId="32310" xr:uid="{8E7F0EFF-0252-49CA-9782-C9B566D7484B}"/>
    <cellStyle name="Calculation 62" xfId="7610" xr:uid="{F0C0DF58-302A-484C-A86E-94B2DB51DF45}"/>
    <cellStyle name="Calculation 62 2" xfId="32311" xr:uid="{D166813C-60BE-451E-9EBE-7A6B4CCE7822}"/>
    <cellStyle name="Calculation 63" xfId="7611" xr:uid="{E257A33D-07A4-4E1F-A9BB-3588821C3663}"/>
    <cellStyle name="Calculation 63 2" xfId="32312" xr:uid="{43022155-C071-4DF6-8CD6-40DA6F4A81D8}"/>
    <cellStyle name="Calculation 64" xfId="7612" xr:uid="{2A43C516-9025-485E-B086-5A9997DD428D}"/>
    <cellStyle name="Calculation 64 2" xfId="32313" xr:uid="{48B3A5E2-874D-4424-B452-CB81088636B7}"/>
    <cellStyle name="Calculation 65" xfId="7613" xr:uid="{1D0C2997-265C-4586-B135-599C08C4D36B}"/>
    <cellStyle name="Calculation 65 2" xfId="32314" xr:uid="{9DD6BB2A-EBD6-43A0-9EF1-21B1B18F2FC5}"/>
    <cellStyle name="Calculation 66" xfId="7614" xr:uid="{109683AA-F5BB-4E45-8FFE-ED837E276D7C}"/>
    <cellStyle name="Calculation 66 2" xfId="32315" xr:uid="{5409CCA4-21D8-4E9F-9C22-E153812EFE56}"/>
    <cellStyle name="Calculation 67" xfId="7615" xr:uid="{50585466-4A7E-4ADD-B2BB-A83BE70D15A3}"/>
    <cellStyle name="Calculation 67 2" xfId="32316" xr:uid="{6E4DF16F-399C-407B-B520-80A9AE4A0D29}"/>
    <cellStyle name="Calculation 68" xfId="7616" xr:uid="{71C952B2-1533-44BC-A188-105B3656ECE4}"/>
    <cellStyle name="Calculation 68 2" xfId="32317" xr:uid="{C641DE1E-98FD-4CC3-B571-5EA2A8C1A6A6}"/>
    <cellStyle name="Calculation 69" xfId="7617" xr:uid="{22F22773-0F26-4D79-9336-60928C75B55C}"/>
    <cellStyle name="Calculation 69 2" xfId="32318" xr:uid="{D358917A-36A4-4A18-B4B1-E849B0E90751}"/>
    <cellStyle name="Calculation 7" xfId="7618" xr:uid="{0C986728-E8C6-45F2-B7D2-5BCCCF43400D}"/>
    <cellStyle name="Calculation 7 2" xfId="7619" xr:uid="{8BD8ECA4-07DC-4658-83AE-1C6EF972ECA4}"/>
    <cellStyle name="Calculation 7 2 2" xfId="32320" xr:uid="{C7FA713D-9468-413A-AC25-48FAFD3FC803}"/>
    <cellStyle name="Calculation 7 3" xfId="7620" xr:uid="{46D594C8-B938-41CF-AF66-8B95D764047F}"/>
    <cellStyle name="Calculation 7 4" xfId="7621" xr:uid="{EC35C061-B595-4074-A1E6-11E994EB6F3F}"/>
    <cellStyle name="Calculation 7 5" xfId="7622" xr:uid="{7B5ED6C0-90EB-47C6-8DD2-3F601A6B6EB5}"/>
    <cellStyle name="Calculation 7 6" xfId="32319" xr:uid="{946BA37E-EBBE-43B6-A2A7-3157E1745CBE}"/>
    <cellStyle name="Calculation 7_BP - Raízen Combustíveis" xfId="7623" xr:uid="{401E10F0-5F3A-4162-8C42-5CD9868CFF8C}"/>
    <cellStyle name="Calculation 70" xfId="7624" xr:uid="{49108B67-6C2E-4897-B8A7-52852EBC15E0}"/>
    <cellStyle name="Calculation 70 2" xfId="32321" xr:uid="{6745AB5A-D1A1-4229-B349-D5D15805E232}"/>
    <cellStyle name="Calculation 71" xfId="7625" xr:uid="{D4854A23-2BC1-451B-8EF6-48C029CD852B}"/>
    <cellStyle name="Calculation 71 2" xfId="32322" xr:uid="{6DB8ABB4-6202-4AC5-B073-3F06DE5662FE}"/>
    <cellStyle name="Calculation 72" xfId="7626" xr:uid="{1FE2F72B-B0E2-45F3-84A2-63A18AE29930}"/>
    <cellStyle name="Calculation 72 2" xfId="32323" xr:uid="{92B4D6D6-2E52-43F8-B10C-D185CC09FF2E}"/>
    <cellStyle name="Calculation 73" xfId="7627" xr:uid="{BAA877F9-0AF8-4365-9DBB-402F8BEE6CB8}"/>
    <cellStyle name="Calculation 73 2" xfId="32324" xr:uid="{AB337A84-47C0-4514-B99B-CA8E9E8791E3}"/>
    <cellStyle name="Calculation 74" xfId="7628" xr:uid="{5C42D60B-B568-496B-A2CB-5F3B76CFBA81}"/>
    <cellStyle name="Calculation 74 2" xfId="32325" xr:uid="{40BCB273-41A1-4D70-B60C-2ABE575BA398}"/>
    <cellStyle name="Calculation 75" xfId="7629" xr:uid="{3C9942C2-6432-4844-AEE9-2369717F817B}"/>
    <cellStyle name="Calculation 75 2" xfId="32326" xr:uid="{2F74E25F-A081-4C98-8E10-BCAE79529CB3}"/>
    <cellStyle name="Calculation 76" xfId="7630" xr:uid="{D7D67A9B-0FE4-49DA-9FEF-92658A3D81F5}"/>
    <cellStyle name="Calculation 76 2" xfId="32327" xr:uid="{EA8DD3B0-6DC8-4760-8710-0EB1692D5C9B}"/>
    <cellStyle name="Calculation 77" xfId="7631" xr:uid="{1E80F4E5-89D1-4A62-BDCA-FFF73AE598DF}"/>
    <cellStyle name="Calculation 77 2" xfId="32328" xr:uid="{D78EAAD3-C33E-4154-A956-B2EF29E51928}"/>
    <cellStyle name="Calculation 78" xfId="7632" xr:uid="{2F26ABA3-33E1-4A6C-8C22-ED92FD2F468A}"/>
    <cellStyle name="Calculation 78 2" xfId="32329" xr:uid="{C43C519B-1119-473D-8D5A-4FCD54998650}"/>
    <cellStyle name="Calculation 79" xfId="7633" xr:uid="{7C6BD052-C116-40CD-B1EB-93B1D5D824FD}"/>
    <cellStyle name="Calculation 79 2" xfId="32330" xr:uid="{BDEFE4B7-822B-4D61-9EC0-6F25A4BDB8DC}"/>
    <cellStyle name="Calculation 8" xfId="7634" xr:uid="{DDE035BE-A418-4558-B65C-AD222A4690EB}"/>
    <cellStyle name="Calculation 8 2" xfId="7635" xr:uid="{E320727C-0FAD-4FC6-BA60-99DE45EB3920}"/>
    <cellStyle name="Calculation 8 2 2" xfId="32332" xr:uid="{EA091688-5B00-448B-B3CC-75779649403A}"/>
    <cellStyle name="Calculation 8 3" xfId="7636" xr:uid="{F018C7D2-7E70-4785-8071-6809F498971A}"/>
    <cellStyle name="Calculation 8 4" xfId="7637" xr:uid="{B7E63FE0-5A9F-4BD9-87F8-CB08C268BDE7}"/>
    <cellStyle name="Calculation 8 5" xfId="7638" xr:uid="{BC4A6ED5-D014-49CD-B998-25DCA123401E}"/>
    <cellStyle name="Calculation 8 6" xfId="32331" xr:uid="{4C9F51B2-6317-48F7-BE43-FC7395D4949B}"/>
    <cellStyle name="Calculation 8_BP - Raízen Combustíveis" xfId="7639" xr:uid="{1F992AC9-B7ED-401D-98C8-746D20DA75AA}"/>
    <cellStyle name="Calculation 80" xfId="7640" xr:uid="{A31DE060-F8DC-4FEE-AD0D-73BB559089A8}"/>
    <cellStyle name="Calculation 80 2" xfId="32333" xr:uid="{97679E3C-A0A8-43C8-8904-6456D6F9CB6A}"/>
    <cellStyle name="Calculation 81" xfId="7641" xr:uid="{EB25EFFF-33FA-4DA4-A9F8-01788E54CECF}"/>
    <cellStyle name="Calculation 81 2" xfId="32334" xr:uid="{FDC01D53-F656-4C49-8FB7-2702C3315CEE}"/>
    <cellStyle name="Calculation 82" xfId="7642" xr:uid="{3625FB35-46A0-4B49-A556-9763B6DFE2FD}"/>
    <cellStyle name="Calculation 82 2" xfId="32335" xr:uid="{59DEF9FF-CECB-4323-ACEE-91EB66F6F61C}"/>
    <cellStyle name="Calculation 83" xfId="7643" xr:uid="{C69EDA99-471B-418A-8147-9FF44733319A}"/>
    <cellStyle name="Calculation 83 2" xfId="32336" xr:uid="{22C40E8D-F724-4260-A57F-A805D9D9F85C}"/>
    <cellStyle name="Calculation 84" xfId="7644" xr:uid="{FA7B2B7E-3D20-4877-9F62-0C718C4409EE}"/>
    <cellStyle name="Calculation 84 2" xfId="32337" xr:uid="{07E34B94-F21B-4BC6-851E-6927B11AB520}"/>
    <cellStyle name="Calculation 85" xfId="7645" xr:uid="{73714BE3-406C-45F8-9CE2-64509322083C}"/>
    <cellStyle name="Calculation 85 2" xfId="32338" xr:uid="{996A5051-0FB8-402F-BFDA-8526D1AE2B6B}"/>
    <cellStyle name="Calculation 86" xfId="7646" xr:uid="{1805788E-3F46-4957-8F67-D630D63366F8}"/>
    <cellStyle name="Calculation 86 2" xfId="32339" xr:uid="{EAE999E7-80F4-4F26-AA79-E4B7523518E7}"/>
    <cellStyle name="Calculation 87" xfId="7647" xr:uid="{E1BB1566-CE55-4B2A-8DB8-597F70AA0595}"/>
    <cellStyle name="Calculation 87 2" xfId="32340" xr:uid="{672577EF-3A6A-4606-9D0B-C9DCA2E7AF03}"/>
    <cellStyle name="Calculation 88" xfId="7648" xr:uid="{7ADBF347-9E32-40FB-8789-0E7F3C475304}"/>
    <cellStyle name="Calculation 88 2" xfId="32341" xr:uid="{E6516BAF-12E8-45C6-8481-EF6BB2098D4C}"/>
    <cellStyle name="Calculation 89" xfId="7649" xr:uid="{DA57C25A-77D6-40BB-9D6B-7BF97E312E07}"/>
    <cellStyle name="Calculation 89 2" xfId="32342" xr:uid="{3BC7EAA0-0AC9-4AE7-8DF1-7F6BD4924D61}"/>
    <cellStyle name="Calculation 9" xfId="7650" xr:uid="{04B53108-B4DA-4FC4-91AC-B683BEDABE35}"/>
    <cellStyle name="Calculation 9 2" xfId="7651" xr:uid="{673834BF-482D-4A95-9B5B-904C4932A086}"/>
    <cellStyle name="Calculation 9 2 2" xfId="32344" xr:uid="{9043C713-B9B4-485F-93AC-8BCE8620BF27}"/>
    <cellStyle name="Calculation 9 3" xfId="7652" xr:uid="{D568F27B-6247-4591-B287-F71A249B1057}"/>
    <cellStyle name="Calculation 9 4" xfId="7653" xr:uid="{7A8F4EAB-9D49-4D41-8FC6-2163778B3069}"/>
    <cellStyle name="Calculation 9 5" xfId="7654" xr:uid="{E81FB7E7-2BEB-4A45-A2E1-199F919F9703}"/>
    <cellStyle name="Calculation 9 6" xfId="32343" xr:uid="{FBBC8FFE-DAD0-425B-A142-854B37E76C00}"/>
    <cellStyle name="Calculation 9_BP - Raízen Combustíveis" xfId="7655" xr:uid="{4FAE8B03-7079-4695-AA71-5966649CFC54}"/>
    <cellStyle name="Calculation 90" xfId="7656" xr:uid="{C2D89D6C-C2FA-4224-9FF9-2A8951F86B63}"/>
    <cellStyle name="Calculation 90 2" xfId="32345" xr:uid="{F74E202F-43C2-42FB-88FC-C21016B01A8F}"/>
    <cellStyle name="Calculation 91" xfId="7657" xr:uid="{7E68431D-8BAA-4638-B07A-F31054FD4186}"/>
    <cellStyle name="Calculation 91 2" xfId="32346" xr:uid="{96B075F5-F515-46D4-BC49-8BD361AE4C2A}"/>
    <cellStyle name="Calculation 92" xfId="7658" xr:uid="{F47BE585-4C26-4142-A2F0-070DF066D14D}"/>
    <cellStyle name="Calculation 92 2" xfId="32347" xr:uid="{178DE561-67D1-4179-8DF7-7A88D453A20E}"/>
    <cellStyle name="Calculation 93" xfId="7659" xr:uid="{C5FBF189-58C3-4978-8F5C-4A2DC651DC88}"/>
    <cellStyle name="Calculation 93 2" xfId="32348" xr:uid="{ACACC03E-53B9-40CC-A1C9-236CE8289618}"/>
    <cellStyle name="Calculation 94" xfId="7660" xr:uid="{13FE1496-DA52-4ADF-B47B-62AA94A66B30}"/>
    <cellStyle name="Calculation 94 2" xfId="32349" xr:uid="{49D197A5-EF13-4B58-AD33-BE837D473BCA}"/>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0 4" xfId="32350" xr:uid="{453D095B-8555-443B-B195-8FED8C82B59D}"/>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10" xfId="32351" xr:uid="{CDBC79A3-809C-4D70-8B18-218E344DE659}"/>
    <cellStyle name="Cálculo 2 2" xfId="7675" xr:uid="{A46AD620-673E-4D9C-B832-9612878F5528}"/>
    <cellStyle name="Cálculo 2 2 2" xfId="7676" xr:uid="{42F95D2E-1B30-4893-A656-1819EEFBB43B}"/>
    <cellStyle name="Cálculo 2 2 2 2" xfId="32353" xr:uid="{F4BC3A2D-71C4-43E3-9848-5D82EDE4FA7B}"/>
    <cellStyle name="Cálculo 2 2 3" xfId="7677" xr:uid="{FC8A90DB-3A97-4722-9B8B-345CF1BD171B}"/>
    <cellStyle name="Cálculo 2 2 4" xfId="7678" xr:uid="{460D7E54-B791-4286-83A2-ABD774A55CB2}"/>
    <cellStyle name="Cálculo 2 2 5" xfId="32352" xr:uid="{5C7FE439-F35A-4EBE-A980-6D63188C6A48}"/>
    <cellStyle name="Cálculo 2 2_BP - Raízen Combustíveis" xfId="7679" xr:uid="{FB694745-C104-40A4-9A9F-881DAB8F3498}"/>
    <cellStyle name="Cálculo 2 3" xfId="7680" xr:uid="{A6C71921-4D42-4C03-AF4E-F674DD4B7073}"/>
    <cellStyle name="Cálculo 2 3 2" xfId="7681" xr:uid="{D308B867-920D-4CEA-AFF2-7E4187ACFFB0}"/>
    <cellStyle name="Cálculo 2 3 2 2" xfId="32355" xr:uid="{73B9919E-E4C5-40C9-AE87-114FC19ADB5C}"/>
    <cellStyle name="Cálculo 2 3 3" xfId="7682" xr:uid="{0355B8BD-8BD6-4002-9FFF-A06253EF6213}"/>
    <cellStyle name="Cálculo 2 3 4" xfId="7683" xr:uid="{0A6B4D44-5418-450F-ACE9-9E10B7D88D0E}"/>
    <cellStyle name="Cálculo 2 3 5" xfId="7684" xr:uid="{F6CEB8D3-E6F0-498E-A4DC-9F0F06C07CF2}"/>
    <cellStyle name="Cálculo 2 3 6" xfId="32354" xr:uid="{8E4C2666-1218-40F0-9944-AB5FADC1FBDB}"/>
    <cellStyle name="Cálculo 2 3_BP - Raízen Combustíveis" xfId="7685" xr:uid="{1A7FB08B-0819-44E6-9671-D15613FA27C3}"/>
    <cellStyle name="Cálculo 2 4" xfId="7686" xr:uid="{FF17BD20-6CB3-4C5D-962C-927200F70349}"/>
    <cellStyle name="Cálculo 2 4 2" xfId="7687" xr:uid="{155AEE15-C6F9-46AE-BE5D-AB4313201E12}"/>
    <cellStyle name="Cálculo 2 4 2 2" xfId="32357" xr:uid="{DE0C3E94-8154-4B22-878B-EC278E64ACD9}"/>
    <cellStyle name="Cálculo 2 4 3" xfId="7688" xr:uid="{83A5F8B9-B8EB-4A59-9A86-70B768A41D5C}"/>
    <cellStyle name="Cálculo 2 4 4" xfId="7689" xr:uid="{1F670CD6-F2A7-4F52-86DA-7E53D42A3C6D}"/>
    <cellStyle name="Cálculo 2 4 5" xfId="32356" xr:uid="{EE54386E-FD3A-4F2C-847B-D32EDDE62464}"/>
    <cellStyle name="Cálculo 2 4_BP - Raízen Combustíveis" xfId="7690" xr:uid="{ED7F3424-6ADF-4FDE-99DD-9BB5AEA66387}"/>
    <cellStyle name="Cálculo 2 5" xfId="7691" xr:uid="{4C19E75C-5EE7-4064-A4D5-79E14EB0E48E}"/>
    <cellStyle name="Cálculo 2 5 2" xfId="7692" xr:uid="{88399FF0-02B6-441B-9E3C-324713E0A80C}"/>
    <cellStyle name="Cálculo 2 5 2 2" xfId="32359" xr:uid="{B5101F30-4CA9-4AE1-B907-5A500CB85F82}"/>
    <cellStyle name="Cálculo 2 5 3" xfId="7693" xr:uid="{F1F0B85C-AD67-4835-AA61-F1232B824FE6}"/>
    <cellStyle name="Cálculo 2 5 4" xfId="7694" xr:uid="{C3F04F58-85BF-4B98-9322-EE0F60290FE9}"/>
    <cellStyle name="Cálculo 2 5 5" xfId="32358" xr:uid="{F4660170-389A-4193-8856-BCDE0C58420F}"/>
    <cellStyle name="Cálculo 2 5_BP - Raízen Combustíveis" xfId="7695" xr:uid="{80A9AFAD-D37E-4E3C-9890-057CFC5DFDA9}"/>
    <cellStyle name="Cálculo 2 6" xfId="7696" xr:uid="{09C231E8-E896-4F20-98B9-2658B32E7829}"/>
    <cellStyle name="Cálculo 2 6 2" xfId="7697" xr:uid="{507F3802-9D6B-4C16-A462-E4C960EC5C90}"/>
    <cellStyle name="Cálculo 2 6 2 2" xfId="32361" xr:uid="{F0D52150-6EAC-4926-AD4D-44403D9D548C}"/>
    <cellStyle name="Cálculo 2 6 3" xfId="32360" xr:uid="{614FA751-503F-49B9-A8D5-728147ABA7F5}"/>
    <cellStyle name="Cálculo 2 6_BP - Raízen Combustíveis" xfId="7698" xr:uid="{B9ED43F5-26C2-4B65-9DA8-EA31514D8091}"/>
    <cellStyle name="Cálculo 2 7" xfId="7699" xr:uid="{30E140AB-9233-4628-AE80-4DF938403B02}"/>
    <cellStyle name="Cálculo 2 7 2" xfId="7700" xr:uid="{09D234AB-3AA6-4318-87DD-3FACFE112800}"/>
    <cellStyle name="Cálculo 2 7 2 2" xfId="32363" xr:uid="{0A0CCC1A-F406-4242-BBD8-972177A73C2B}"/>
    <cellStyle name="Cálculo 2 7 3" xfId="32362" xr:uid="{E7E5A7C6-5E4C-44C8-8485-EA546F8A1644}"/>
    <cellStyle name="Cálculo 2 7_BP - Raízen Combustíveis" xfId="7701" xr:uid="{837B9D73-2C18-4BFF-8548-D3EC26D23D14}"/>
    <cellStyle name="Cálculo 2 8" xfId="7702" xr:uid="{7FA7ADFD-8519-400D-92DF-669705926C9E}"/>
    <cellStyle name="Cálculo 2 8 2" xfId="32364" xr:uid="{BC06DF29-9A62-46DC-BB03-18566728CB48}"/>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2 2" xfId="32367" xr:uid="{F5E215F3-17BE-4FF6-8E49-6A3DAD6DD603}"/>
    <cellStyle name="Cálculo 3 2 3" xfId="7708" xr:uid="{CCD8E2BA-280A-4D07-BD84-1B1D36431444}"/>
    <cellStyle name="Cálculo 3 2 4" xfId="7709" xr:uid="{7883AE08-F3CC-451E-9AA6-365113152E66}"/>
    <cellStyle name="Cálculo 3 2 5" xfId="32366" xr:uid="{CDC25546-7B65-4087-B85D-FAF7F35E268F}"/>
    <cellStyle name="Cálculo 3 2_BP - Raízen Combustíveis" xfId="7710" xr:uid="{F269D45B-BC02-445C-B6D1-B8E06DFC0B54}"/>
    <cellStyle name="Cálculo 3 3" xfId="7711" xr:uid="{67220DEF-ECEB-403A-8754-BD1E808B20FE}"/>
    <cellStyle name="Cálculo 3 3 2" xfId="7712" xr:uid="{AB92CB3B-CB88-409B-840B-102E017D8D5C}"/>
    <cellStyle name="Cálculo 3 3 2 2" xfId="32369" xr:uid="{3CCA6A95-1156-4806-8FDE-4A44CF6B67F2}"/>
    <cellStyle name="Cálculo 3 3 3" xfId="32368" xr:uid="{793FBD97-9B83-41B7-B6AA-6D7DE8510A53}"/>
    <cellStyle name="Cálculo 3 3_BP - Raízen Combustíveis" xfId="7713" xr:uid="{CDA510C7-A958-4267-9728-73CD1825000A}"/>
    <cellStyle name="Cálculo 3 4" xfId="7714" xr:uid="{10D9C2F1-5B20-4B70-BEDD-B960AB5D4887}"/>
    <cellStyle name="Cálculo 3 4 2" xfId="7715" xr:uid="{B8821F6F-8689-4D64-9AF9-6DF4C2C79564}"/>
    <cellStyle name="Cálculo 3 4 2 2" xfId="32371" xr:uid="{51245680-AE8D-414F-A230-416CAED35563}"/>
    <cellStyle name="Cálculo 3 4 3" xfId="32370" xr:uid="{92C9B66F-3F4C-4D5B-B66A-857752819A98}"/>
    <cellStyle name="Cálculo 3 4_BP - Raízen Combustíveis" xfId="7716" xr:uid="{956E53E3-3F0E-4913-9B41-C6A6587A5FFB}"/>
    <cellStyle name="Cálculo 3 5" xfId="7717" xr:uid="{B9EA5F4D-C207-4618-B837-D90A44C151BD}"/>
    <cellStyle name="Cálculo 3 5 2" xfId="32372" xr:uid="{C1998CD3-6684-477F-86AF-324BC703D2A8}"/>
    <cellStyle name="Cálculo 3 6" xfId="7718" xr:uid="{293BA3E0-1FAE-4100-A3CE-8B8FA0815237}"/>
    <cellStyle name="Cálculo 3 7" xfId="7719" xr:uid="{8032AEB8-4A68-4372-8C9D-AF63FC695632}"/>
    <cellStyle name="Cálculo 3 8" xfId="32365" xr:uid="{9A11D936-3BF2-4B1B-B012-339464DC39E5}"/>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2 2" xfId="32375" xr:uid="{C0857572-DAE4-4B81-A9CD-4B88898B1A94}"/>
    <cellStyle name="Cálculo 4 2 3" xfId="7724" xr:uid="{0D2F7E31-3DB8-4D0E-9C30-9E04B638A048}"/>
    <cellStyle name="Cálculo 4 2 4" xfId="7725" xr:uid="{043255D0-CC14-4DC3-92CB-89D88CF398A0}"/>
    <cellStyle name="Cálculo 4 2 5" xfId="32374" xr:uid="{FD80A243-C5E2-4E30-8293-11ADB16DFC55}"/>
    <cellStyle name="Cálculo 4 2_BP - Raízen Combustíveis" xfId="7726" xr:uid="{3339DA6A-F249-43C2-A749-C53E342085C3}"/>
    <cellStyle name="Cálculo 4 3" xfId="7727" xr:uid="{05E6CE06-7498-4DAC-8BE5-9ED6D4713BE4}"/>
    <cellStyle name="Cálculo 4 3 2" xfId="7728" xr:uid="{6FAAFD34-DAE9-4155-8E47-CB2DC441BEE6}"/>
    <cellStyle name="Cálculo 4 3 2 2" xfId="32377" xr:uid="{0FA547A6-6257-4E62-A3F8-7F5B101EE36C}"/>
    <cellStyle name="Cálculo 4 3 3" xfId="32376" xr:uid="{DBC232D1-7063-42AF-9F11-B77099CFDF25}"/>
    <cellStyle name="Cálculo 4 3_BP - Raízen Combustíveis" xfId="7729" xr:uid="{E94E74F0-8212-47CC-A75B-90996B22919A}"/>
    <cellStyle name="Cálculo 4 4" xfId="7730" xr:uid="{FFA2FBF2-B06B-4576-979B-AE3DFBACD0E4}"/>
    <cellStyle name="Cálculo 4 4 2" xfId="7731" xr:uid="{12559DE3-2543-4073-9D20-7EF5B6115656}"/>
    <cellStyle name="Cálculo 4 4 2 2" xfId="32379" xr:uid="{07E3B7DF-99FD-4F40-8FBF-9BA26033FE4A}"/>
    <cellStyle name="Cálculo 4 4 3" xfId="32378" xr:uid="{C1ADDAF5-C541-4DFB-B282-35347BE44E1D}"/>
    <cellStyle name="Cálculo 4 4_BP - Raízen Combustíveis" xfId="7732" xr:uid="{00F6E8C0-D3C0-4BB9-A885-9ECCE70346CF}"/>
    <cellStyle name="Cálculo 4 5" xfId="7733" xr:uid="{58D8CDD3-0256-440F-929D-4B7197686AEE}"/>
    <cellStyle name="Cálculo 4 5 2" xfId="32380" xr:uid="{81CF3816-DB03-42C7-B9BC-0F6AE621D82D}"/>
    <cellStyle name="Cálculo 4 6" xfId="7734" xr:uid="{C017A283-5C5D-4F9E-9101-84BE748F2A51}"/>
    <cellStyle name="Cálculo 4 7" xfId="7735" xr:uid="{05AF5BDC-F46C-477F-A1D7-9F16593D9E9E}"/>
    <cellStyle name="Cálculo 4 8" xfId="32373" xr:uid="{E33C4DB2-64E9-4A65-92FA-9B5636A943B8}"/>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2 2" xfId="32383" xr:uid="{621ED004-784C-457A-8F3B-7EF7C4152220}"/>
    <cellStyle name="Cálculo 5 2 3" xfId="7740" xr:uid="{CE4977BF-9BF1-4B55-912A-8C4A33F86D82}"/>
    <cellStyle name="Cálculo 5 2 4" xfId="7741" xr:uid="{EB615FC3-BE38-4324-B3CF-4D5264102525}"/>
    <cellStyle name="Cálculo 5 2 5" xfId="32382" xr:uid="{ABB4F9FE-867C-4E6A-8CCE-74229FB1C7CA}"/>
    <cellStyle name="Cálculo 5 2_BP - Raízen Combustíveis" xfId="7742" xr:uid="{E29EB09F-9E4C-4D10-B393-34FAD7D1755A}"/>
    <cellStyle name="Cálculo 5 3" xfId="7743" xr:uid="{5BF0C958-719A-4304-A911-6E93D8DFBF02}"/>
    <cellStyle name="Cálculo 5 3 2" xfId="7744" xr:uid="{26EDBE65-AB54-4974-B756-201EC60ACAA3}"/>
    <cellStyle name="Cálculo 5 3 2 2" xfId="32385" xr:uid="{E4B6E02B-50E2-4D21-BAAF-EDE7FA2D4854}"/>
    <cellStyle name="Cálculo 5 3 3" xfId="32384" xr:uid="{A41073BC-F09C-4FA6-B24C-73F1FAC53DB3}"/>
    <cellStyle name="Cálculo 5 3_BP - Raízen Combustíveis" xfId="7745" xr:uid="{E48BFD42-E670-4870-ABA7-B70F6C4D666A}"/>
    <cellStyle name="Cálculo 5 4" xfId="7746" xr:uid="{EC4237F2-DF28-42DF-A7A0-34F4763B1A0C}"/>
    <cellStyle name="Cálculo 5 4 2" xfId="7747" xr:uid="{6804A1B8-F5E2-4D99-8BA5-3A0946B1BB7B}"/>
    <cellStyle name="Cálculo 5 4 2 2" xfId="32387" xr:uid="{A53E2857-A69A-4BC3-8B03-F67EC20F9891}"/>
    <cellStyle name="Cálculo 5 4 3" xfId="32386" xr:uid="{B62CD458-174C-44CD-B459-C8D38D0217F2}"/>
    <cellStyle name="Cálculo 5 4_BP - Raízen Combustíveis" xfId="7748" xr:uid="{4EDFDC6E-F5BC-4670-996E-9A73650101F1}"/>
    <cellStyle name="Cálculo 5 5" xfId="7749" xr:uid="{EC122D18-9564-4608-8814-2CDCB3269191}"/>
    <cellStyle name="Cálculo 5 5 2" xfId="32388" xr:uid="{E8DD28F9-B612-475F-8B03-2171F13A0D64}"/>
    <cellStyle name="Cálculo 5 6" xfId="7750" xr:uid="{DC27554E-B9C7-4B48-97C6-41227AF3E1F3}"/>
    <cellStyle name="Cálculo 5 7" xfId="7751" xr:uid="{53F7D6A5-E271-4DE0-81E0-72E823AF0F42}"/>
    <cellStyle name="Cálculo 5 8" xfId="32381" xr:uid="{51929F74-AB46-42B9-92E6-0D2FE7FC7F8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2 2" xfId="32391" xr:uid="{211ED611-29BF-496E-8E11-693912F2BB06}"/>
    <cellStyle name="Cálculo 6 2 3" xfId="7756" xr:uid="{EDDDB723-3415-4591-AE43-E157DEEBBE60}"/>
    <cellStyle name="Cálculo 6 2 4" xfId="7757" xr:uid="{2568AF34-F02C-4C5C-92C5-2D87A673A2EC}"/>
    <cellStyle name="Cálculo 6 2 5" xfId="32390" xr:uid="{A38682BE-C0F4-4F0D-9F33-A3B8916C48A4}"/>
    <cellStyle name="Cálculo 6 2_BP - Raízen Combustíveis" xfId="7758" xr:uid="{A8C45E02-F972-4DE3-9C2A-1CE469E7A18C}"/>
    <cellStyle name="Cálculo 6 3" xfId="7759" xr:uid="{9401DEED-9E5E-49A7-9336-0E33556297D2}"/>
    <cellStyle name="Cálculo 6 3 2" xfId="7760" xr:uid="{3C7B2090-D545-4287-9667-EF5037630E83}"/>
    <cellStyle name="Cálculo 6 3 2 2" xfId="32393" xr:uid="{74AF8A30-706B-407E-8F5B-2D605DFBEF89}"/>
    <cellStyle name="Cálculo 6 3 3" xfId="32392" xr:uid="{25ED37DB-9748-4764-8BE9-7FAD116E31DD}"/>
    <cellStyle name="Cálculo 6 3_BP - Raízen Combustíveis" xfId="7761" xr:uid="{FAFC5279-B338-4EAD-AA0A-10B185F670F6}"/>
    <cellStyle name="Cálculo 6 4" xfId="7762" xr:uid="{8D037326-9AA4-4953-8E0D-77C58608E83D}"/>
    <cellStyle name="Cálculo 6 4 2" xfId="7763" xr:uid="{18972362-AA3C-4E53-AC79-1B6DD018741D}"/>
    <cellStyle name="Cálculo 6 4 2 2" xfId="32395" xr:uid="{5D3D1058-B4E6-486D-9BCB-AA047CB97F14}"/>
    <cellStyle name="Cálculo 6 4 3" xfId="32394" xr:uid="{542361D4-0723-48CD-9EA8-EE61DEF96915}"/>
    <cellStyle name="Cálculo 6 4_BP - Raízen Combustíveis" xfId="7764" xr:uid="{C28B5740-1EB4-40B3-A10B-78A6CA61D3F9}"/>
    <cellStyle name="Cálculo 6 5" xfId="7765" xr:uid="{64B6BD44-2608-4A27-BA55-3A936EF4C608}"/>
    <cellStyle name="Cálculo 6 5 2" xfId="32396" xr:uid="{E820A125-D133-42ED-B4C5-234007F8D29F}"/>
    <cellStyle name="Cálculo 6 6" xfId="7766" xr:uid="{36F690D1-5157-4651-B5DA-FAEC434694CB}"/>
    <cellStyle name="Cálculo 6 7" xfId="7767" xr:uid="{F66F9149-4FFC-48E1-A049-674619BF0B79}"/>
    <cellStyle name="Cálculo 6 8" xfId="32389" xr:uid="{6E13B871-1344-471C-A5FC-1ACEDB603E0C}"/>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2 2" xfId="32399" xr:uid="{AA89F881-D7EC-4F6D-82E1-B99179D7C4A2}"/>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 7" xfId="32398" xr:uid="{07D8DAA7-BCF0-469B-AF82-C358D94B7E4A}"/>
    <cellStyle name="Cálculo 7 2_BP - Raízen Combustíveis" xfId="7776" xr:uid="{55321760-29E7-4453-9963-1C82FDD94019}"/>
    <cellStyle name="Cálculo 7 3" xfId="7777" xr:uid="{EC8824E0-6449-4202-A02C-C77508D19860}"/>
    <cellStyle name="Cálculo 7 3 2" xfId="7778" xr:uid="{F075D4A2-B05A-4058-9753-9069C7C73D55}"/>
    <cellStyle name="Cálculo 7 3 2 2" xfId="32401" xr:uid="{C9083CF7-7D7E-4E3B-BBE4-5987B5C79191}"/>
    <cellStyle name="Cálculo 7 3 3" xfId="32400" xr:uid="{C781B404-A9F6-4200-AC32-E9667B960704}"/>
    <cellStyle name="Cálculo 7 3_BP - Raízen Combustíveis" xfId="7779" xr:uid="{DC97C0DA-1A40-4CBA-8AFE-B2D90510D530}"/>
    <cellStyle name="Cálculo 7 4" xfId="7780" xr:uid="{BF65C6F4-F774-4C6F-93FB-5FD7B3EAEAB5}"/>
    <cellStyle name="Cálculo 7 4 2" xfId="7781" xr:uid="{0C3B276F-B028-4DCC-8773-E69411F2161A}"/>
    <cellStyle name="Cálculo 7 4 2 2" xfId="32403" xr:uid="{D463336E-912F-41C4-83D5-DC6B648FDC53}"/>
    <cellStyle name="Cálculo 7 4 3" xfId="32402" xr:uid="{7D0EAFCD-0E2C-4766-86C4-34397D97BED0}"/>
    <cellStyle name="Cálculo 7 5" xfId="7782" xr:uid="{B5CA41B3-9E80-4BC7-BF97-63E8757758A3}"/>
    <cellStyle name="Cálculo 7 5 2" xfId="32404" xr:uid="{88D72858-5DFE-4F9B-9ED6-DD851A2BF6A9}"/>
    <cellStyle name="Cálculo 7 6" xfId="7783" xr:uid="{3CE383FE-114F-4EB3-BC66-6EB02216A530}"/>
    <cellStyle name="Cálculo 7 7" xfId="7784" xr:uid="{D26B99C5-CC77-42B1-B99D-257C024F8AE0}"/>
    <cellStyle name="Cálculo 7 8" xfId="32397" xr:uid="{85FA4FD6-6CBC-4607-95B3-057736EC65C1}"/>
    <cellStyle name="Cálculo 7_13-Endividamento" xfId="7785" xr:uid="{ED5C1D87-77F2-4499-8EA1-3659C0ABB568}"/>
    <cellStyle name="Cálculo 8" xfId="7786" xr:uid="{219E9C44-2DF4-430F-929C-54291C80266D}"/>
    <cellStyle name="Cálculo 8 2" xfId="7787" xr:uid="{1C5B5E2F-E566-480D-A5F6-468927B3347E}"/>
    <cellStyle name="Cálculo 8 2 2" xfId="32406" xr:uid="{3E1B9DC7-D028-468B-83B9-BC0BAC88AE3C}"/>
    <cellStyle name="Cálculo 8 3" xfId="7788" xr:uid="{28AF830F-1D9D-4E3A-BC5D-9D24509B3788}"/>
    <cellStyle name="Cálculo 8 4" xfId="7789" xr:uid="{6F98E67D-8F47-468D-A9FA-E4FC48F4B65A}"/>
    <cellStyle name="Cálculo 8 5" xfId="32405" xr:uid="{B5802759-9374-46BB-91D2-23BD8C6F5D83}"/>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 5" xfId="32407" xr:uid="{684B7E49-B7A3-4639-8056-610D913D6712}"/>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 5" xfId="32408" xr:uid="{AF13F1D3-93D4-4529-B050-95AF115170D5}"/>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8 2" xfId="32186" xr:uid="{9BDD4532-DE26-49D7-9532-4D74C72D5250}"/>
    <cellStyle name="Comma [0] 9" xfId="31959" xr:uid="{1F3EF741-098F-4395-B5A9-5F23FB58EB6C}"/>
    <cellStyle name="Comma [0] 9 2" xfId="32428" xr:uid="{2B51113D-6FFD-4E45-9BF6-55A016603E27}"/>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3 2 2" xfId="32409" xr:uid="{5837B6B1-ECB3-4413-9051-17BECFC0DC71}"/>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 2 2" xfId="32410" xr:uid="{DF8FD9EC-434E-4517-AD9F-2605A1FE152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 2 2" xfId="32411" xr:uid="{40CBE62A-95D2-4553-A524-8D00B40CB2A4}"/>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1 2" xfId="32185" xr:uid="{1BC6172D-4B37-46F3-BB03-930551D8B32F}"/>
    <cellStyle name="Comma 85" xfId="31958" xr:uid="{86DE1039-B66F-4D33-97A0-0EC790F82C92}"/>
    <cellStyle name="Comma 85 2" xfId="32427" xr:uid="{D6F628DE-B52C-4480-A52A-9F85ABE4D791}"/>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8 2" xfId="32184" xr:uid="{6E7BAC6C-5154-48AB-8369-09D2282D5E4D}"/>
    <cellStyle name="Currency [0] 9" xfId="31957" xr:uid="{E0CF6733-9EEE-4572-8446-8C9E914FF94B}"/>
    <cellStyle name="Currency [0] 9 2" xfId="32426" xr:uid="{42DBC847-71C8-48A0-AFD0-EF3FC62DACF5}"/>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0 2" xfId="32183" xr:uid="{081FCB38-23ED-4087-85A0-54C5ECEF53D3}"/>
    <cellStyle name="Currency 11" xfId="31956" xr:uid="{0D003180-EF29-4069-93D9-04BFD3506FC9}"/>
    <cellStyle name="Currency 11 2" xfId="32425" xr:uid="{A7015697-9BA5-4AE5-B8C2-096522CB749E}"/>
    <cellStyle name="Currency 12" xfId="32182" xr:uid="{9F8FF814-55A1-4F8F-827F-EFCEC70AA091}"/>
    <cellStyle name="Currency 13" xfId="10111" xr:uid="{CAE76BB2-9CFD-4AC9-9A2B-93209FA44CDA}"/>
    <cellStyle name="Currency 13 2" xfId="10112" xr:uid="{EC9EA888-163E-4644-B088-1CFBFDA41F3F}"/>
    <cellStyle name="Currency 13_BP - Raízen Combustíveis" xfId="10113" xr:uid="{049BBEF9-9D31-434A-BD93-B2999469A345}"/>
    <cellStyle name="Currency 14" xfId="32424" xr:uid="{C2D2C146-09F6-488F-8B5D-B34AC558B4C2}"/>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0 2" xfId="32412" xr:uid="{8E61FE3E-FCA5-4EE7-B9D5-E2AF939DED72}"/>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 3" xfId="32413" xr:uid="{F06A3A0A-FC3E-45DF-9751-BC2F8E27014E}"/>
    <cellStyle name="Header2 2 2 4" xfId="32418" xr:uid="{B814D5C9-F9D8-4397-8705-5C706183EA67}"/>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6 5" xfId="32414" xr:uid="{2B77A67D-53FE-47B9-B939-5EBBB76B768E}"/>
    <cellStyle name="Header2 6 6" xfId="32417" xr:uid="{AF046754-44BB-43C4-8E78-B1846A1EB6EA}"/>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430"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3 2" xfId="32415" xr:uid="{BF5D9E4E-3BD2-4574-AAFE-39743F322113}"/>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5 2" xfId="32416" xr:uid="{DE53D29A-7E78-43A9-AF2F-EE43CD6CB22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0 2" xfId="32419" xr:uid="{A404A809-167C-46F0-85CC-79235E16A42E}"/>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6 2" xfId="32420" xr:uid="{874565DA-2510-4E0F-9830-6CCCC4BBEE83}"/>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4 2" xfId="32421" xr:uid="{ACAFC299-0D22-40D1-8F51-EF24A35348F6}"/>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 9 2" xfId="32422" xr:uid="{FF748218-D7F4-457F-9A31-3D1FAFC21F62}"/>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8 2" xfId="32423" xr:uid="{0A959F8B-686F-4077-951F-462ED5B8A534}"/>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17 2 2" xfId="32188" xr:uid="{AF331E29-A8EB-4FC5-B465-9B461C7B2F9F}"/>
    <cellStyle name="Separador de milhares 2 72 2" xfId="17" xr:uid="{F1F16209-A401-4C36-BE67-161CB527EC72}"/>
    <cellStyle name="Separador de milhares 2 72 2 2" xfId="32191" xr:uid="{E3A06058-78AE-4B6B-9542-E9D9AC5916BB}"/>
    <cellStyle name="Separador de milhares 2 74" xfId="13" xr:uid="{2B72E019-F617-49A8-A7DC-C1DDA637CF55}"/>
    <cellStyle name="Separador de milhares 2 74 2" xfId="32189" xr:uid="{D0121BA9-DBBD-4F61-8C57-D07BD07A0525}"/>
    <cellStyle name="Separador de milhares 3" xfId="31960" xr:uid="{ADFAEE6C-E9DB-404A-A82A-BDD37783B902}"/>
    <cellStyle name="Separador de milhares 3 2" xfId="32429" xr:uid="{AF2B1C95-36E9-46F9-88BC-8F9FF0E66169}"/>
    <cellStyle name="Separador de milhares 3 2 2 2" xfId="31961" xr:uid="{8AA87E68-C947-46B8-8AB6-08756F15533D}"/>
    <cellStyle name="Vírgula" xfId="9" xr:uid="{F2496D4E-6D89-402C-B3B2-CE1D83F33DDD}"/>
    <cellStyle name="Vírgula 2" xfId="32187" xr:uid="{B606ECD4-C4D6-4277-A46B-E84624120B57}"/>
    <cellStyle name="Vírgula 5" xfId="14" xr:uid="{45357098-201D-47A4-AD40-A945D8770E1B}"/>
    <cellStyle name="Vírgula 5 2" xfId="32190" xr:uid="{547D4D35-893C-4E99-AA2F-738D6D942AE9}"/>
  </cellStyles>
  <dxfs count="0"/>
  <tableStyles count="0" defaultTableStyle="TableStyleMedium2" defaultPivotStyle="PivotStyleLight16"/>
  <colors>
    <mruColors>
      <color rgb="FFD7E8D2"/>
      <color rgb="FF808080"/>
      <color rgb="FFA19E8F"/>
      <color rgb="FF0A9CA6"/>
      <color rgb="FF84CF1F"/>
      <color rgb="FF000349"/>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0A9CA6"/>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A19E8F"/>
              </a:solidFill>
            </cx:spPr>
          </cx:dataPt>
          <cx:dataPt idx="10">
            <cx:spPr>
              <a:solidFill>
                <a:srgbClr val="A19E8F"/>
              </a:solidFill>
            </cx:spPr>
          </cx:dataPt>
          <cx:dataPt idx="11">
            <cx:spPr>
              <a:solidFill>
                <a:srgbClr val="A19E8F"/>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3,82</a:t>
                  </a:r>
                </a:p>
              </cx:txPr>
              <cx:visibility seriesName="0" categoryName="0" value="1"/>
              <cx:separator>, </cx:separator>
            </cx:dataLabel>
            <cx:dataLabel idx="10" pos="ctr">
              <cx:numFmt formatCode="#.##0,00...; (#.##0,00...) " sourceLinked="0"/>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visibility connectorLines="1"/>
            <cx:subtotals>
              <cx:idx val="9"/>
              <cx:idx val="10"/>
              <cx:idx val="11"/>
            </cx:subtotals>
          </cx:layoutPr>
        </cx:series>
      </cx:plotAreaRegion>
      <cx:axis id="0">
        <cx:catScaling gapWidth="0.5"/>
        <cx:tickLabels/>
        <cx:spPr>
          <a:effectLst>
            <a:softEdge rad="12700"/>
          </a:effectLst>
        </cx:spPr>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R$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R$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4596</xdr:colOff>
      <xdr:row>8</xdr:row>
      <xdr:rowOff>7326</xdr:rowOff>
    </xdr:to>
    <xdr:grpSp>
      <xdr:nvGrpSpPr>
        <xdr:cNvPr id="8" name="Agrupar 7">
          <a:extLst>
            <a:ext uri="{FF2B5EF4-FFF2-40B4-BE49-F238E27FC236}">
              <a16:creationId xmlns:a16="http://schemas.microsoft.com/office/drawing/2014/main" id="{E3F15B9D-E94A-9F33-5048-CD667F797FFB}"/>
            </a:ext>
          </a:extLst>
        </xdr:cNvPr>
        <xdr:cNvGrpSpPr>
          <a:grpSpLocks noChangeAspect="1"/>
        </xdr:cNvGrpSpPr>
      </xdr:nvGrpSpPr>
      <xdr:grpSpPr>
        <a:xfrm>
          <a:off x="0" y="0"/>
          <a:ext cx="11650496" cy="1480526"/>
          <a:chOff x="2105025" y="2882265"/>
          <a:chExt cx="7981950" cy="1093470"/>
        </a:xfrm>
      </xdr:grpSpPr>
      <xdr:sp macro="" textlink="">
        <xdr:nvSpPr>
          <xdr:cNvPr id="9" name="Retângulo 8">
            <a:extLst>
              <a:ext uri="{FF2B5EF4-FFF2-40B4-BE49-F238E27FC236}">
                <a16:creationId xmlns:a16="http://schemas.microsoft.com/office/drawing/2014/main" id="{A88B0CCC-A5CC-03FF-4C83-47B1F1AFACC7}"/>
              </a:ext>
            </a:extLst>
          </xdr:cNvPr>
          <xdr:cNvSpPr/>
        </xdr:nvSpPr>
        <xdr:spPr>
          <a:xfrm>
            <a:off x="2105025" y="2882265"/>
            <a:ext cx="7981950" cy="1093470"/>
          </a:xfrm>
          <a:prstGeom prst="rect">
            <a:avLst/>
          </a:prstGeom>
          <a:solidFill>
            <a:srgbClr val="00334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BR"/>
          </a:p>
        </xdr:txBody>
      </xdr:sp>
      <xdr:pic>
        <xdr:nvPicPr>
          <xdr:cNvPr id="10" name="Imagem 9" descr="Seta&#10;&#10;Descrição gerada automaticamente">
            <a:extLst>
              <a:ext uri="{FF2B5EF4-FFF2-40B4-BE49-F238E27FC236}">
                <a16:creationId xmlns:a16="http://schemas.microsoft.com/office/drawing/2014/main" id="{5E904971-F7E3-A814-F32A-8AE53A58E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382" b="36287"/>
          <a:stretch/>
        </xdr:blipFill>
        <xdr:spPr bwMode="auto">
          <a:xfrm>
            <a:off x="2699732" y="2882265"/>
            <a:ext cx="1455420" cy="1093469"/>
          </a:xfrm>
          <a:prstGeom prst="rect">
            <a:avLst/>
          </a:prstGeom>
          <a:noFill/>
          <a:ln>
            <a:noFill/>
          </a:ln>
          <a:extLst>
            <a:ext uri="{53640926-AAD7-44D8-BBD7-CCE9431645EC}">
              <a14:shadowObscured xmlns:a14="http://schemas.microsoft.com/office/drawing/2010/main"/>
            </a:ext>
          </a:extLst>
        </xdr:spPr>
      </xdr:pic>
      <xdr:pic>
        <xdr:nvPicPr>
          <xdr:cNvPr id="11" name="Imagem 10" descr="Desenho de um cachorro&#10;&#10;Descrição gerada automaticamente">
            <a:extLst>
              <a:ext uri="{FF2B5EF4-FFF2-40B4-BE49-F238E27FC236}">
                <a16:creationId xmlns:a16="http://schemas.microsoft.com/office/drawing/2014/main" id="{9924B741-5E5B-E487-AA92-1C3016025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3468" y="3460750"/>
            <a:ext cx="1074098" cy="33826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393606</xdr:colOff>
      <xdr:row>0</xdr:row>
      <xdr:rowOff>179295</xdr:rowOff>
    </xdr:from>
    <xdr:to>
      <xdr:col>1</xdr:col>
      <xdr:colOff>1893093</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393606" y="179295"/>
          <a:ext cx="2112075" cy="607550"/>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19107</xdr:rowOff>
    </xdr:from>
    <xdr:to>
      <xdr:col>28</xdr:col>
      <xdr:colOff>381000</xdr:colOff>
      <xdr:row>41</xdr:row>
      <xdr:rowOff>143932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3041" y="1371657"/>
              <a:ext cx="12494559" cy="663357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xdr:col>
      <xdr:colOff>67235</xdr:colOff>
      <xdr:row>0</xdr:row>
      <xdr:rowOff>156882</xdr:rowOff>
    </xdr:from>
    <xdr:to>
      <xdr:col>2</xdr:col>
      <xdr:colOff>2150127</xdr:colOff>
      <xdr:row>4</xdr:row>
      <xdr:rowOff>17373</xdr:rowOff>
    </xdr:to>
    <xdr:grpSp>
      <xdr:nvGrpSpPr>
        <xdr:cNvPr id="13" name="Agrupar 3">
          <a:extLst>
            <a:ext uri="{FF2B5EF4-FFF2-40B4-BE49-F238E27FC236}">
              <a16:creationId xmlns:a16="http://schemas.microsoft.com/office/drawing/2014/main" id="{B8BF7CEF-0CDF-4125-8DB0-E7FCD3CCE049}"/>
            </a:ext>
          </a:extLst>
        </xdr:cNvPr>
        <xdr:cNvGrpSpPr/>
      </xdr:nvGrpSpPr>
      <xdr:grpSpPr>
        <a:xfrm>
          <a:off x="456702" y="156882"/>
          <a:ext cx="2082892" cy="605558"/>
          <a:chOff x="4877250" y="2038709"/>
          <a:chExt cx="7062819" cy="2227240"/>
        </a:xfrm>
      </xdr:grpSpPr>
      <xdr:sp macro="" textlink="">
        <xdr:nvSpPr>
          <xdr:cNvPr id="14" name="Forma Livre: Forma 4">
            <a:extLst>
              <a:ext uri="{FF2B5EF4-FFF2-40B4-BE49-F238E27FC236}">
                <a16:creationId xmlns:a16="http://schemas.microsoft.com/office/drawing/2014/main" id="{61F671DD-A261-842D-55A3-0F8C52C04A6E}"/>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orma Livre: Forma 5">
            <a:extLst>
              <a:ext uri="{FF2B5EF4-FFF2-40B4-BE49-F238E27FC236}">
                <a16:creationId xmlns:a16="http://schemas.microsoft.com/office/drawing/2014/main" id="{182C6593-E9A3-A2E5-3515-BF4966FF98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orma Livre: Forma 6">
            <a:extLst>
              <a:ext uri="{FF2B5EF4-FFF2-40B4-BE49-F238E27FC236}">
                <a16:creationId xmlns:a16="http://schemas.microsoft.com/office/drawing/2014/main" id="{D4C042B2-E858-5E15-8AB2-3771EF4531CE}"/>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orma Livre: Forma 7">
            <a:extLst>
              <a:ext uri="{FF2B5EF4-FFF2-40B4-BE49-F238E27FC236}">
                <a16:creationId xmlns:a16="http://schemas.microsoft.com/office/drawing/2014/main" id="{1704ECED-54E9-7A47-55B4-A33D078F702E}"/>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123264</xdr:colOff>
      <xdr:row>0</xdr:row>
      <xdr:rowOff>134470</xdr:rowOff>
    </xdr:from>
    <xdr:to>
      <xdr:col>1</xdr:col>
      <xdr:colOff>1164710</xdr:colOff>
      <xdr:row>3</xdr:row>
      <xdr:rowOff>185461</xdr:rowOff>
    </xdr:to>
    <xdr:grpSp>
      <xdr:nvGrpSpPr>
        <xdr:cNvPr id="7" name="Agrupar 3">
          <a:extLst>
            <a:ext uri="{FF2B5EF4-FFF2-40B4-BE49-F238E27FC236}">
              <a16:creationId xmlns:a16="http://schemas.microsoft.com/office/drawing/2014/main" id="{F5A1FF5F-DBCB-4002-A60B-7225E09B6408}"/>
            </a:ext>
          </a:extLst>
        </xdr:cNvPr>
        <xdr:cNvGrpSpPr/>
      </xdr:nvGrpSpPr>
      <xdr:grpSpPr>
        <a:xfrm>
          <a:off x="425822" y="134470"/>
          <a:ext cx="2082892" cy="611285"/>
          <a:chOff x="4877250" y="2038709"/>
          <a:chExt cx="7062819" cy="2227240"/>
        </a:xfrm>
      </xdr:grpSpPr>
      <xdr:sp macro="" textlink="">
        <xdr:nvSpPr>
          <xdr:cNvPr id="8" name="Forma Livre: Forma 4">
            <a:extLst>
              <a:ext uri="{FF2B5EF4-FFF2-40B4-BE49-F238E27FC236}">
                <a16:creationId xmlns:a16="http://schemas.microsoft.com/office/drawing/2014/main" id="{5C1C0948-B2AB-A4E6-2B44-C928698FA75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189435B3-F301-F35D-890F-90AB7D646E05}"/>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B35D5ABD-E0A4-E6B5-22A5-194393DFA4B0}"/>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75446064-3A73-DA95-12C5-1E163416EA1B}"/>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haticloud.sharepoint.com/sites/RI681/Documentos%20Compartilhados/General/Divulga&#231;&#227;o%20de%20Resultados/2024/4T24/PPS/PPS%20Cosan%204T24%20PT.xlsm" TargetMode="External"/><Relationship Id="rId1" Type="http://schemas.openxmlformats.org/officeDocument/2006/relationships/externalLinkPath" Target="/sites/RI681/Documentos%20Compartilhados/General/Divulga&#231;&#227;o%20de%20Resultados/2024/4T24/PPS/PPS%20Cosan%204T24%20P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SOLIDADO PROFORMA"/>
      <sheetName val="COSAN SA - IFRS"/>
      <sheetName val="RAÍZEN"/>
      <sheetName val="COMPASS"/>
      <sheetName val="RUMO"/>
      <sheetName val="MOOVE"/>
      <sheetName val="RADAR"/>
      <sheetName val="COSAN OITO"/>
      <sheetName val="COSAN NOVE"/>
      <sheetName val="COSAN DEZ"/>
      <sheetName val="NOVO CORPORATIVO"/>
      <sheetName val="ENDIVIDAMENTO POR NEGÓCIO"/>
      <sheetName val="EMPRÉSTIMOS E FINANCIAMENTOS"/>
      <sheetName val="DFC POR NEGÓCIO"/>
      <sheetName val="DIVIDENDOS E JCP"/>
    </sheetNames>
    <sheetDataSet>
      <sheetData sheetId="0"/>
      <sheetData sheetId="1"/>
      <sheetData sheetId="2">
        <row r="123">
          <cell r="V123">
            <v>3674.2</v>
          </cell>
        </row>
      </sheetData>
      <sheetData sheetId="3">
        <row r="41">
          <cell r="S41">
            <v>893.26845278999883</v>
          </cell>
        </row>
      </sheetData>
      <sheetData sheetId="4">
        <row r="40">
          <cell r="S40">
            <v>1688.8604900799999</v>
          </cell>
        </row>
        <row r="49">
          <cell r="Q49">
            <v>676.90425167999274</v>
          </cell>
          <cell r="R49">
            <v>841.41639548999592</v>
          </cell>
          <cell r="S49">
            <v>935.06278683000164</v>
          </cell>
          <cell r="T49">
            <v>955.98021915000027</v>
          </cell>
        </row>
      </sheetData>
      <sheetData sheetId="5">
        <row r="35">
          <cell r="AU35">
            <v>341.08711830000044</v>
          </cell>
        </row>
      </sheetData>
      <sheetData sheetId="6">
        <row r="26">
          <cell r="L26">
            <v>136.03339012999999</v>
          </cell>
        </row>
      </sheetData>
      <sheetData sheetId="7"/>
      <sheetData sheetId="8"/>
      <sheetData sheetId="9"/>
      <sheetData sheetId="10">
        <row r="8">
          <cell r="S8">
            <v>-105.05094541</v>
          </cell>
        </row>
      </sheetData>
      <sheetData sheetId="11"/>
      <sheetData sheetId="12">
        <row r="18">
          <cell r="E18">
            <v>8142.0890528499967</v>
          </cell>
        </row>
      </sheetData>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Capitalização de merc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Capitalização de mercado"/>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hyperlink" Target="https://ri.rumolog.com/informacoes-financeiras/central-de-resultados/" TargetMode="External"/><Relationship Id="rId13" Type="http://schemas.openxmlformats.org/officeDocument/2006/relationships/hyperlink" Target="https://www.cosan.com.br/informacoes-financeiras/central-de-resultados/" TargetMode="External"/><Relationship Id="rId18" Type="http://schemas.openxmlformats.org/officeDocument/2006/relationships/hyperlink" Target="https://www.cosan.com.br/informacoes-financeiras/central-de-resultados/" TargetMode="External"/><Relationship Id="rId26" Type="http://schemas.openxmlformats.org/officeDocument/2006/relationships/hyperlink" Target="https://ri.rumolog.com/divulgacoes-e-documentos/avisos-comunicados-e-fatos-relevantes/" TargetMode="External"/><Relationship Id="rId3" Type="http://schemas.openxmlformats.org/officeDocument/2006/relationships/hyperlink" Target="https://ri.raizen.com.br/sobre-a-raizen/composicao-acionaria/" TargetMode="External"/><Relationship Id="rId21" Type="http://schemas.openxmlformats.org/officeDocument/2006/relationships/hyperlink" Target="https://www.cosan.com.br/informacoes-financeiras/central-de-resultados/" TargetMode="External"/><Relationship Id="rId7" Type="http://schemas.openxmlformats.org/officeDocument/2006/relationships/hyperlink" Target="https://ri.rumolog.com/informacoes-financeiras/central-de-resultados/" TargetMode="External"/><Relationship Id="rId12" Type="http://schemas.openxmlformats.org/officeDocument/2006/relationships/hyperlink" Target="https://www.compassbr.com/divulgacao-de-resultados/central-de-resultados/" TargetMode="External"/><Relationship Id="rId17" Type="http://schemas.openxmlformats.org/officeDocument/2006/relationships/hyperlink" Target="https://www.cosan.com.br/sobre-a-cosan/composicao-acionaria/" TargetMode="External"/><Relationship Id="rId25" Type="http://schemas.openxmlformats.org/officeDocument/2006/relationships/hyperlink" Target="https://www.cosan.com.br/informacoes-financeiras/central-de-resultados/" TargetMode="External"/><Relationship Id="rId2" Type="http://schemas.openxmlformats.org/officeDocument/2006/relationships/hyperlink" Target="https://ri.raizen.com.br/sobre-a-raizen/estrutura-societaria/" TargetMode="External"/><Relationship Id="rId16" Type="http://schemas.openxmlformats.org/officeDocument/2006/relationships/hyperlink" Target="https://www.cosan.com.br/informacoes-financeiras/central-de-resultados/" TargetMode="External"/><Relationship Id="rId20" Type="http://schemas.openxmlformats.org/officeDocument/2006/relationships/hyperlink" Target="https://www.cosan.com.br/informacoes-financeiras/central-de-resultados/" TargetMode="External"/><Relationship Id="rId29" Type="http://schemas.openxmlformats.org/officeDocument/2006/relationships/hyperlink" Target="https://ri.rumolog.com/governanca-corporativa/composicao-acionaria/"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governanca-corporativa/composicao-acionaria/" TargetMode="External"/><Relationship Id="rId11" Type="http://schemas.openxmlformats.org/officeDocument/2006/relationships/hyperlink" Target="https://www.compassbr.com/divulgacao-de-resultados/central-de-resultados/" TargetMode="External"/><Relationship Id="rId24" Type="http://schemas.openxmlformats.org/officeDocument/2006/relationships/hyperlink" Target="https://www.cosan.com.br/informacoes-financeiras/central-de-resultados/" TargetMode="External"/><Relationship Id="rId32" Type="http://schemas.openxmlformats.org/officeDocument/2006/relationships/drawing" Target="../drawings/drawing4.xml"/><Relationship Id="rId5" Type="http://schemas.openxmlformats.org/officeDocument/2006/relationships/hyperlink" Target="https://ri.rumolog.com/governanca-corporativa/composicao-acionaria/" TargetMode="External"/><Relationship Id="rId15" Type="http://schemas.openxmlformats.org/officeDocument/2006/relationships/hyperlink" Target="https://www.cosan.com.br/informacoes-financeiras/central-de-resultados/" TargetMode="External"/><Relationship Id="rId23" Type="http://schemas.openxmlformats.org/officeDocument/2006/relationships/hyperlink" Target="https://www.cosan.com.br/informacoes-financeiras/central-de-resultados/" TargetMode="External"/><Relationship Id="rId28" Type="http://schemas.openxmlformats.org/officeDocument/2006/relationships/hyperlink" Target="https://www.cosan.com.br/informacoes-financeiras/central-de-resultados/" TargetMode="External"/><Relationship Id="rId10" Type="http://schemas.openxmlformats.org/officeDocument/2006/relationships/hyperlink" Target="https://www.compassbr.com/divulgacao-de-resultados/central-de-resultados/" TargetMode="External"/><Relationship Id="rId19" Type="http://schemas.openxmlformats.org/officeDocument/2006/relationships/hyperlink" Target="https://www.cosan.com.br/informacoes-financeiras/central-de-resultados/" TargetMode="External"/><Relationship Id="rId31" Type="http://schemas.openxmlformats.org/officeDocument/2006/relationships/printerSettings" Target="../printerSettings/printerSettings3.bin"/><Relationship Id="rId4" Type="http://schemas.openxmlformats.org/officeDocument/2006/relationships/hyperlink" Target="https://ri.raizen.com.br/informacoes-financeiras/central-de-resultados/" TargetMode="External"/><Relationship Id="rId9" Type="http://schemas.openxmlformats.org/officeDocument/2006/relationships/hyperlink" Target="https://www.compassbr.com/governanca-corporativa/composicao-acionaria/" TargetMode="External"/><Relationship Id="rId14" Type="http://schemas.openxmlformats.org/officeDocument/2006/relationships/hyperlink" Target="https://www.cosan.com.br/informacoes-financeiras/central-de-resultados/" TargetMode="External"/><Relationship Id="rId22" Type="http://schemas.openxmlformats.org/officeDocument/2006/relationships/hyperlink" Target="https://www.cosan.com.br/informacoes-financeiras/central-de-resultados/" TargetMode="External"/><Relationship Id="rId27" Type="http://schemas.openxmlformats.org/officeDocument/2006/relationships/hyperlink" Target="https://ri.raizen.com.br/sobre-a-raizen/composicao-acionaria/" TargetMode="External"/><Relationship Id="rId30" Type="http://schemas.openxmlformats.org/officeDocument/2006/relationships/hyperlink" Target="https://api.mziq.com/mzfilemanager/v2/d/6aa68515-2422-4cc4-bafa-8870ccdfedb0/ea2b64a3-01e4-c1dc-2e90-f49fded25c26?origin=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DB91-A73E-4EDB-A662-0E73DCA5DA02}">
  <dimension ref="A9:C19"/>
  <sheetViews>
    <sheetView showGridLines="0" topLeftCell="A11" zoomScaleNormal="100" workbookViewId="0">
      <selection activeCell="A22" sqref="A22"/>
    </sheetView>
  </sheetViews>
  <sheetFormatPr defaultRowHeight="14.5"/>
  <cols>
    <col min="1" max="1" width="149.26953125" customWidth="1"/>
  </cols>
  <sheetData>
    <row r="9" spans="1:3">
      <c r="A9" s="32"/>
      <c r="B9" s="32"/>
      <c r="C9" s="32"/>
    </row>
    <row r="10" spans="1:3">
      <c r="A10" s="56" t="s">
        <v>79</v>
      </c>
      <c r="B10" s="32"/>
      <c r="C10" s="32"/>
    </row>
    <row r="11" spans="1:3" ht="30" customHeight="1">
      <c r="A11" s="78" t="s">
        <v>122</v>
      </c>
      <c r="B11" s="78"/>
      <c r="C11" s="78"/>
    </row>
    <row r="12" spans="1:3">
      <c r="A12" s="54"/>
      <c r="B12" s="55"/>
      <c r="C12" s="55"/>
    </row>
    <row r="13" spans="1:3" ht="45" customHeight="1">
      <c r="A13" s="78" t="s">
        <v>55</v>
      </c>
      <c r="B13" s="78"/>
      <c r="C13" s="78"/>
    </row>
    <row r="14" spans="1:3">
      <c r="A14" s="54"/>
      <c r="B14" s="55"/>
      <c r="C14" s="55"/>
    </row>
    <row r="15" spans="1:3" ht="75" customHeight="1">
      <c r="A15" s="78" t="s">
        <v>56</v>
      </c>
      <c r="B15" s="78"/>
      <c r="C15" s="78"/>
    </row>
    <row r="16" spans="1:3">
      <c r="A16" s="54"/>
      <c r="B16" s="55"/>
      <c r="C16" s="55"/>
    </row>
    <row r="17" spans="1:3" ht="45" customHeight="1">
      <c r="A17" s="78" t="s">
        <v>80</v>
      </c>
      <c r="B17" s="78"/>
      <c r="C17" s="78"/>
    </row>
    <row r="18" spans="1:3">
      <c r="A18" s="54"/>
      <c r="B18" s="55"/>
      <c r="C18" s="55"/>
    </row>
    <row r="19" spans="1:3" ht="31.5" customHeight="1">
      <c r="A19" s="78" t="s">
        <v>57</v>
      </c>
      <c r="B19" s="78"/>
      <c r="C19" s="78"/>
    </row>
  </sheetData>
  <mergeCells count="5">
    <mergeCell ref="A11:C11"/>
    <mergeCell ref="A13:C13"/>
    <mergeCell ref="A15:C15"/>
    <mergeCell ref="A17:C17"/>
    <mergeCell ref="A19:C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tabSelected="1" topLeftCell="B1" zoomScale="85" zoomScaleNormal="85" workbookViewId="0">
      <pane ySplit="7" topLeftCell="A12" activePane="bottomLeft" state="frozen"/>
      <selection pane="bottomLeft" activeCell="G26" sqref="G26"/>
    </sheetView>
  </sheetViews>
  <sheetFormatPr defaultColWidth="8.7265625" defaultRowHeight="14.5" zeroHeight="1"/>
  <cols>
    <col min="1" max="1" width="8.7265625" customWidth="1"/>
    <col min="2" max="2" width="119.7265625" customWidth="1"/>
    <col min="3" max="3" width="8.7265625" customWidth="1"/>
    <col min="4" max="4" width="29.26953125" bestFit="1" customWidth="1"/>
    <col min="5" max="5" width="20.7265625" customWidth="1"/>
    <col min="6" max="6" width="18.54296875" bestFit="1" customWidth="1"/>
    <col min="7" max="7" width="21.81640625" bestFit="1" customWidth="1"/>
    <col min="8" max="11" width="15.7265625" customWidth="1"/>
    <col min="12" max="13" width="19.453125" bestFit="1" customWidth="1"/>
    <col min="14" max="17" width="15.7265625" customWidth="1"/>
    <col min="18" max="18" width="8.7265625" customWidth="1"/>
    <col min="19" max="21" width="8.7265625" hidden="1" customWidth="1"/>
    <col min="22" max="28" width="0" hidden="1" customWidth="1"/>
    <col min="29" max="29" width="13" customWidth="1"/>
    <col min="30" max="30" width="14.453125" bestFit="1" customWidth="1"/>
    <col min="31" max="31" width="11.54296875" bestFit="1" customWidth="1"/>
    <col min="37" max="37" width="11.81640625" bestFit="1" customWidth="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3"/>
      <c r="B6" s="33" t="s">
        <v>23</v>
      </c>
      <c r="C6" s="33"/>
      <c r="D6" s="33"/>
      <c r="E6" s="33"/>
      <c r="F6" s="33"/>
      <c r="G6" s="33"/>
      <c r="H6" s="33"/>
      <c r="I6" s="33"/>
      <c r="J6" s="33"/>
      <c r="K6" s="33"/>
      <c r="L6" s="33"/>
      <c r="M6" s="33"/>
      <c r="N6" s="33"/>
      <c r="O6" s="33"/>
      <c r="P6" s="33"/>
      <c r="Q6" s="33"/>
      <c r="R6"/>
    </row>
    <row r="7" spans="1:18" s="2" customFormat="1" collapsed="1">
      <c r="A7" s="34"/>
      <c r="B7" s="34"/>
      <c r="C7" s="34"/>
      <c r="D7" s="34"/>
      <c r="E7" s="34"/>
      <c r="F7" s="34"/>
      <c r="G7" s="34"/>
      <c r="H7" s="34"/>
      <c r="I7" s="34"/>
      <c r="J7" s="34"/>
      <c r="K7" s="34"/>
      <c r="L7" s="34"/>
      <c r="M7" s="34"/>
      <c r="N7" s="34"/>
      <c r="O7" s="34"/>
      <c r="P7" s="34"/>
      <c r="Q7" s="34"/>
    </row>
    <row r="8" spans="1:18"/>
    <row r="9" spans="1:18">
      <c r="B9" s="35" t="s">
        <v>24</v>
      </c>
      <c r="D9" s="35" t="s">
        <v>12</v>
      </c>
      <c r="E9" s="35"/>
      <c r="F9" s="35"/>
      <c r="G9" s="35"/>
      <c r="H9" s="35"/>
      <c r="I9" s="35"/>
      <c r="J9" s="35"/>
      <c r="K9" s="35"/>
      <c r="L9" s="35"/>
      <c r="M9" s="35"/>
      <c r="N9" s="35"/>
      <c r="O9" s="35"/>
      <c r="P9" s="35"/>
      <c r="Q9" s="35"/>
    </row>
    <row r="10" spans="1:18"/>
    <row r="11" spans="1:18">
      <c r="B11" s="14" t="s">
        <v>25</v>
      </c>
      <c r="D11" s="19" t="s">
        <v>27</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51</v>
      </c>
      <c r="D13" s="79" t="s">
        <v>28</v>
      </c>
      <c r="E13" s="79"/>
      <c r="F13" s="79"/>
      <c r="G13" s="79"/>
      <c r="H13" s="79"/>
      <c r="I13" s="79"/>
      <c r="J13" s="79"/>
      <c r="K13" s="79"/>
      <c r="L13" s="79"/>
      <c r="M13" s="79"/>
      <c r="N13" s="79"/>
      <c r="O13" s="79"/>
      <c r="P13" s="79"/>
      <c r="Q13" s="79"/>
    </row>
    <row r="14" spans="1:18">
      <c r="B14" s="7"/>
      <c r="L14" s="57"/>
    </row>
    <row r="15" spans="1:18">
      <c r="B15" s="14" t="s">
        <v>85</v>
      </c>
      <c r="D15" s="19" t="s">
        <v>29</v>
      </c>
      <c r="E15" s="58">
        <v>45968</v>
      </c>
      <c r="G15" s="19" t="s">
        <v>114</v>
      </c>
      <c r="H15" s="52" t="s">
        <v>151</v>
      </c>
      <c r="I15" s="53"/>
      <c r="J15" s="53"/>
      <c r="K15" s="57"/>
    </row>
    <row r="16" spans="1:18">
      <c r="B16" s="7"/>
      <c r="O16" s="64"/>
    </row>
    <row r="17" spans="2:28" ht="45" customHeight="1">
      <c r="B17" s="15" t="s">
        <v>97</v>
      </c>
      <c r="D17" s="12" t="s">
        <v>132</v>
      </c>
      <c r="E17" s="12" t="s">
        <v>30</v>
      </c>
      <c r="F17" s="12" t="s">
        <v>126</v>
      </c>
      <c r="G17" s="12" t="s">
        <v>134</v>
      </c>
      <c r="H17" s="12" t="s">
        <v>135</v>
      </c>
      <c r="I17" s="12" t="s">
        <v>121</v>
      </c>
      <c r="J17" s="12" t="s">
        <v>64</v>
      </c>
      <c r="K17" s="12" t="s">
        <v>98</v>
      </c>
      <c r="L17" s="12" t="s">
        <v>127</v>
      </c>
      <c r="M17" s="12" t="s">
        <v>128</v>
      </c>
      <c r="N17" s="12" t="s">
        <v>129</v>
      </c>
      <c r="O17" s="12" t="s">
        <v>130</v>
      </c>
      <c r="P17" s="12" t="s">
        <v>131</v>
      </c>
    </row>
    <row r="18" spans="2:28" ht="45" customHeight="1">
      <c r="B18" s="15" t="s">
        <v>105</v>
      </c>
      <c r="D18" s="17" t="s">
        <v>0</v>
      </c>
      <c r="E18" s="60">
        <v>0</v>
      </c>
      <c r="F18" s="16" t="s">
        <v>10</v>
      </c>
      <c r="G18" s="72">
        <v>10343115881</v>
      </c>
      <c r="H18" s="72">
        <v>4496786292</v>
      </c>
      <c r="I18" s="65">
        <v>0.44024000000000002</v>
      </c>
      <c r="J18" s="73">
        <v>0.85</v>
      </c>
      <c r="K18" s="69">
        <v>1.8800000000000001</v>
      </c>
      <c r="L18" s="70">
        <v>10.411099999999999</v>
      </c>
      <c r="M18" s="72" t="s">
        <v>10</v>
      </c>
      <c r="N18" s="70">
        <v>53.443503626399952</v>
      </c>
      <c r="O18" s="72">
        <v>17808429000</v>
      </c>
      <c r="P18" s="73" t="s">
        <v>10</v>
      </c>
    </row>
    <row r="19" spans="2:28" ht="45" customHeight="1">
      <c r="B19" s="15" t="s">
        <v>106</v>
      </c>
      <c r="D19" s="17" t="s">
        <v>1</v>
      </c>
      <c r="E19" s="60">
        <v>0</v>
      </c>
      <c r="F19" s="16" t="s">
        <v>10</v>
      </c>
      <c r="G19" s="72">
        <v>1855773672</v>
      </c>
      <c r="H19" s="72">
        <v>562529490</v>
      </c>
      <c r="I19" s="65">
        <v>0.30335379765813197</v>
      </c>
      <c r="J19" s="73">
        <v>15.61</v>
      </c>
      <c r="K19" s="69">
        <v>22.869230769230771</v>
      </c>
      <c r="L19" s="70">
        <v>7.8952626075700048</v>
      </c>
      <c r="M19" s="72">
        <v>8400000000</v>
      </c>
      <c r="N19" s="70">
        <v>15.034478701149991</v>
      </c>
      <c r="O19" s="72">
        <v>4184787000</v>
      </c>
      <c r="P19" s="73" t="s">
        <v>10</v>
      </c>
      <c r="S19">
        <f>SUM([1]RUMO!$Q$49:$T$49)</f>
        <v>3409.3636531499906</v>
      </c>
      <c r="T19">
        <f>SUM([1]RUMO!$Q$49:$T$49)</f>
        <v>3409.3636531499906</v>
      </c>
      <c r="U19">
        <f>SUM([1]RUMO!$Q$49:$T$49)</f>
        <v>3409.3636531499906</v>
      </c>
      <c r="V19">
        <f>SUM([1]RUMO!$Q$49:$T$49)</f>
        <v>3409.3636531499906</v>
      </c>
      <c r="W19">
        <f>SUM([1]RUMO!$Q$49:$T$49)</f>
        <v>3409.3636531499906</v>
      </c>
      <c r="X19">
        <f>SUM([1]RUMO!$Q$49:$T$49)</f>
        <v>3409.3636531499906</v>
      </c>
      <c r="Y19">
        <f>SUM([1]RUMO!$Q$49:$T$49)</f>
        <v>3409.3636531499906</v>
      </c>
      <c r="Z19">
        <f>SUM([1]RUMO!$Q$49:$T$49)</f>
        <v>3409.3636531499906</v>
      </c>
      <c r="AA19">
        <f>SUM([1]RUMO!$Q$49:$T$49)</f>
        <v>3409.3636531499906</v>
      </c>
      <c r="AB19">
        <f>SUM([1]RUMO!$Q$49:$T$49)</f>
        <v>3409.3636531499906</v>
      </c>
    </row>
    <row r="20" spans="2:28" ht="45" customHeight="1">
      <c r="B20" s="15" t="s">
        <v>96</v>
      </c>
      <c r="D20" s="17" t="s">
        <v>2</v>
      </c>
      <c r="E20" s="61">
        <v>0</v>
      </c>
      <c r="F20" s="61">
        <v>0</v>
      </c>
      <c r="G20" s="73" t="s">
        <v>10</v>
      </c>
      <c r="H20" s="73" t="s">
        <v>10</v>
      </c>
      <c r="I20" s="65">
        <v>0.88</v>
      </c>
      <c r="J20" s="73" t="s">
        <v>10</v>
      </c>
      <c r="K20" s="73" t="s">
        <v>10</v>
      </c>
      <c r="L20" s="70">
        <v>5.1097032084600009</v>
      </c>
      <c r="M20" s="72">
        <v>4750000000</v>
      </c>
      <c r="N20" s="70">
        <v>9.8893121154799921</v>
      </c>
      <c r="O20" s="72">
        <v>5044542000</v>
      </c>
      <c r="P20" s="73" t="s">
        <v>10</v>
      </c>
    </row>
    <row r="21" spans="2:28" ht="45" customHeight="1">
      <c r="B21" s="15" t="s">
        <v>103</v>
      </c>
      <c r="D21" s="17" t="s">
        <v>8</v>
      </c>
      <c r="E21" s="61">
        <v>0</v>
      </c>
      <c r="F21" s="61">
        <v>0</v>
      </c>
      <c r="G21" s="73" t="s">
        <v>10</v>
      </c>
      <c r="H21" s="73" t="s">
        <v>10</v>
      </c>
      <c r="I21" s="65">
        <v>0.7</v>
      </c>
      <c r="J21" s="73" t="s">
        <v>10</v>
      </c>
      <c r="K21" s="73" t="s">
        <v>10</v>
      </c>
      <c r="L21" s="70">
        <v>1.3940152494200015</v>
      </c>
      <c r="M21" s="73" t="s">
        <v>10</v>
      </c>
      <c r="N21" s="70">
        <v>2.4340342222200011</v>
      </c>
      <c r="O21" s="72">
        <v>1614748000</v>
      </c>
      <c r="P21" s="73" t="s">
        <v>10</v>
      </c>
      <c r="S21" t="s">
        <v>141</v>
      </c>
    </row>
    <row r="22" spans="2:28" ht="26.25" customHeight="1">
      <c r="D22" s="17" t="s">
        <v>111</v>
      </c>
      <c r="E22" s="16" t="s">
        <v>10</v>
      </c>
      <c r="F22" s="61">
        <v>0</v>
      </c>
      <c r="G22" s="73" t="s">
        <v>10</v>
      </c>
      <c r="H22" s="73" t="s">
        <v>10</v>
      </c>
      <c r="I22" s="65">
        <v>0.3</v>
      </c>
      <c r="J22" s="73" t="s">
        <v>10</v>
      </c>
      <c r="K22" s="73" t="s">
        <v>10</v>
      </c>
      <c r="L22" s="70">
        <v>1.8763790071399991</v>
      </c>
      <c r="M22" s="73" t="s">
        <v>10</v>
      </c>
      <c r="N22" s="70">
        <v>-0.19375741716</v>
      </c>
      <c r="O22" s="72">
        <v>5243989000</v>
      </c>
      <c r="P22" s="72">
        <v>-552442903</v>
      </c>
      <c r="S22" t="s">
        <v>142</v>
      </c>
    </row>
    <row r="23" spans="2:28" ht="26.25" customHeight="1"/>
    <row r="24" spans="2:28" ht="40.5" customHeight="1">
      <c r="B24" s="14" t="s">
        <v>86</v>
      </c>
      <c r="D24" s="12" t="s">
        <v>82</v>
      </c>
      <c r="E24" s="12" t="s">
        <v>31</v>
      </c>
      <c r="F24" s="12" t="s">
        <v>123</v>
      </c>
      <c r="G24" s="12" t="s">
        <v>124</v>
      </c>
      <c r="H24" s="12" t="s">
        <v>98</v>
      </c>
      <c r="I24" s="12" t="s">
        <v>125</v>
      </c>
      <c r="J24" s="12" t="s">
        <v>129</v>
      </c>
      <c r="K24" s="12" t="s">
        <v>64</v>
      </c>
      <c r="L24" s="12" t="s">
        <v>153</v>
      </c>
      <c r="M24" s="12" t="s">
        <v>143</v>
      </c>
    </row>
    <row r="25" spans="2:28" ht="40.5" customHeight="1">
      <c r="B25" s="46" t="s">
        <v>133</v>
      </c>
      <c r="D25" s="17" t="s">
        <v>13</v>
      </c>
      <c r="E25" s="71">
        <v>10</v>
      </c>
      <c r="F25" s="69">
        <v>-0.24209594136999996</v>
      </c>
      <c r="G25" s="69">
        <v>18.209718215640006</v>
      </c>
      <c r="H25" s="77">
        <v>10.211111111111112</v>
      </c>
      <c r="I25" s="75">
        <v>-242095941.36999995</v>
      </c>
      <c r="J25" s="74">
        <v>18.209718215640006</v>
      </c>
      <c r="K25" s="76">
        <v>6.12</v>
      </c>
      <c r="L25" s="75">
        <v>1859221875</v>
      </c>
      <c r="M25" s="75">
        <v>1027932000</v>
      </c>
      <c r="N25" s="50"/>
    </row>
    <row r="26" spans="2:28" ht="40.5" customHeight="1">
      <c r="B26" s="47" t="s">
        <v>99</v>
      </c>
      <c r="I26" s="51"/>
    </row>
    <row r="27" spans="2:28" ht="40.5" customHeight="1">
      <c r="B27" s="47" t="s">
        <v>92</v>
      </c>
      <c r="D27" s="12" t="s">
        <v>120</v>
      </c>
    </row>
    <row r="28" spans="2:28" ht="40.5" customHeight="1">
      <c r="B28" s="47" t="s">
        <v>107</v>
      </c>
      <c r="D28" s="68">
        <v>6.45</v>
      </c>
      <c r="E28" s="16"/>
      <c r="F28" s="25"/>
      <c r="G28" s="25"/>
      <c r="H28" s="25"/>
    </row>
    <row r="29" spans="2:28" ht="40.5" customHeight="1">
      <c r="B29" s="15" t="s">
        <v>91</v>
      </c>
    </row>
    <row r="30" spans="2:28" ht="40.5" customHeight="1">
      <c r="B30" s="15" t="s">
        <v>102</v>
      </c>
    </row>
    <row r="31" spans="2:28">
      <c r="B31" s="15" t="s">
        <v>93</v>
      </c>
    </row>
    <row r="32" spans="2:28" ht="40.5" customHeight="1">
      <c r="B32" s="15" t="s">
        <v>87</v>
      </c>
      <c r="F32" s="13"/>
    </row>
    <row r="33" spans="2:17" ht="40.5" customHeight="1">
      <c r="B33" s="7" t="s">
        <v>89</v>
      </c>
      <c r="F33" s="13"/>
    </row>
    <row r="34" spans="2:17" ht="40.5" customHeight="1">
      <c r="B34" s="15" t="s">
        <v>90</v>
      </c>
      <c r="D34" s="80" t="s">
        <v>81</v>
      </c>
      <c r="E34" s="80"/>
      <c r="F34" s="80"/>
      <c r="G34" s="80"/>
      <c r="H34" s="80"/>
      <c r="I34" s="80"/>
      <c r="J34" s="80"/>
      <c r="K34" s="80"/>
      <c r="L34" s="80"/>
      <c r="M34" s="80"/>
      <c r="N34" s="80"/>
      <c r="O34" s="80"/>
      <c r="P34" s="80"/>
      <c r="Q34" s="80"/>
    </row>
    <row r="35" spans="2:17" ht="40.5" customHeight="1">
      <c r="B35" s="15" t="s">
        <v>94</v>
      </c>
      <c r="D35" s="80" t="s">
        <v>113</v>
      </c>
      <c r="E35" s="80"/>
      <c r="F35" s="80"/>
      <c r="G35" s="80"/>
      <c r="H35" s="80"/>
      <c r="I35" s="80"/>
      <c r="J35" s="80"/>
      <c r="K35" s="80"/>
      <c r="L35" s="80"/>
      <c r="M35" s="80"/>
      <c r="N35" s="80"/>
      <c r="O35" s="80"/>
      <c r="P35" s="80"/>
      <c r="Q35" s="80"/>
    </row>
    <row r="36" spans="2:17" ht="40.5" customHeight="1">
      <c r="B36" s="15" t="s">
        <v>88</v>
      </c>
      <c r="D36" s="80" t="s">
        <v>83</v>
      </c>
      <c r="E36" s="80"/>
      <c r="F36" s="80"/>
      <c r="G36" s="80"/>
      <c r="H36" s="80"/>
      <c r="I36" s="80"/>
      <c r="J36" s="80"/>
      <c r="K36" s="80"/>
      <c r="L36" s="80"/>
      <c r="M36" s="80"/>
      <c r="N36" s="80"/>
      <c r="O36" s="80"/>
      <c r="P36" s="80"/>
      <c r="Q36" s="80"/>
    </row>
    <row r="37" spans="2:17" ht="35.25" customHeight="1">
      <c r="B37" s="15" t="s">
        <v>95</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2"/>
  <sheetViews>
    <sheetView showGridLines="0" zoomScale="75" zoomScaleNormal="70" workbookViewId="0">
      <pane xSplit="8" ySplit="7" topLeftCell="I8" activePane="bottomRight" state="frozen"/>
      <selection pane="topRight" activeCell="H1" sqref="H1"/>
      <selection pane="bottomLeft" activeCell="A6" sqref="A6"/>
      <selection pane="bottomRight"/>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33"/>
      <c r="B6" s="33" t="s">
        <v>52</v>
      </c>
      <c r="C6" s="33"/>
      <c r="D6" s="33"/>
      <c r="E6" s="33"/>
      <c r="F6" s="33"/>
      <c r="G6" s="33"/>
      <c r="H6" s="33"/>
    </row>
    <row r="7" spans="1:8" ht="14.5" collapsed="1">
      <c r="A7" s="36"/>
      <c r="B7" s="45" t="s">
        <v>6</v>
      </c>
      <c r="C7" s="36"/>
      <c r="D7" s="36"/>
      <c r="E7" s="36"/>
      <c r="F7" s="36"/>
      <c r="G7" s="36"/>
      <c r="H7" s="36"/>
    </row>
    <row r="8" spans="1:8" ht="13.9" customHeight="1"/>
    <row r="9" spans="1:8" ht="13.9" customHeight="1">
      <c r="B9" s="44" t="s">
        <v>32</v>
      </c>
      <c r="C9" s="37"/>
      <c r="D9" s="37"/>
      <c r="E9" s="37"/>
      <c r="F9" s="37"/>
      <c r="G9" s="37"/>
      <c r="H9" s="37"/>
    </row>
    <row r="10" spans="1:8" ht="13.9" customHeight="1"/>
    <row r="11" spans="1:8" ht="13.9" customHeight="1">
      <c r="B11" s="39" t="s">
        <v>26</v>
      </c>
      <c r="C11" s="39"/>
      <c r="D11" s="40"/>
      <c r="E11" s="40"/>
      <c r="F11" s="40" t="s">
        <v>36</v>
      </c>
      <c r="G11" s="40" t="s">
        <v>53</v>
      </c>
      <c r="H11" s="40" t="s">
        <v>37</v>
      </c>
    </row>
    <row r="12" spans="1:8" ht="13.9" customHeight="1"/>
    <row r="13" spans="1:8" ht="13.9" customHeight="1">
      <c r="B13" s="48" t="s">
        <v>68</v>
      </c>
      <c r="C13" s="3" t="s">
        <v>0</v>
      </c>
      <c r="F13" s="21" t="s">
        <v>47</v>
      </c>
      <c r="G13" s="13">
        <f>(H13/'Guia e Premissas'!I18+'Guia e Premissas'!N18)/IF(F13="EV/EBITDA Guidance",'Guia e Premissas'!M18,'Guia e Premissas'!L18)</f>
        <v>833940487.1755147</v>
      </c>
      <c r="H13" s="13" cm="1">
        <f t="array" ref="H13">_xlfn.IFS($F13="Capitalização de mercado", 'Guia e Premissas'!H18*'Guia e Premissas'!J18, $F13="EV/EBITDA LTM", (('Guia e Premissas'!E18*'Guia e Premissas'!N18)-'Guia e Premissas'!#REF!)*'Guia e Premissas'!I18, $F13="EV/EBITDA Guidance", (('Guia e Premissas'!E18*'Guia e Premissas'!M18)-'Guia e Premissas'!#REF!)*'Guia e Premissas'!I18, $F13="Preço Alvo", 'Guia e Premissas'!H18*'Guia e Premissas'!K18)</f>
        <v>3822268348.1999998</v>
      </c>
    </row>
    <row r="14" spans="1:8" ht="13.9" customHeight="1">
      <c r="B14" s="48" t="s">
        <v>69</v>
      </c>
      <c r="C14" s="3" t="s">
        <v>1</v>
      </c>
      <c r="F14" s="21" t="s">
        <v>47</v>
      </c>
      <c r="G14" s="13">
        <f>(H14/'Guia e Premissas'!I19+'Guia e Premissas'!N19)/IF(F14="EV/EBITDA Guidance",'Guia e Premissas'!M19,'Guia e Premissas'!L19)</f>
        <v>3666335314.8605394</v>
      </c>
      <c r="H14" s="13" cm="1">
        <f t="array" ref="H14">_xlfn.IFS($F14="Capitalização de mercado", 'Guia e Premissas'!H19*'Guia e Premissas'!J19, $F14="EV/EBITDA LTM", (('Guia e Premissas'!E19*'Guia e Premissas'!L19)-'Guia e Premissas'!N19)*'Guia e Premissas'!I19, $F14="EV/EBITDA Guidance", (('Guia e Premissas'!E19*'Guia e Premissas'!M19)-'Guia e Premissas'!N19)*'Guia e Premissas'!I19, $F14="Preço Alvo", 'Guia e Premissas'!H19*'Guia e Premissas'!K19)</f>
        <v>8781085338.8999996</v>
      </c>
    </row>
    <row r="15" spans="1:8" ht="13.9" customHeight="1">
      <c r="A15" s="41"/>
      <c r="B15" s="48" t="s">
        <v>146</v>
      </c>
      <c r="C15" s="3" t="s">
        <v>136</v>
      </c>
      <c r="F15" s="21" t="s">
        <v>84</v>
      </c>
      <c r="G15" s="13">
        <f>(H15/'Guia e Premissas'!I20+'Guia e Premissas'!N20)/IF(F15="EV/EBITDA Guidance",'Guia e Premissas'!M20,'Guia e Premissas'!L20)</f>
        <v>1121872223.6758022</v>
      </c>
      <c r="H15" s="13" cm="1">
        <f t="array" ref="H15">_xlfn.IFS($F15="Book Value", 'Guia e Premissas'!O20, $F15="Equity Value", 'Guia e Premissas'!F20*1000000000*'Guia e Premissas'!I20,F15= "EV/EBITDA LTM", (('Guia e Premissas'!E20*'Guia e Premissas'!L20)-'Guia e Premissas'!N20)*'Guia e Premissas'!I20, F15= "EV/EBITDA Guidance", (('Guia e Premissas'!E20*'Guia e Premissas'!M20)-'Guia e Premissas'!N20)*'Guia e Premissas'!I20)</f>
        <v>5044542000</v>
      </c>
    </row>
    <row r="16" spans="1:8" ht="13.9" customHeight="1">
      <c r="B16" s="48" t="s">
        <v>70</v>
      </c>
      <c r="C16" s="3" t="s">
        <v>137</v>
      </c>
      <c r="F16" s="21" t="s">
        <v>84</v>
      </c>
      <c r="G16" s="13">
        <f>(H16/'Guia e Premissas'!I21+'Guia e Premissas'!N21)/IF(F16="EV/EBITDA Guidance",'Guia e Premissas'!L21,'Guia e Premissas'!L21)</f>
        <v>1654775914.780458</v>
      </c>
      <c r="H16" s="13" cm="1">
        <f t="array" ref="H16">_xlfn.IFS($F16="Book Value", 'Guia e Premissas'!O21, $F16="Equity Value", 'Guia e Premissas'!F21*1000000000*'Guia e Premissas'!I21,F16= "EV/EBITDA LTM", (('Guia e Premissas'!E21*'Guia e Premissas'!L21)-'Guia e Premissas'!N21)*'Guia e Premissas'!I21, F16= "EV/EBITDA Guidance", (('Guia e Premissas'!E21*'Guia e Premissas'!M21)-'Guia e Premissas'!N21)*'Guia e Premissas'!I21)</f>
        <v>1614748000</v>
      </c>
    </row>
    <row r="17" spans="2:8" ht="13.9" customHeight="1">
      <c r="B17" s="48" t="s">
        <v>71</v>
      </c>
      <c r="C17" s="3" t="s">
        <v>112</v>
      </c>
      <c r="F17" s="21" t="s">
        <v>84</v>
      </c>
      <c r="G17" s="13">
        <f>(H17/'Guia e Premissas'!I22+'Guia e Premissas'!N22 -'Guia e Premissas'!P22 )/IF(F17="EV/EBITDA Guidance",'Guia e Premissas'!L22,'Guia e Premissas'!L22)</f>
        <v>8628816369.8253403</v>
      </c>
      <c r="H17" s="13" cm="1">
        <f t="array" ref="H17">_xlfn.IFS($F17="Book Value", 'Guia e Premissas'!O22 + 'Guia e Premissas'!P22, $F17="Equity Value", 'Guia e Premissas'!F22*1000000000*'Guia e Premissas'!I22 + 'Guia e Premissas'!P22,F17= "EV/EBITDA LTM", (('Guia e Premissas'!E22*'Guia e Premissas'!L22)-'Guia e Premissas'!N22)*'Guia e Premissas'!I22, F17= "EV/EBITDA Guidance", (('Guia e Premissas'!E22*'Guia e Premissas'!M22)-'Guia e Premissas'!N22)*'Guia e Premissas'!I22)</f>
        <v>4691546097</v>
      </c>
    </row>
    <row r="18" spans="2:8" ht="13.9" customHeight="1">
      <c r="B18" s="3"/>
      <c r="G18" s="24"/>
      <c r="H18" s="13"/>
    </row>
    <row r="19" spans="2:8" ht="13.9" customHeight="1"/>
    <row r="20" spans="2:8" ht="13.9" customHeight="1">
      <c r="B20" s="39" t="s">
        <v>33</v>
      </c>
      <c r="C20" s="39"/>
      <c r="D20" s="40"/>
      <c r="E20" s="40"/>
      <c r="F20" s="40"/>
      <c r="G20" s="40"/>
      <c r="H20" s="40" t="s">
        <v>37</v>
      </c>
    </row>
    <row r="21" spans="2:8" ht="13.9" customHeight="1"/>
    <row r="22" spans="2:8" ht="13.9" customHeight="1">
      <c r="B22" s="48" t="s">
        <v>72</v>
      </c>
      <c r="C22" s="3" t="s">
        <v>117</v>
      </c>
      <c r="F22" s="22" t="s">
        <v>4</v>
      </c>
      <c r="H22" s="13" cm="1">
        <f t="array" ref="H22">-_xlfn.IFS(F22="Múltiplo",('Guia e Premissas'!E25*'Guia e Premissas'!I25)-'Guia e Premissas'!M25,F22="Input",'Guia e Premissas'!I25*10-'Guia e Premissas'!M25)</f>
        <v>3448891413.6999993</v>
      </c>
    </row>
    <row r="23" spans="2:8" ht="13.9" customHeight="1">
      <c r="B23" s="48" t="s">
        <v>73</v>
      </c>
      <c r="C23" s="3" t="s">
        <v>150</v>
      </c>
      <c r="F23" s="22" t="s">
        <v>4</v>
      </c>
      <c r="H23" s="13" cm="1">
        <f t="array" ref="H23">-_xlfn.IFS(F23="Último disponível",'Guia e Premissas'!J25*1000000000, F23="Input",'Guia e Premissas'!G25*1000000000)</f>
        <v>-18209718215.640007</v>
      </c>
    </row>
    <row r="24" spans="2:8" ht="13.9" customHeight="1">
      <c r="H24" s="13"/>
    </row>
    <row r="25" spans="2:8" ht="13.9" customHeight="1">
      <c r="B25" s="39" t="s">
        <v>119</v>
      </c>
      <c r="C25" s="39"/>
      <c r="D25" s="40"/>
      <c r="E25" s="40"/>
      <c r="F25" s="40"/>
      <c r="G25" s="40"/>
      <c r="H25" s="40" t="s">
        <v>37</v>
      </c>
    </row>
    <row r="26" spans="2:8" ht="13.9" customHeight="1"/>
    <row r="27" spans="2:8" ht="13.9" customHeight="1">
      <c r="B27" s="48" t="s">
        <v>74</v>
      </c>
      <c r="C27" s="3" t="s">
        <v>67</v>
      </c>
      <c r="F27" s="22" t="s">
        <v>4</v>
      </c>
      <c r="G27" s="4"/>
      <c r="H27" s="13" cm="1">
        <f t="array" ref="H27">-_xlfn.IFS(F27="Último disponível",'Guia e Premissas'!D28*1000000000, F27="Input", 'Guia e Premissas'!D28*1000000000)</f>
        <v>-6450000000</v>
      </c>
    </row>
    <row r="28" spans="2:8" ht="13.9" customHeight="1">
      <c r="B28" s="48"/>
    </row>
    <row r="29" spans="2:8" ht="13.9" customHeight="1">
      <c r="B29" s="42" t="s">
        <v>35</v>
      </c>
      <c r="C29" s="38"/>
      <c r="D29" s="38"/>
      <c r="E29" s="38"/>
      <c r="F29" s="38"/>
      <c r="G29" s="38"/>
      <c r="H29" s="38"/>
    </row>
    <row r="30" spans="2:8" ht="13.9" customHeight="1"/>
    <row r="31" spans="2:8" ht="13.9" customHeight="1">
      <c r="B31" s="48" t="s">
        <v>75</v>
      </c>
      <c r="C31" s="3" t="s">
        <v>147</v>
      </c>
      <c r="H31" s="13">
        <f>SUM(H13:H17,H22:H23,H27:H27)</f>
        <v>2743362982.1599922</v>
      </c>
    </row>
    <row r="32" spans="2:8" ht="13.9" customHeight="1">
      <c r="B32" s="48" t="s">
        <v>76</v>
      </c>
      <c r="C32" s="3" t="s">
        <v>58</v>
      </c>
      <c r="H32" s="23">
        <f>'Guia e Premissas'!L25*'Guia e Premissas'!K25</f>
        <v>11378437875</v>
      </c>
    </row>
    <row r="33" spans="2:8" ht="13.9" customHeight="1">
      <c r="C33" s="3" t="s">
        <v>59</v>
      </c>
      <c r="H33" s="26">
        <f>H31/'Guia e Premissas'!L25</f>
        <v>1.4755436234096548</v>
      </c>
    </row>
    <row r="34" spans="2:8" ht="13.9" customHeight="1">
      <c r="C34" s="9" t="s">
        <v>38</v>
      </c>
      <c r="D34" s="9"/>
      <c r="E34" s="10"/>
      <c r="F34" s="10"/>
      <c r="G34" s="10"/>
      <c r="H34" s="27">
        <f>'Guia e Premissas'!H25</f>
        <v>10.211111111111112</v>
      </c>
    </row>
    <row r="35" spans="2:8" ht="13.9" customHeight="1">
      <c r="B35" s="48" t="s">
        <v>77</v>
      </c>
      <c r="C35" s="11" t="s">
        <v>148</v>
      </c>
      <c r="H35" s="13">
        <f>H32-H31</f>
        <v>8635074892.8400078</v>
      </c>
    </row>
    <row r="36" spans="2:8" ht="13.9" customHeight="1">
      <c r="B36" s="48" t="s">
        <v>78</v>
      </c>
      <c r="C36" s="3" t="s">
        <v>149</v>
      </c>
      <c r="H36" s="8">
        <f>(H32/H31)-1</f>
        <v>3.147623901391702</v>
      </c>
    </row>
    <row r="37" spans="2:8" ht="13.9" customHeight="1"/>
    <row r="38" spans="2:8" ht="13.9" customHeight="1">
      <c r="B38" s="59" t="s">
        <v>140</v>
      </c>
    </row>
    <row r="39" spans="2:8" ht="13.9" customHeight="1">
      <c r="B39" s="66" t="s">
        <v>139</v>
      </c>
      <c r="C39" s="66"/>
      <c r="D39" s="66"/>
      <c r="E39" s="66"/>
      <c r="F39" s="66"/>
      <c r="G39" s="66"/>
      <c r="H39" s="66"/>
    </row>
    <row r="40" spans="2:8" ht="41.15" customHeight="1">
      <c r="B40" s="81" t="s">
        <v>138</v>
      </c>
      <c r="C40" s="81"/>
      <c r="D40" s="81"/>
      <c r="E40" s="81"/>
      <c r="F40" s="81"/>
      <c r="G40" s="81"/>
      <c r="H40" s="81"/>
    </row>
    <row r="41" spans="2:8" ht="39.65" customHeight="1"/>
    <row r="42" spans="2:8" ht="40.5" customHeight="1"/>
    <row r="43" spans="2:8" ht="12.75" customHeight="1">
      <c r="B43" s="43"/>
      <c r="C43" s="43"/>
      <c r="D43" s="43"/>
      <c r="E43" s="43"/>
      <c r="F43" s="43"/>
      <c r="G43" s="43"/>
    </row>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sheetData>
  <mergeCells count="1">
    <mergeCell ref="B40:H40"/>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6">
        <x14:dataValidation type="list" allowBlank="1" showInputMessage="1" showErrorMessage="1" xr:uid="{D24B353E-4542-4AF7-906E-B59A9C99A31F}">
          <x14:formula1>
            <xm:f>Others!$E$1:$E$2</xm:f>
          </x14:formula1>
          <xm:sqref>F22</xm:sqref>
        </x14:dataValidation>
        <x14:dataValidation type="list" allowBlank="1" showErrorMessage="1" prompt="Choose how to value this asset" xr:uid="{6C2B86FA-21A2-4DE0-8848-56862E2BA715}">
          <x14:formula1>
            <xm:f>Others!$C$1:$C$2</xm:f>
          </x14:formula1>
          <xm:sqref>F17</xm:sqref>
        </x14:dataValidation>
        <x14:dataValidation type="list" allowBlank="1" showErrorMessage="1" prompt="Choose how to value this asset" xr:uid="{2152BFB9-9BBE-4452-BB8D-5B32CD0C8AAD}">
          <x14:formula1>
            <xm:f>Others!$C$1:$C$3</xm:f>
          </x14:formula1>
          <xm:sqref>F15</xm:sqref>
        </x14:dataValidation>
        <x14:dataValidation type="list" allowBlank="1" showErrorMessage="1" prompt="Choose how to value this asset" xr:uid="{550C37E9-0C61-47B9-A273-EDDEA1660AEA}">
          <x14:formula1>
            <xm:f>Others!$C$7:$C$9</xm:f>
          </x14:formula1>
          <xm:sqref>F16</xm:sqref>
        </x14:dataValidation>
        <x14:dataValidation type="list" allowBlank="1" showInputMessage="1" showErrorMessage="1" xr:uid="{833F163E-C39A-4135-A686-C39D9A3BD201}">
          <x14:formula1>
            <xm:f>Others!$I$1:$I$2</xm:f>
          </x14:formula1>
          <xm:sqref>F23 F27</xm:sqref>
        </x14:dataValidation>
        <x14:dataValidation type="list" allowBlank="1" showInputMessage="1" showErrorMessage="1" xr:uid="{9BFD5622-DD9D-40FF-9372-6F01901C0067}">
          <x14:formula1>
            <xm:f>Others!$A$1:$A$3</xm:f>
          </x14:formula1>
          <xm:sqref>F13:F14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zoomScale="85" zoomScaleNormal="85" workbookViewId="0">
      <selection activeCell="K11" sqref="K11"/>
    </sheetView>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46.453125" customWidth="1"/>
    <col min="13" max="13" width="13.453125" customWidth="1"/>
  </cols>
  <sheetData>
    <row r="1" spans="1:14">
      <c r="A1" t="s">
        <v>47</v>
      </c>
      <c r="C1" t="s">
        <v>84</v>
      </c>
      <c r="E1" t="s">
        <v>46</v>
      </c>
      <c r="G1" t="s">
        <v>84</v>
      </c>
      <c r="I1" t="s">
        <v>45</v>
      </c>
      <c r="K1" s="31" t="s">
        <v>63</v>
      </c>
      <c r="L1" s="29" t="s">
        <v>39</v>
      </c>
      <c r="M1" s="29" t="s">
        <v>39</v>
      </c>
    </row>
    <row r="2" spans="1:14">
      <c r="A2" t="s">
        <v>54</v>
      </c>
      <c r="C2" t="s">
        <v>110</v>
      </c>
      <c r="E2" t="s">
        <v>4</v>
      </c>
      <c r="G2" t="s">
        <v>4</v>
      </c>
      <c r="I2" t="s">
        <v>4</v>
      </c>
      <c r="K2" s="31" t="str">
        <f>'Modelo indicativo da SOTP'!C13</f>
        <v>Raízen</v>
      </c>
      <c r="L2" s="30" t="s">
        <v>0</v>
      </c>
      <c r="M2" s="28">
        <f>'Modelo indicativo da SOTP'!H13</f>
        <v>3822268348.1999998</v>
      </c>
    </row>
    <row r="3" spans="1:14">
      <c r="A3" t="s">
        <v>9</v>
      </c>
      <c r="C3" t="s">
        <v>9</v>
      </c>
      <c r="K3" s="31" t="str">
        <f>'Modelo indicativo da SOTP'!C14</f>
        <v>Rumo</v>
      </c>
      <c r="L3" s="30" t="s">
        <v>1</v>
      </c>
      <c r="M3" s="28">
        <f>'Modelo indicativo da SOTP'!H14</f>
        <v>8781085338.8999996</v>
      </c>
    </row>
    <row r="4" spans="1:14">
      <c r="K4" s="31" t="str">
        <f>'Modelo indicativo da SOTP'!C15</f>
        <v>Compass³</v>
      </c>
      <c r="L4" s="30" t="s">
        <v>2</v>
      </c>
      <c r="M4" s="28">
        <f>'Modelo indicativo da SOTP'!H15</f>
        <v>5044542000</v>
      </c>
    </row>
    <row r="5" spans="1:14">
      <c r="K5" s="31" t="str">
        <f>'Modelo indicativo da SOTP'!C16</f>
        <v>Moove³</v>
      </c>
      <c r="L5" s="30" t="s">
        <v>8</v>
      </c>
      <c r="M5" s="28">
        <f>'Modelo indicativo da SOTP'!H16</f>
        <v>1614748000</v>
      </c>
    </row>
    <row r="6" spans="1:14">
      <c r="K6" s="31" t="str">
        <f>'Modelo indicativo da SOTP'!C17</f>
        <v>Radar</v>
      </c>
      <c r="L6" s="30" t="s">
        <v>112</v>
      </c>
      <c r="M6" s="28">
        <f>'Modelo indicativo da SOTP'!H17</f>
        <v>4691546097</v>
      </c>
    </row>
    <row r="7" spans="1:14" ht="26">
      <c r="A7" t="s">
        <v>47</v>
      </c>
      <c r="C7" t="s">
        <v>84</v>
      </c>
      <c r="K7" s="31" t="str">
        <f>'Modelo indicativo da SOTP'!C22</f>
        <v>G&amp;A Corporativo e Outros Investimentos</v>
      </c>
      <c r="L7" s="30" t="s">
        <v>118</v>
      </c>
      <c r="M7" s="28">
        <f>'Modelo indicativo da SOTP'!H22</f>
        <v>3448891413.6999993</v>
      </c>
    </row>
    <row r="8" spans="1:14" ht="26">
      <c r="A8" t="s">
        <v>11</v>
      </c>
      <c r="C8" t="s">
        <v>110</v>
      </c>
      <c r="K8" s="31" t="str">
        <f>'Modelo indicativo da SOTP'!C23</f>
        <v>Dívida Líquida (Corporativo)</v>
      </c>
      <c r="L8" s="30" t="s">
        <v>60</v>
      </c>
      <c r="M8" s="28">
        <f>'Modelo indicativo da SOTP'!H23</f>
        <v>-18209718215.640007</v>
      </c>
    </row>
    <row r="9" spans="1:14" ht="26">
      <c r="C9" t="s">
        <v>11</v>
      </c>
      <c r="K9" s="31" t="str">
        <f>'Modelo indicativo da SOTP'!C27</f>
        <v>Valor de Resgate Atualizado das Ações Preferenciais²</v>
      </c>
      <c r="L9" s="30" t="s">
        <v>62</v>
      </c>
      <c r="M9" s="28">
        <f>'Modelo indicativo da SOTP'!H27</f>
        <v>-6450000000</v>
      </c>
    </row>
    <row r="10" spans="1:14">
      <c r="K10" s="31" t="str">
        <f>'Modelo indicativo da SOTP'!C35</f>
        <v>Desconto de holding (k = j-i)</v>
      </c>
      <c r="L10" s="30" t="s">
        <v>116</v>
      </c>
      <c r="M10" s="28">
        <f>'Modelo indicativo da SOTP'!H35</f>
        <v>8635074892.8400078</v>
      </c>
    </row>
    <row r="11" spans="1:14" ht="26">
      <c r="K11" s="31" t="str">
        <f>'Modelo indicativo da SOTP'!C32</f>
        <v>CSAN3 Valor de mercado atual</v>
      </c>
      <c r="L11" s="30" t="s">
        <v>61</v>
      </c>
      <c r="M11" s="28">
        <f>'Modelo indicativo da SOTP'!H32</f>
        <v>11378437875</v>
      </c>
    </row>
    <row r="12" spans="1:14">
      <c r="N12" s="28"/>
    </row>
    <row r="13" spans="1:14">
      <c r="N13" s="28"/>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7"/>
  <sheetViews>
    <sheetView showFormulas="1" showGridLines="0" zoomScale="85" zoomScaleNormal="85" workbookViewId="0">
      <pane ySplit="7" topLeftCell="A46" activePane="bottomLeft" state="frozen"/>
      <selection pane="bottomLeft" activeCell="E35" sqref="E35"/>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3"/>
      <c r="B6" s="33" t="s">
        <v>40</v>
      </c>
      <c r="C6" s="33"/>
      <c r="D6" s="33"/>
      <c r="E6" s="33"/>
      <c r="F6" s="33"/>
      <c r="G6" s="33"/>
      <c r="H6" s="33"/>
      <c r="I6" s="33"/>
      <c r="J6" s="33"/>
      <c r="K6" s="33"/>
      <c r="L6" s="33"/>
      <c r="M6" s="33"/>
      <c r="N6" s="33"/>
      <c r="O6" s="33"/>
      <c r="P6" s="33"/>
      <c r="Q6" s="33"/>
      <c r="R6"/>
    </row>
    <row r="7" spans="1:18" s="2" customFormat="1" collapsed="1">
      <c r="A7" s="34"/>
      <c r="B7" s="34"/>
      <c r="C7" s="34"/>
      <c r="D7" s="34"/>
      <c r="E7" s="34"/>
      <c r="F7" s="34"/>
      <c r="G7" s="34"/>
      <c r="H7" s="34"/>
      <c r="I7" s="34"/>
      <c r="J7" s="34"/>
      <c r="K7" s="34"/>
      <c r="L7" s="34"/>
      <c r="M7" s="34"/>
      <c r="N7" s="34"/>
      <c r="O7" s="34"/>
      <c r="P7" s="34"/>
      <c r="Q7" s="34"/>
    </row>
    <row r="8" spans="1:18"/>
    <row r="9" spans="1:18">
      <c r="B9" s="37" t="s">
        <v>40</v>
      </c>
      <c r="C9" s="37"/>
      <c r="D9" s="37"/>
      <c r="E9" s="37"/>
    </row>
    <row r="10" spans="1:18"/>
    <row r="11" spans="1:18">
      <c r="B11" s="12" t="s">
        <v>0</v>
      </c>
      <c r="C11" s="12"/>
      <c r="D11" s="12"/>
      <c r="E11" s="12"/>
    </row>
    <row r="12" spans="1:18" ht="15" customHeight="1">
      <c r="B12" t="s">
        <v>152</v>
      </c>
      <c r="D12" s="49" t="s">
        <v>15</v>
      </c>
    </row>
    <row r="13" spans="1:18" ht="15" customHeight="1">
      <c r="B13" t="s">
        <v>100</v>
      </c>
      <c r="D13" s="49" t="s">
        <v>15</v>
      </c>
    </row>
    <row r="14" spans="1:18" ht="15" customHeight="1">
      <c r="B14" t="s">
        <v>42</v>
      </c>
      <c r="D14" s="49" t="s">
        <v>16</v>
      </c>
    </row>
    <row r="15" spans="1:18" ht="15" customHeight="1">
      <c r="B15" t="s">
        <v>101</v>
      </c>
      <c r="D15" s="49"/>
      <c r="E15" t="s">
        <v>108</v>
      </c>
    </row>
    <row r="16" spans="1:18" ht="15" customHeight="1">
      <c r="B16" t="s">
        <v>3</v>
      </c>
      <c r="D16" s="20" t="s">
        <v>17</v>
      </c>
      <c r="E16" t="s">
        <v>48</v>
      </c>
    </row>
    <row r="17" spans="2:5" ht="15" customHeight="1">
      <c r="B17" t="s">
        <v>43</v>
      </c>
      <c r="D17" s="20" t="s">
        <v>17</v>
      </c>
      <c r="E17" t="s">
        <v>104</v>
      </c>
    </row>
    <row r="18" spans="2:5" ht="15" customHeight="1">
      <c r="B18" t="s">
        <v>84</v>
      </c>
      <c r="D18" s="20" t="s">
        <v>22</v>
      </c>
      <c r="E18" t="s">
        <v>104</v>
      </c>
    </row>
    <row r="19" spans="2:5" ht="15" customHeight="1">
      <c r="B19" s="7"/>
    </row>
    <row r="20" spans="2:5" ht="15" customHeight="1">
      <c r="B20" s="12" t="s">
        <v>1</v>
      </c>
      <c r="C20" s="12"/>
      <c r="D20" s="12"/>
      <c r="E20" s="12"/>
    </row>
    <row r="21" spans="2:5" ht="15" customHeight="1">
      <c r="B21" t="s">
        <v>152</v>
      </c>
      <c r="D21" s="49" t="s">
        <v>18</v>
      </c>
    </row>
    <row r="22" spans="2:5" ht="15" customHeight="1">
      <c r="B22" t="s">
        <v>100</v>
      </c>
      <c r="D22" s="49" t="s">
        <v>18</v>
      </c>
    </row>
    <row r="23" spans="2:5" ht="15" customHeight="1">
      <c r="B23" t="s">
        <v>42</v>
      </c>
      <c r="D23" s="49" t="s">
        <v>18</v>
      </c>
    </row>
    <row r="24" spans="2:5" ht="15" customHeight="1">
      <c r="B24" t="s">
        <v>101</v>
      </c>
      <c r="D24" s="49"/>
      <c r="E24" t="s">
        <v>108</v>
      </c>
    </row>
    <row r="25" spans="2:5" ht="15" customHeight="1">
      <c r="B25" t="s">
        <v>3</v>
      </c>
      <c r="D25" s="20" t="s">
        <v>19</v>
      </c>
      <c r="E25" t="s">
        <v>48</v>
      </c>
    </row>
    <row r="26" spans="2:5" ht="15" customHeight="1">
      <c r="B26" t="s">
        <v>7</v>
      </c>
      <c r="D26" s="49" t="s">
        <v>109</v>
      </c>
      <c r="E26" t="s">
        <v>154</v>
      </c>
    </row>
    <row r="27" spans="2:5" ht="15" customHeight="1">
      <c r="B27" t="s">
        <v>43</v>
      </c>
      <c r="D27" s="20" t="s">
        <v>19</v>
      </c>
      <c r="E27" t="s">
        <v>104</v>
      </c>
    </row>
    <row r="28" spans="2:5" ht="15" customHeight="1">
      <c r="B28" t="s">
        <v>84</v>
      </c>
      <c r="D28" s="20" t="s">
        <v>22</v>
      </c>
      <c r="E28" t="s">
        <v>104</v>
      </c>
    </row>
    <row r="29" spans="2:5" ht="15" customHeight="1">
      <c r="B29" s="15"/>
    </row>
    <row r="30" spans="2:5"/>
    <row r="31" spans="2:5">
      <c r="B31" s="12" t="s">
        <v>2</v>
      </c>
      <c r="C31" s="12"/>
      <c r="D31" s="12"/>
      <c r="E31" s="12"/>
    </row>
    <row r="32" spans="2:5">
      <c r="B32" t="s">
        <v>65</v>
      </c>
      <c r="D32" s="49" t="s">
        <v>20</v>
      </c>
    </row>
    <row r="33" spans="2:5">
      <c r="B33" t="s">
        <v>3</v>
      </c>
      <c r="D33" s="49" t="s">
        <v>21</v>
      </c>
      <c r="E33" t="s">
        <v>48</v>
      </c>
    </row>
    <row r="34" spans="2:5">
      <c r="B34" t="s">
        <v>7</v>
      </c>
      <c r="D34" s="49" t="s">
        <v>21</v>
      </c>
      <c r="E34" t="s">
        <v>155</v>
      </c>
    </row>
    <row r="35" spans="2:5">
      <c r="B35" t="s">
        <v>43</v>
      </c>
      <c r="D35" s="49" t="s">
        <v>21</v>
      </c>
      <c r="E35" t="s">
        <v>48</v>
      </c>
    </row>
    <row r="36" spans="2:5">
      <c r="B36" t="s">
        <v>84</v>
      </c>
      <c r="D36" s="49" t="s">
        <v>22</v>
      </c>
      <c r="E36" t="s">
        <v>104</v>
      </c>
    </row>
    <row r="37" spans="2:5"/>
    <row r="38" spans="2:5">
      <c r="B38" s="12" t="s">
        <v>8</v>
      </c>
      <c r="C38" s="12"/>
      <c r="D38" s="12"/>
      <c r="E38" s="12"/>
    </row>
    <row r="39" spans="2:5">
      <c r="B39" t="s">
        <v>65</v>
      </c>
      <c r="D39" s="49" t="s">
        <v>22</v>
      </c>
      <c r="E39" t="s">
        <v>48</v>
      </c>
    </row>
    <row r="40" spans="2:5">
      <c r="B40" t="s">
        <v>3</v>
      </c>
      <c r="D40" s="49" t="s">
        <v>22</v>
      </c>
      <c r="E40" t="s">
        <v>48</v>
      </c>
    </row>
    <row r="41" spans="2:5">
      <c r="B41" t="s">
        <v>43</v>
      </c>
      <c r="D41" s="49" t="s">
        <v>22</v>
      </c>
      <c r="E41" t="s">
        <v>50</v>
      </c>
    </row>
    <row r="42" spans="2:5">
      <c r="B42" t="s">
        <v>84</v>
      </c>
      <c r="D42" s="49" t="s">
        <v>22</v>
      </c>
      <c r="E42" t="s">
        <v>104</v>
      </c>
    </row>
    <row r="43" spans="2:5"/>
    <row r="44" spans="2:5">
      <c r="B44" s="12" t="s">
        <v>112</v>
      </c>
      <c r="C44" s="12"/>
      <c r="D44" s="12"/>
      <c r="E44" s="12"/>
    </row>
    <row r="45" spans="2:5">
      <c r="B45" t="s">
        <v>84</v>
      </c>
      <c r="D45" s="49" t="s">
        <v>22</v>
      </c>
      <c r="E45" t="s">
        <v>49</v>
      </c>
    </row>
    <row r="46" spans="2:5">
      <c r="B46" t="s">
        <v>43</v>
      </c>
      <c r="D46" s="49" t="s">
        <v>22</v>
      </c>
      <c r="E46" t="s">
        <v>50</v>
      </c>
    </row>
    <row r="47" spans="2:5" ht="18" customHeight="1">
      <c r="B47" s="47" t="s">
        <v>44</v>
      </c>
      <c r="D47" s="67" t="s">
        <v>145</v>
      </c>
      <c r="E47" s="15" t="s">
        <v>144</v>
      </c>
    </row>
    <row r="48" spans="2:5"/>
    <row r="49" spans="2:5">
      <c r="B49" s="12" t="s">
        <v>13</v>
      </c>
      <c r="C49" s="12"/>
      <c r="D49" s="12"/>
      <c r="E49" s="12"/>
    </row>
    <row r="50" spans="2:5">
      <c r="B50" t="s">
        <v>5</v>
      </c>
      <c r="D50" s="49" t="s">
        <v>22</v>
      </c>
      <c r="E50" t="s">
        <v>48</v>
      </c>
    </row>
    <row r="51" spans="2:5">
      <c r="B51" t="s">
        <v>43</v>
      </c>
      <c r="D51" s="49" t="s">
        <v>22</v>
      </c>
      <c r="E51" t="s">
        <v>48</v>
      </c>
    </row>
    <row r="52" spans="2:5">
      <c r="B52" t="s">
        <v>41</v>
      </c>
      <c r="D52" s="49" t="s">
        <v>14</v>
      </c>
    </row>
    <row r="53" spans="2:5">
      <c r="B53" t="s">
        <v>115</v>
      </c>
      <c r="D53" s="49" t="s">
        <v>22</v>
      </c>
      <c r="E53" t="s">
        <v>49</v>
      </c>
    </row>
    <row r="54" spans="2:5"/>
    <row r="55" spans="2:5" ht="16.5" customHeight="1">
      <c r="B55" s="62" t="s">
        <v>34</v>
      </c>
      <c r="C55" s="12"/>
      <c r="D55" s="12"/>
      <c r="E55" s="12"/>
    </row>
    <row r="56" spans="2:5">
      <c r="B56" s="63" t="s">
        <v>66</v>
      </c>
      <c r="D56" s="49" t="s">
        <v>22</v>
      </c>
      <c r="E56" t="s">
        <v>48</v>
      </c>
    </row>
    <row r="57" spans="2:5"/>
    <row r="58" spans="2:5"/>
    <row r="59" spans="2:5"/>
    <row r="60" spans="2:5"/>
    <row r="61" spans="2:5"/>
    <row r="62" spans="2:5"/>
    <row r="63" spans="2:5"/>
    <row r="64" spans="2:5"/>
    <row r="65"/>
    <row r="66"/>
    <row r="67"/>
    <row r="68"/>
    <row r="69"/>
    <row r="70"/>
    <row r="71"/>
    <row r="72"/>
    <row r="73"/>
    <row r="74"/>
    <row r="75"/>
    <row r="76"/>
    <row r="77"/>
  </sheetData>
  <hyperlinks>
    <hyperlink ref="D16" r:id="rId1" xr:uid="{4D32D06B-0C9C-4860-A530-0390A99B0ECC}"/>
    <hyperlink ref="D14" r:id="rId2" xr:uid="{FB5471D0-C15B-46D6-9B40-339F7B268BD9}"/>
    <hyperlink ref="D13" r:id="rId3" xr:uid="{79954D57-50B4-4197-B8AA-7DD88C943BE6}"/>
    <hyperlink ref="D17" r:id="rId4" xr:uid="{23CBFFE2-B338-458D-B87A-6EFBAF790FAD}"/>
    <hyperlink ref="D22" r:id="rId5" xr:uid="{6128292F-E17A-49D0-B3E5-F8908AB1EAE8}"/>
    <hyperlink ref="D23" r:id="rId6" xr:uid="{DD7A139A-9AC6-4686-97C2-268CE57D9A56}"/>
    <hyperlink ref="D25" r:id="rId7" xr:uid="{A930FB78-B7A4-4B17-80D6-09C78B1973A5}"/>
    <hyperlink ref="D27" r:id="rId8" xr:uid="{4F610486-254A-4BF9-A287-14B85C04F3B7}"/>
    <hyperlink ref="D32" r:id="rId9" xr:uid="{12D60AE2-3198-4489-9ECD-A65248645F2D}"/>
    <hyperlink ref="D33" r:id="rId10" xr:uid="{BAF0573C-AB12-4CF3-92F7-41D6F1B21FE8}"/>
    <hyperlink ref="D34" r:id="rId11" xr:uid="{866CC1C0-1FB1-40F6-9BD7-32C6A399031C}"/>
    <hyperlink ref="D35" r:id="rId12" xr:uid="{2A1D9159-12CF-4BD2-9978-54BE0221CF07}"/>
    <hyperlink ref="D40" r:id="rId13" xr:uid="{31D2581A-0047-43BF-88EF-45D1C8922251}"/>
    <hyperlink ref="D45" r:id="rId14" xr:uid="{01A15D81-98BD-42E1-829B-5A133D36755F}"/>
    <hyperlink ref="D50" r:id="rId15" xr:uid="{80604E5C-516A-40AB-8220-657FC04B17D7}"/>
    <hyperlink ref="D51" r:id="rId16" xr:uid="{76F9F1F0-FD51-49D6-8724-F48356885DE7}"/>
    <hyperlink ref="D52" r:id="rId17" xr:uid="{344D62D0-3C70-4D71-B021-2690B357D75D}"/>
    <hyperlink ref="D56" r:id="rId18" xr:uid="{6D2A0B8D-3D81-4C41-8C8B-1F2A1714BA42}"/>
    <hyperlink ref="D39" r:id="rId19" xr:uid="{022035D1-AF9D-4A0D-9F99-47F1BA83FBEE}"/>
    <hyperlink ref="D53" r:id="rId20" xr:uid="{47414383-D553-4AD7-94F4-9FD2E0B55F35}"/>
    <hyperlink ref="D42" r:id="rId21" xr:uid="{FBCDBB74-1BB0-483D-BB0C-2485EBCEBD45}"/>
    <hyperlink ref="D28" r:id="rId22" xr:uid="{AD67215E-516F-4CE9-861B-90F79B7DD05C}"/>
    <hyperlink ref="D36" r:id="rId23" xr:uid="{F6AA6C3F-25BF-4BA6-86BA-F2EC4257B4B7}"/>
    <hyperlink ref="D41" r:id="rId24" xr:uid="{A41946DE-23CA-4B9B-B596-7CF857678083}"/>
    <hyperlink ref="D46" r:id="rId25" xr:uid="{618666D1-5622-4DBB-B89E-BA9C3EA08CBD}"/>
    <hyperlink ref="D26" r:id="rId26" xr:uid="{A7EA7CE0-87F0-470C-8C5C-C71EE77A9535}"/>
    <hyperlink ref="D12" r:id="rId27" xr:uid="{F0F40799-12BF-46C6-9300-4F805058FE97}"/>
    <hyperlink ref="D18" r:id="rId28" xr:uid="{8A4CEBED-6DB4-4B7B-BA13-181F88D38867}"/>
    <hyperlink ref="D21" r:id="rId29" xr:uid="{387E95E0-2C6C-4752-9C9F-81753DA88382}"/>
    <hyperlink ref="D47" r:id="rId30" xr:uid="{5A18440D-4E70-400B-A291-BA645A42FDCD}"/>
  </hyperlinks>
  <pageMargins left="0.7" right="0.7" top="0.75" bottom="0.75" header="0.3" footer="0.3"/>
  <pageSetup orientation="portrait" r:id="rId31"/>
  <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9" ma:contentTypeDescription="Crie um novo documento." ma:contentTypeScope="" ma:versionID="0d388adc7e22820b04423416de6acb24">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96a372bb3117728dc293f240df103774"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8C2404-7492-46A2-99EB-16CD76D6DB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3.xml><?xml version="1.0" encoding="utf-8"?>
<ds:datastoreItem xmlns:ds="http://schemas.openxmlformats.org/officeDocument/2006/customXml" ds:itemID="{06691147-0FC7-47C2-9FED-F467B8D09312}">
  <ds:schemaRefs>
    <ds:schemaRef ds:uri="http://schemas.microsoft.com/sharepoint/v3/contenttype/forms"/>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Capa</vt:lpstr>
      <vt:lpstr>Guia e Premissas</vt:lpstr>
      <vt:lpstr>Modelo indicativo da SOTP</vt:lpstr>
      <vt:lpstr>Others</vt:lpstr>
      <vt:lpstr>Fontes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2025-11-14T14:03:16Z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