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2T24/Planilha Soma das Partes/"/>
    </mc:Choice>
  </mc:AlternateContent>
  <xr:revisionPtr revIDLastSave="171" documentId="8_{FF950133-E90B-499A-8D32-E567D2109865}" xr6:coauthVersionLast="47" xr6:coauthVersionMax="47" xr10:uidLastSave="{5A42BBDF-C87B-48E8-AD09-E7785FCED131}"/>
  <bookViews>
    <workbookView xWindow="28680" yWindow="-120" windowWidth="19440" windowHeight="10440" activeTab="1"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4" l="1" a="1"/>
  <c r="H18" i="4" s="1"/>
  <c r="H23" i="4" l="1" a="1"/>
  <c r="H23" i="4" s="1"/>
  <c r="H17" i="4" a="1"/>
  <c r="H17" i="4" s="1"/>
  <c r="H16" i="4" a="1"/>
  <c r="H16" i="4" s="1"/>
  <c r="H26" i="4"/>
  <c r="H21" i="4"/>
  <c r="H28" i="4" a="1"/>
  <c r="H28" i="4" s="1"/>
  <c r="H24" i="4" a="1"/>
  <c r="H24" i="4" s="1"/>
  <c r="I20" i="11" l="1"/>
  <c r="H15" i="4" s="1" a="1"/>
  <c r="H15" i="4" s="1"/>
  <c r="K12" i="9" l="1"/>
  <c r="K11" i="9"/>
  <c r="K10" i="9"/>
  <c r="K9" i="9"/>
  <c r="K8" i="9"/>
  <c r="K7" i="9"/>
  <c r="K6" i="9"/>
  <c r="K5" i="9"/>
  <c r="K4" i="9"/>
  <c r="K3" i="9"/>
  <c r="K2" i="9"/>
  <c r="H33" i="4" l="1"/>
  <c r="M12" i="9" l="1"/>
  <c r="M8" i="9" l="1"/>
  <c r="M10" i="9"/>
  <c r="M9" i="9"/>
  <c r="M4" i="9" l="1"/>
  <c r="M5" i="9"/>
  <c r="M6" i="9" l="1"/>
  <c r="G18" i="4" l="1"/>
  <c r="G17" i="4" l="1"/>
  <c r="G16" i="4"/>
  <c r="H35" i="4" l="1"/>
  <c r="I19" i="11" l="1"/>
  <c r="H14" i="4" s="1" a="1"/>
  <c r="H14" i="4" s="1"/>
  <c r="I18" i="11"/>
  <c r="H13" i="4" s="1" a="1"/>
  <c r="H13" i="4" s="1"/>
  <c r="M7" i="9" l="1"/>
  <c r="M2" i="9"/>
  <c r="G14" i="4"/>
  <c r="M3" i="9"/>
  <c r="H32" i="4" l="1"/>
  <c r="H37" i="4" s="1"/>
  <c r="G13" i="4"/>
  <c r="G15" i="4"/>
  <c r="H34" i="4" l="1"/>
  <c r="H36" i="4"/>
  <c r="M11"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<sst xmlns="http://schemas.openxmlformats.org/spreadsheetml/2006/main" count="301" uniqueCount="162">
  <si>
    <t>Raízen</t>
  </si>
  <si>
    <t>Rumo</t>
  </si>
  <si>
    <t>Vale</t>
  </si>
  <si>
    <t>Compass</t>
  </si>
  <si>
    <t>EBITDA</t>
  </si>
  <si>
    <t>Input</t>
  </si>
  <si>
    <t>G&amp;A</t>
  </si>
  <si>
    <t>EBITDA Guidance</t>
  </si>
  <si>
    <t>Moove</t>
  </si>
  <si>
    <t>EV/EBITDA Guidance</t>
  </si>
  <si>
    <t>-</t>
  </si>
  <si>
    <t>EV/EBITDA LTM</t>
  </si>
  <si>
    <t>Inputs</t>
  </si>
  <si>
    <t xml:space="preserve">Raízen </t>
  </si>
  <si>
    <t>Cosan</t>
  </si>
  <si>
    <t>4131</t>
  </si>
  <si>
    <t>GRÁFICO</t>
  </si>
  <si>
    <t>Source:</t>
  </si>
  <si>
    <t>(a)</t>
  </si>
  <si>
    <t>(b)</t>
  </si>
  <si>
    <t>(d)</t>
  </si>
  <si>
    <t>(c)</t>
  </si>
  <si>
    <t>(e)</t>
  </si>
  <si>
    <t>(f)</t>
  </si>
  <si>
    <t>(g)</t>
  </si>
  <si>
    <t>(h)</t>
  </si>
  <si>
    <t>(i)</t>
  </si>
  <si>
    <t>(j)</t>
  </si>
  <si>
    <t>(k)</t>
  </si>
  <si>
    <t>(l)</t>
  </si>
  <si>
    <t>(m)</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</si>
  <si>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</si>
  <si>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</si>
  <si>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</si>
  <si>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</si>
  <si>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</si>
  <si>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</si>
  <si>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</si>
  <si>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</si>
  <si>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</si>
  <si>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</si>
  <si>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</si>
  <si>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</si>
  <si>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</si>
  <si>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</si>
  <si>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</si>
  <si>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t>Company</t>
  </si>
  <si>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</si>
  <si>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</si>
  <si>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</si>
  <si>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</si>
  <si>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</si>
  <si>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</si>
  <si>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</si>
  <si>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</si>
  <si>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</si>
  <si>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</si>
  <si>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</si>
  <si>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</si>
  <si>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r>
      <rPr>
        <b/>
        <sz val="11"/>
        <color theme="1"/>
        <rFont val="Calibri"/>
        <family val="2"/>
        <scheme val="minor"/>
      </rPr>
      <t>Collar Financing (4131) and Derivatives:</t>
    </r>
    <r>
      <rPr>
        <sz val="11"/>
        <color theme="1"/>
        <rFont val="Calibri"/>
        <family val="2"/>
        <scheme val="minor"/>
      </rPr>
      <t xml:space="preserve"> a structure to finance the acquisition of minority interests in Vale + MTM of Collar derivatives.</t>
    </r>
  </si>
  <si>
    <r>
      <rPr>
        <b/>
        <sz val="11"/>
        <color theme="1"/>
        <rFont val="Calibri"/>
        <family val="2"/>
        <scheme val="minor"/>
      </rPr>
      <t>Vale Marketable Securities:</t>
    </r>
    <r>
      <rPr>
        <sz val="11"/>
        <color theme="1"/>
        <rFont val="Calibri"/>
        <family val="2"/>
        <scheme val="minor"/>
      </rPr>
      <t xml:space="preserve"> market value of Vale shares held by Cosan.</t>
    </r>
  </si>
  <si>
    <t>Corporate³</t>
  </si>
  <si>
    <t xml:space="preserve">G&amp;A
Multiple </t>
  </si>
  <si>
    <t>Multiple
EV/EBITDA</t>
  </si>
  <si>
    <t>Equity Interest
(%) ¹</t>
  </si>
  <si>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</si>
  <si>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</si>
  <si>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</si>
  <si>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</si>
  <si>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</si>
  <si>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Last Update: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</si>
  <si>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</si>
  <si>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</si>
  <si>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</si>
  <si>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</si>
  <si>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</si>
  <si>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</si>
  <si>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</si>
  <si>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</si>
  <si>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</si>
  <si>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</si>
  <si>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</si>
  <si>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</si>
  <si>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</si>
  <si>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</si>
  <si>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</si>
  <si>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</si>
  <si>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</si>
  <si>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</si>
  <si>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</si>
  <si>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</si>
  <si>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</si>
  <si>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</si>
  <si>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</si>
  <si>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</si>
  <si>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Derivatives MTM</t>
  </si>
  <si>
    <t>Vale Marketable Securities</t>
  </si>
  <si>
    <t>Earnings Release</t>
  </si>
  <si>
    <t>https://www.cosan.com.br/en/financial-information/results-center/</t>
  </si>
  <si>
    <t>Bloomberg</t>
  </si>
  <si>
    <t>Spreadsheets per Segment</t>
  </si>
  <si>
    <t>Financial Statements: ITR/DFP</t>
  </si>
  <si>
    <t>https://ri.raizen.com.br/en/about-raizen/shareholding-structure/</t>
  </si>
  <si>
    <t>https://ri.raizen.com.br/en/about-raizen/estrutura-societaria/</t>
  </si>
  <si>
    <t>https://ri.raizen.com.br/en/financial-information/results-center/</t>
  </si>
  <si>
    <t>https://ri.rumolog.com/en/corporate-governance/ownership-breakdown/</t>
  </si>
  <si>
    <t>https://ri.rumolog.com/en/financial-information/results-center/</t>
  </si>
  <si>
    <t>https://ri.rumolog.com/en/disclosures-and-documents/notices-and-material-facts/</t>
  </si>
  <si>
    <t>https://www.vale.com/en/check-out-our-company</t>
  </si>
  <si>
    <t>https://www.vale.com/en/announcements-results-presentations-and-reports</t>
  </si>
  <si>
    <t>https://api.mziq.com/mzfilemanager/v2/d/6aa68515-2422-4cc4-bafa-8870ccdfedb0/bc04a6de-cfd6-5ddc-b583-3de734fa2ca2?origin=2</t>
  </si>
  <si>
    <t>Material Facts / Notices to the Market / Modeling Guide</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</si>
  <si>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</si>
  <si>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</si>
  <si>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</si>
  <si>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</si>
  <si>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Equity Value (@100%)
(BRL bn)</t>
  </si>
  <si>
    <t>Market price
(BRL / Share)</t>
  </si>
  <si>
    <t>Bloomberg average price 
(BRL / Share)</t>
  </si>
  <si>
    <t>EBITDA LTM
(BRL bn)</t>
  </si>
  <si>
    <t>EBITDA Guidance
(BRL bn)</t>
  </si>
  <si>
    <t>Net Debt
(BRL bn)</t>
  </si>
  <si>
    <t>Installments payable 
(BRL bn)</t>
  </si>
  <si>
    <t>G&amp;A Input
(BRL bn)</t>
  </si>
  <si>
    <t>Net Debt Input
(BRL bn)</t>
  </si>
  <si>
    <t>G&amp;A LTM
(BRL bn)</t>
  </si>
  <si>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</si>
  <si>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</si>
  <si>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</si>
  <si>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</si>
  <si>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</si>
  <si>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</si>
  <si>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</si>
  <si>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</si>
  <si>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</si>
  <si>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</si>
  <si>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</si>
  <si>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https://ri.raizen.com.br/en/disclosures-and-documents/notices-and-material-facts/</t>
  </si>
  <si>
    <t>Note 2: Radar segment considers the 50% stake in Radar and the 20% stake in Tellus and Janus.</t>
  </si>
  <si>
    <t>Information base date:</t>
  </si>
  <si>
    <t>Other investments - Book Value 09/30/2023
(R$ bn)</t>
  </si>
  <si>
    <t>G&amp;A and Other Investments</t>
  </si>
  <si>
    <t>G&amp;A and
Other Investments</t>
  </si>
  <si>
    <t>Preferred shares 
updated redemption
 value</t>
  </si>
  <si>
    <t>Other Investments</t>
  </si>
  <si>
    <r>
      <t xml:space="preserve">Some of the das Parts - SOTP </t>
    </r>
    <r>
      <rPr>
        <b/>
        <sz val="10"/>
        <color rgb="FFFF0000"/>
        <rFont val="Calibri"/>
        <family val="2"/>
        <scheme val="minor"/>
      </rPr>
      <t>(j = a+b+c+d+e+f-g-h-i)</t>
    </r>
  </si>
  <si>
    <r>
      <t xml:space="preserve">Holding Discount </t>
    </r>
    <r>
      <rPr>
        <b/>
        <sz val="10"/>
        <color rgb="FFFF0000"/>
        <rFont val="Calibri"/>
        <family val="2"/>
        <scheme val="minor"/>
      </rPr>
      <t>(l = j-k)</t>
    </r>
  </si>
  <si>
    <r>
      <t xml:space="preserve">Holding Discount (%) </t>
    </r>
    <r>
      <rPr>
        <b/>
        <sz val="10"/>
        <color rgb="FFFF0000"/>
        <rFont val="Calibri"/>
        <family val="2"/>
        <scheme val="minor"/>
      </rPr>
      <t>(m=1-j/k)</t>
    </r>
  </si>
  <si>
    <t>Total shares ex-treasury
31/03/2024
(bn)</t>
  </si>
  <si>
    <t>Preferred shares updated redemption value
(BRL bn)</t>
  </si>
  <si>
    <t>Book Value attributable to
controlling group
(BRL bn)</t>
  </si>
  <si>
    <t>Net Debt 04/30/24
(BRL bn)</t>
  </si>
  <si>
    <t>Total shares ex-treasury 04/30/2024
(bn)</t>
  </si>
  <si>
    <t>Material Fact - 05/13/2024</t>
  </si>
  <si>
    <t>Material Fact - 2024 Guidance Update - 02/08/24</t>
  </si>
  <si>
    <t>Quarterly Report</t>
  </si>
  <si>
    <t>Vale Marketable Securities in 04/30/2024
(BRL bn)</t>
  </si>
  <si>
    <t>Note 2: Cosan has a call option which gives it the right to repurchase all preferred shares of Cosan Nove and Cosan Dez. The amount presented herein represents a potential updated early redemption, as explained in the 1Q24 Earnings Release and explanatory note 5.12 Financial Risk Management of Interim Financial Statements as of March 31, 2024</t>
  </si>
  <si>
    <t>Shares held on 04/30/2024
(bn)</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</si>
  <si>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</si>
  <si>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t>08/14/2024</t>
  </si>
  <si>
    <t>06/30/2024 - unless otherwise indicated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</si>
</sst>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4">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0" fillId="0" borderId="0" xfId="0" quotePrefix="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188" fontId="2" fillId="0" borderId="0" xfId="1" applyNumberFormat="1" applyFont="1" applyFill="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188" fontId="2" fillId="4" borderId="0" xfId="1" applyNumberFormat="1" applyFont="1" applyFill="1" applyAlignment="1">
      <alignment horizontal="center" vertical="center"/>
    </xf>
    <xf numFmtId="0" fontId="111" fillId="0" borderId="0" xfId="0" applyFont="1" applyAlignment="1">
      <alignment horizontal="center" vertical="center"/>
    </xf>
    <xf numFmtId="0" fontId="111" fillId="0" borderId="0" xfId="0" quotePrefix="1" applyFont="1" applyAlignment="1">
      <alignment horizontal="center" vertical="center"/>
    </xf>
    <xf numFmtId="0" fontId="0" fillId="3" borderId="0" xfId="0" applyFill="1" applyAlignment="1">
      <alignment vertical="center" wrapText="1"/>
    </xf>
    <xf numFmtId="14" fontId="0" fillId="0" borderId="2" xfId="0" applyNumberFormat="1" applyBorder="1" applyAlignment="1">
      <alignment horizontal="center" vertical="center"/>
    </xf>
    <xf numFmtId="164" fontId="2" fillId="0" borderId="0" xfId="10" applyNumberFormat="1" applyFont="1" applyFill="1" applyAlignment="1">
      <alignment horizontal="center" vertical="center"/>
    </xf>
    <xf numFmtId="0" fontId="9" fillId="0" borderId="0" xfId="0" applyFont="1" applyAlignment="1">
      <alignment vertical="center" wrapText="1"/>
    </xf>
    <xf numFmtId="0" fontId="26" fillId="0" borderId="0" xfId="32182" applyFill="1"/>
    <xf numFmtId="0" fontId="26" fillId="0" borderId="0" xfId="32182" applyAlignment="1">
      <alignment vertical="center" wrapText="1"/>
    </xf>
    <xf numFmtId="188" fontId="113" fillId="0" borderId="0" xfId="1" applyNumberFormat="1" applyFont="1" applyFill="1" applyAlignment="1">
      <alignment horizontal="center" vertical="center"/>
    </xf>
    <xf numFmtId="2" fontId="113"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D7E8D2"/>
      <color rgb="FF000349"/>
      <color rgb="FF0A9CA6"/>
      <color rgb="FF84CF1F"/>
      <color rgb="FFA19E8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13,40</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093953"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536641" y="1416107"/>
              <a:ext cx="11923059" cy="618272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087841" cy="622491"/>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3775" y="179294"/>
          <a:ext cx="2087840" cy="622491"/>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vale.com/pt/comunicados-resultados-apresentacoes-e-relatorios" TargetMode="External"/><Relationship Id="rId7" Type="http://schemas.openxmlformats.org/officeDocument/2006/relationships/hyperlink" Target="https://www.vale.com/en/announcements-results-presentations-and-reports" TargetMode="Externa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api.mziq.com/mzfilemanager/v2/d/6aa68515-2422-4cc4-bafa-8870ccdfedb0/bc04a6de-cfd6-5ddc-b583-3de734fa2ca2?origin=2" TargetMode="External"/><Relationship Id="rId5" Type="http://schemas.openxmlformats.org/officeDocument/2006/relationships/hyperlink" Target="https://www.compassbr.com/divulgacao-de-resultados/central-de-resultados/" TargetMode="External"/><Relationship Id="rId4" Type="http://schemas.openxmlformats.org/officeDocument/2006/relationships/hyperlink" Target="https://www.compassbr.com/divulgacao-de-resultados/central-de-resultados/"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topLeftCell="A16" zoomScale="85" zoomScaleNormal="85" workbookViewId="0"/>
  </sheetViews>
  <sheetFormatPr defaultRowHeight="15"/>
  <cols>
    <col min="1" max="1" width="149.28515625" customWidth="1"/>
  </cols>
  <sheetData>
    <row r="8" spans="1:1">
      <c r="A8" s="40"/>
    </row>
    <row r="9" spans="1:1">
      <c r="A9" s="54" t="s">
        <v>31</v>
      </c>
    </row>
    <row r="10" spans="1:1" ht="30">
      <c r="A10" s="39" t="s">
        <v>37</v>
      </c>
    </row>
    <row r="11" spans="1:1">
      <c r="A11" s="39"/>
    </row>
    <row r="12" spans="1:1" ht="45">
      <c r="A12" s="39" t="s">
        <v>33</v>
      </c>
    </row>
    <row r="13" spans="1:1">
      <c r="A13" s="39"/>
    </row>
    <row r="14" spans="1:1" ht="75">
      <c r="A14" s="39" t="s">
        <v>34</v>
      </c>
    </row>
    <row r="15" spans="1:1">
      <c r="A15" s="39"/>
    </row>
    <row r="16" spans="1:1" ht="45">
      <c r="A16" s="39" t="s">
        <v>35</v>
      </c>
    </row>
    <row r="17" spans="1:1">
      <c r="A17" s="39"/>
    </row>
    <row r="18" spans="1:1" ht="31.5" customHeight="1">
      <c r="A18" s="39" t="s">
        <v>36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topLeftCell="F1" zoomScale="55" zoomScaleNormal="55" workbookViewId="0">
      <pane ySplit="7" topLeftCell="A14" activePane="bottomLeft" state="frozen"/>
      <selection pane="bottomLeft" activeCell="M19" sqref="M19"/>
    </sheetView>
  </sheetViews>
  <sheetFormatPr defaultColWidth="0" defaultRowHeight="15" zeroHeight="1"/>
  <cols>
    <col min="1" max="1" width="8.7109375" customWidth="1"/>
    <col min="2" max="2" width="119.7109375" customWidth="1"/>
    <col min="3" max="3" width="8.7109375" customWidth="1"/>
    <col min="4" max="4" width="32.5703125" bestFit="1" customWidth="1"/>
    <col min="5" max="5" width="18.5703125" customWidth="1"/>
    <col min="6" max="6" width="18.5703125" bestFit="1" customWidth="1"/>
    <col min="7" max="7" width="15.28515625" customWidth="1"/>
    <col min="8" max="11" width="15.7109375" customWidth="1"/>
    <col min="12" max="12" width="20.5703125" bestFit="1" customWidth="1"/>
    <col min="13" max="13" width="24.140625" bestFit="1" customWidth="1"/>
    <col min="14" max="17" width="15.7109375" customWidth="1"/>
    <col min="18" max="18" width="8.7109375" customWidth="1"/>
    <col min="19" max="21" width="8.7109375" hidden="1" customWidth="1"/>
    <col min="22" max="28" width="0" hidden="1" customWidth="1"/>
    <col min="29" max="16384" width="8.710937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41"/>
      <c r="B6" s="41" t="s">
        <v>39</v>
      </c>
      <c r="C6" s="41"/>
      <c r="D6" s="41"/>
      <c r="E6" s="41"/>
      <c r="F6" s="41"/>
      <c r="G6" s="41"/>
      <c r="H6" s="41"/>
      <c r="I6" s="41"/>
      <c r="J6" s="41"/>
      <c r="K6" s="41"/>
      <c r="L6" s="41"/>
      <c r="M6" s="41"/>
      <c r="N6" s="41"/>
      <c r="O6" s="41"/>
      <c r="P6" s="41"/>
      <c r="Q6" s="41"/>
      <c r="R6"/>
    </row>
    <row r="7" spans="1:18" s="2" customFormat="1" collapsed="1">
      <c r="A7" s="42"/>
      <c r="B7" s="42"/>
      <c r="C7" s="42"/>
      <c r="D7" s="42"/>
      <c r="E7" s="42"/>
      <c r="F7" s="42"/>
      <c r="G7" s="42"/>
      <c r="H7" s="42"/>
      <c r="I7" s="42"/>
      <c r="J7" s="42"/>
      <c r="K7" s="42"/>
      <c r="L7" s="42"/>
      <c r="M7" s="42"/>
      <c r="N7" s="42"/>
      <c r="O7" s="42"/>
      <c r="P7" s="42"/>
      <c r="Q7" s="42"/>
    </row>
    <row r="8" spans="1:18"/>
    <row r="9" spans="1:18">
      <c r="B9" s="43" t="s">
        <v>38</v>
      </c>
      <c r="D9" s="43" t="s">
        <v>12</v>
      </c>
      <c r="E9" s="43"/>
      <c r="F9" s="43"/>
      <c r="G9" s="43"/>
      <c r="H9" s="43"/>
      <c r="I9" s="43"/>
      <c r="J9" s="43"/>
      <c r="K9" s="43"/>
      <c r="L9" s="43"/>
      <c r="M9" s="43"/>
      <c r="N9" s="43"/>
      <c r="O9" s="43"/>
      <c r="P9" s="43"/>
      <c r="Q9" s="43"/>
    </row>
    <row r="10" spans="1:18"/>
    <row r="11" spans="1:18">
      <c r="B11" s="14" t="s">
        <v>40</v>
      </c>
      <c r="D11" s="19" t="s">
        <v>65</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41</v>
      </c>
      <c r="D13" s="71" t="s">
        <v>66</v>
      </c>
      <c r="E13" s="71"/>
      <c r="F13" s="71"/>
      <c r="G13" s="71"/>
      <c r="H13" s="71"/>
      <c r="I13" s="71"/>
      <c r="J13" s="71"/>
      <c r="K13" s="71"/>
      <c r="L13" s="71"/>
      <c r="M13" s="71"/>
      <c r="N13" s="71"/>
      <c r="O13" s="71"/>
      <c r="P13" s="71"/>
      <c r="Q13" s="71"/>
    </row>
    <row r="14" spans="1:18">
      <c r="B14" s="7"/>
    </row>
    <row r="15" spans="1:18">
      <c r="B15" s="14" t="s">
        <v>42</v>
      </c>
      <c r="D15" s="19" t="s">
        <v>70</v>
      </c>
      <c r="E15" s="61" t="s">
        <v>160</v>
      </c>
      <c r="G15" s="19" t="s">
        <v>139</v>
      </c>
      <c r="H15" s="68" t="s">
        <v>161</v>
      </c>
      <c r="I15" s="69"/>
      <c r="J15" s="69"/>
    </row>
    <row r="16" spans="1:18">
      <c r="B16" s="7"/>
    </row>
    <row r="17" spans="2:16" ht="51">
      <c r="B17" s="15" t="s">
        <v>43</v>
      </c>
      <c r="D17" s="12" t="s">
        <v>46</v>
      </c>
      <c r="E17" s="12" t="s">
        <v>63</v>
      </c>
      <c r="F17" s="12" t="s">
        <v>116</v>
      </c>
      <c r="G17" s="12" t="s">
        <v>148</v>
      </c>
      <c r="H17" s="12" t="s">
        <v>158</v>
      </c>
      <c r="I17" s="12" t="s">
        <v>64</v>
      </c>
      <c r="J17" s="12" t="s">
        <v>117</v>
      </c>
      <c r="K17" s="12" t="s">
        <v>118</v>
      </c>
      <c r="L17" s="12" t="s">
        <v>119</v>
      </c>
      <c r="M17" s="12" t="s">
        <v>120</v>
      </c>
      <c r="N17" s="12" t="s">
        <v>121</v>
      </c>
      <c r="O17" s="12" t="s">
        <v>150</v>
      </c>
      <c r="P17" s="12" t="s">
        <v>122</v>
      </c>
    </row>
    <row r="18" spans="2:16" ht="45" customHeight="1">
      <c r="B18" s="15" t="s">
        <v>44</v>
      </c>
      <c r="D18" s="17" t="s">
        <v>13</v>
      </c>
      <c r="E18" s="70">
        <v>0</v>
      </c>
      <c r="F18" s="16" t="s">
        <v>10</v>
      </c>
      <c r="G18" s="66">
        <v>10334163488</v>
      </c>
      <c r="H18" s="29">
        <v>4557597117</v>
      </c>
      <c r="I18" s="62">
        <f>H18/G18</f>
        <v>0.44102235486135555</v>
      </c>
      <c r="J18" s="67">
        <v>2.9399847500000003</v>
      </c>
      <c r="K18" s="22">
        <v>5.1946153846153846</v>
      </c>
      <c r="L18" s="29">
        <v>13644400000</v>
      </c>
      <c r="M18" s="29">
        <v>15000000000</v>
      </c>
      <c r="N18" s="29">
        <v>31592424241.360001</v>
      </c>
      <c r="O18" s="29">
        <v>26598378000</v>
      </c>
      <c r="P18" s="36" t="s">
        <v>10</v>
      </c>
    </row>
    <row r="19" spans="2:16" ht="45" customHeight="1">
      <c r="B19" s="15" t="s">
        <v>45</v>
      </c>
      <c r="D19" s="17" t="s">
        <v>1</v>
      </c>
      <c r="E19" s="70">
        <v>0</v>
      </c>
      <c r="F19" s="16" t="s">
        <v>10</v>
      </c>
      <c r="G19" s="66">
        <v>1804912751</v>
      </c>
      <c r="H19" s="29">
        <v>562529490</v>
      </c>
      <c r="I19" s="62">
        <f t="shared" ref="I19:I20" si="0">H19/G19</f>
        <v>0.31166575209152592</v>
      </c>
      <c r="J19" s="67">
        <v>20.72</v>
      </c>
      <c r="K19" s="22">
        <v>28.567142857142859</v>
      </c>
      <c r="L19" s="29">
        <v>6853294226.5799999</v>
      </c>
      <c r="M19" s="29">
        <v>7750000000</v>
      </c>
      <c r="N19" s="29">
        <v>10132894636.360001</v>
      </c>
      <c r="O19" s="29">
        <v>4352219000</v>
      </c>
      <c r="P19" s="36" t="s">
        <v>10</v>
      </c>
    </row>
    <row r="20" spans="2:16" ht="45" customHeight="1">
      <c r="B20" s="15" t="s">
        <v>47</v>
      </c>
      <c r="D20" s="17" t="s">
        <v>2</v>
      </c>
      <c r="E20" s="70">
        <v>0</v>
      </c>
      <c r="F20" s="16" t="s">
        <v>10</v>
      </c>
      <c r="G20" s="66">
        <v>4270903023</v>
      </c>
      <c r="H20" s="66">
        <v>177342515</v>
      </c>
      <c r="I20" s="62">
        <f t="shared" si="0"/>
        <v>4.1523423511365454E-2</v>
      </c>
      <c r="J20" s="67">
        <v>60.027180539999996</v>
      </c>
      <c r="K20" s="22">
        <v>74.293684210526322</v>
      </c>
      <c r="L20" s="29" t="s">
        <v>10</v>
      </c>
      <c r="M20" s="36" t="s">
        <v>10</v>
      </c>
      <c r="N20" s="29" t="s">
        <v>10</v>
      </c>
      <c r="O20" s="29" t="s">
        <v>10</v>
      </c>
      <c r="P20" s="36" t="s">
        <v>10</v>
      </c>
    </row>
    <row r="21" spans="2:16" ht="45" customHeight="1">
      <c r="B21" s="63" t="s">
        <v>48</v>
      </c>
      <c r="D21" s="17" t="s">
        <v>3</v>
      </c>
      <c r="E21" s="70">
        <v>0</v>
      </c>
      <c r="F21" s="70">
        <v>0</v>
      </c>
      <c r="G21" s="36" t="s">
        <v>10</v>
      </c>
      <c r="H21" s="36" t="s">
        <v>10</v>
      </c>
      <c r="I21" s="62">
        <v>0.88</v>
      </c>
      <c r="J21" s="36" t="s">
        <v>10</v>
      </c>
      <c r="K21" s="36" t="s">
        <v>10</v>
      </c>
      <c r="L21" s="29">
        <v>4632843619.8299999</v>
      </c>
      <c r="M21" s="29">
        <v>4550000000.000001</v>
      </c>
      <c r="N21" s="29">
        <v>6878078267.7299995</v>
      </c>
      <c r="O21" s="29">
        <v>5552680000</v>
      </c>
      <c r="P21" s="36" t="s">
        <v>10</v>
      </c>
    </row>
    <row r="22" spans="2:16" ht="26.25" customHeight="1">
      <c r="D22" s="17" t="s">
        <v>8</v>
      </c>
      <c r="E22" s="70">
        <v>0</v>
      </c>
      <c r="F22" s="70">
        <v>0</v>
      </c>
      <c r="G22" s="36" t="s">
        <v>10</v>
      </c>
      <c r="H22" s="36" t="s">
        <v>10</v>
      </c>
      <c r="I22" s="62">
        <v>0.7</v>
      </c>
      <c r="J22" s="36" t="s">
        <v>10</v>
      </c>
      <c r="K22" s="36" t="s">
        <v>10</v>
      </c>
      <c r="L22" s="29">
        <v>1303504360.53</v>
      </c>
      <c r="M22" s="36" t="s">
        <v>10</v>
      </c>
      <c r="N22" s="29">
        <v>2471973679.0999999</v>
      </c>
      <c r="O22" s="29">
        <v>1297308000</v>
      </c>
      <c r="P22" s="36" t="s">
        <v>10</v>
      </c>
    </row>
    <row r="23" spans="2:16" ht="26.25" customHeight="1">
      <c r="D23" s="17" t="s">
        <v>135</v>
      </c>
      <c r="E23" s="16" t="s">
        <v>10</v>
      </c>
      <c r="F23" s="70">
        <v>0</v>
      </c>
      <c r="G23" s="36" t="s">
        <v>10</v>
      </c>
      <c r="H23" s="36" t="s">
        <v>10</v>
      </c>
      <c r="I23" s="62">
        <v>0.3</v>
      </c>
      <c r="J23" s="36" t="s">
        <v>10</v>
      </c>
      <c r="K23" s="36" t="s">
        <v>10</v>
      </c>
      <c r="L23" s="29">
        <v>2732048576.6700001</v>
      </c>
      <c r="M23" s="36" t="s">
        <v>10</v>
      </c>
      <c r="N23" s="29">
        <v>-538413039.47000003</v>
      </c>
      <c r="O23" s="29">
        <v>4989020000</v>
      </c>
      <c r="P23" s="29">
        <v>-1200000000</v>
      </c>
    </row>
    <row r="24" spans="2:16" ht="40.5" customHeight="1">
      <c r="B24" s="14" t="s">
        <v>49</v>
      </c>
    </row>
    <row r="25" spans="2:16" ht="40.5" customHeight="1">
      <c r="B25" s="55" t="s">
        <v>159</v>
      </c>
      <c r="D25" s="12" t="s">
        <v>61</v>
      </c>
      <c r="E25" s="12" t="s">
        <v>62</v>
      </c>
      <c r="F25" s="12" t="s">
        <v>123</v>
      </c>
      <c r="G25" s="12" t="s">
        <v>124</v>
      </c>
      <c r="H25" s="12" t="s">
        <v>118</v>
      </c>
      <c r="I25" s="12" t="s">
        <v>125</v>
      </c>
      <c r="J25" s="12" t="s">
        <v>151</v>
      </c>
      <c r="K25" s="12" t="s">
        <v>117</v>
      </c>
      <c r="L25" s="12" t="s">
        <v>152</v>
      </c>
      <c r="M25" s="12" t="s">
        <v>140</v>
      </c>
    </row>
    <row r="26" spans="2:16" ht="40.5" customHeight="1">
      <c r="B26" s="56" t="s">
        <v>50</v>
      </c>
      <c r="D26" s="17" t="s">
        <v>14</v>
      </c>
      <c r="E26" s="26">
        <v>10</v>
      </c>
      <c r="F26" s="22">
        <v>0.48373332489999998</v>
      </c>
      <c r="G26" s="22">
        <v>21.329245892900001</v>
      </c>
      <c r="H26" s="22">
        <v>22.419090909090912</v>
      </c>
      <c r="I26" s="13">
        <v>483733324.89999998</v>
      </c>
      <c r="J26" s="13">
        <v>21329245892.900002</v>
      </c>
      <c r="K26" s="67">
        <v>13.54</v>
      </c>
      <c r="L26" s="66">
        <v>1860561782</v>
      </c>
      <c r="M26" s="66">
        <v>1027932000</v>
      </c>
    </row>
    <row r="27" spans="2:16" ht="40.5" customHeight="1">
      <c r="B27" s="56" t="s">
        <v>51</v>
      </c>
    </row>
    <row r="28" spans="2:16" ht="40.5" customHeight="1">
      <c r="B28" s="56" t="s">
        <v>52</v>
      </c>
      <c r="D28" s="12" t="s">
        <v>149</v>
      </c>
    </row>
    <row r="29" spans="2:16" ht="40.5" customHeight="1">
      <c r="B29" s="15" t="s">
        <v>114</v>
      </c>
      <c r="D29" s="22">
        <v>8.1969999999999992</v>
      </c>
      <c r="E29" s="16"/>
      <c r="F29" s="30"/>
      <c r="G29" s="30"/>
      <c r="H29" s="30"/>
    </row>
    <row r="30" spans="2:16" ht="40.5" customHeight="1">
      <c r="B30" s="15" t="s">
        <v>115</v>
      </c>
    </row>
    <row r="31" spans="2:16" ht="40.5" customHeight="1">
      <c r="B31" s="15" t="s">
        <v>53</v>
      </c>
      <c r="D31" s="12" t="s">
        <v>156</v>
      </c>
    </row>
    <row r="32" spans="2:16" ht="40.5" customHeight="1">
      <c r="B32" s="15" t="s">
        <v>54</v>
      </c>
      <c r="D32" s="57">
        <v>11034000000</v>
      </c>
      <c r="F32" s="13"/>
    </row>
    <row r="33" spans="2:17" ht="40.5" customHeight="1">
      <c r="B33" s="15" t="s">
        <v>55</v>
      </c>
      <c r="F33" s="13"/>
    </row>
    <row r="34" spans="2:17" ht="40.5" customHeight="1">
      <c r="B34" s="15" t="s">
        <v>56</v>
      </c>
      <c r="D34" s="72" t="s">
        <v>68</v>
      </c>
      <c r="E34" s="72"/>
      <c r="F34" s="72"/>
      <c r="G34" s="72"/>
      <c r="H34" s="72"/>
      <c r="I34" s="72"/>
      <c r="J34" s="72"/>
      <c r="K34" s="72"/>
      <c r="L34" s="72"/>
      <c r="M34" s="72"/>
      <c r="N34" s="72"/>
      <c r="O34" s="72"/>
      <c r="P34" s="72"/>
      <c r="Q34" s="72"/>
    </row>
    <row r="35" spans="2:17" ht="40.5" customHeight="1">
      <c r="B35" s="15" t="s">
        <v>57</v>
      </c>
      <c r="D35" s="72" t="s">
        <v>138</v>
      </c>
      <c r="E35" s="72"/>
      <c r="F35" s="72"/>
      <c r="G35" s="72"/>
      <c r="H35" s="72"/>
      <c r="I35" s="72"/>
      <c r="J35" s="72"/>
      <c r="K35" s="72"/>
      <c r="L35" s="72"/>
      <c r="M35" s="72"/>
      <c r="N35" s="72"/>
      <c r="O35" s="72"/>
      <c r="P35" s="72"/>
      <c r="Q35" s="72"/>
    </row>
    <row r="36" spans="2:17" ht="40.5" customHeight="1">
      <c r="B36" s="15" t="s">
        <v>58</v>
      </c>
      <c r="D36" s="72" t="s">
        <v>69</v>
      </c>
      <c r="E36" s="72"/>
      <c r="F36" s="72"/>
      <c r="G36" s="72"/>
      <c r="H36" s="72"/>
      <c r="I36" s="72"/>
      <c r="J36" s="72"/>
      <c r="K36" s="72"/>
      <c r="L36" s="72"/>
      <c r="M36" s="72"/>
      <c r="N36" s="72"/>
      <c r="O36" s="72"/>
      <c r="P36" s="72"/>
      <c r="Q36" s="72"/>
    </row>
    <row r="37" spans="2:17" ht="25.9" customHeight="1">
      <c r="B37" s="60" t="s">
        <v>59</v>
      </c>
    </row>
    <row r="38" spans="2:17" ht="35.25" customHeight="1">
      <c r="B38" s="15" t="s">
        <v>67</v>
      </c>
    </row>
    <row r="39" spans="2:17">
      <c r="B39" s="15" t="s">
        <v>60</v>
      </c>
    </row>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Normal="100" workbookViewId="0">
      <pane xSplit="8" ySplit="7" topLeftCell="I8" activePane="bottomRight" state="frozen"/>
      <selection pane="topRight" activeCell="H1" sqref="H1"/>
      <selection pane="bottomLeft" activeCell="A6" sqref="A6"/>
      <selection pane="bottomRight" activeCell="B41" sqref="B41"/>
    </sheetView>
  </sheetViews>
  <sheetFormatPr defaultColWidth="0" defaultRowHeight="12.75" zeroHeight="1"/>
  <cols>
    <col min="1" max="2" width="2.7109375" style="2" customWidth="1"/>
    <col min="3" max="3" width="44.7109375" style="3" customWidth="1"/>
    <col min="4" max="4" width="3.5703125" style="3" customWidth="1"/>
    <col min="5" max="5" width="3.42578125" style="2" customWidth="1"/>
    <col min="6" max="6" width="33" style="2" bestFit="1" customWidth="1"/>
    <col min="7" max="7" width="19.7109375" style="2" bestFit="1" customWidth="1"/>
    <col min="8" max="8" width="17" style="2" bestFit="1" customWidth="1"/>
    <col min="9" max="29" width="8.7109375" style="2" customWidth="1"/>
    <col min="30" max="16383" width="8.7109375" style="2" hidden="1"/>
    <col min="16384" max="16384" width="11.42578125" style="2" hidden="1"/>
  </cols>
  <sheetData>
    <row r="1" spans="1:8" s="5" customFormat="1" ht="15">
      <c r="C1" s="6"/>
      <c r="D1" s="6"/>
    </row>
    <row r="2" spans="1:8" s="5" customFormat="1" ht="15"/>
    <row r="3" spans="1:8" s="5" customFormat="1" ht="15"/>
    <row r="4" spans="1:8" s="5" customFormat="1" ht="15"/>
    <row r="5" spans="1:8" s="5" customFormat="1" ht="15">
      <c r="C5" s="6"/>
      <c r="D5" s="6"/>
    </row>
    <row r="6" spans="1:8" s="1" customFormat="1" ht="19.5" customHeight="1">
      <c r="A6" s="41"/>
      <c r="B6" s="41" t="s">
        <v>74</v>
      </c>
      <c r="C6" s="41"/>
      <c r="D6" s="41"/>
      <c r="E6" s="41"/>
      <c r="F6" s="41"/>
      <c r="G6" s="41"/>
      <c r="H6" s="41"/>
    </row>
    <row r="7" spans="1:8" ht="15" collapsed="1">
      <c r="A7" s="44"/>
      <c r="B7" s="53" t="s">
        <v>126</v>
      </c>
      <c r="C7" s="44"/>
      <c r="D7" s="44"/>
      <c r="E7" s="44"/>
      <c r="F7" s="44"/>
      <c r="G7" s="44"/>
      <c r="H7" s="44"/>
    </row>
    <row r="8" spans="1:8" ht="13.9" customHeight="1"/>
    <row r="9" spans="1:8" ht="13.9" customHeight="1">
      <c r="B9" s="52" t="s">
        <v>73</v>
      </c>
      <c r="C9" s="45"/>
      <c r="D9" s="45"/>
      <c r="E9" s="45"/>
      <c r="F9" s="45"/>
      <c r="G9" s="45"/>
      <c r="H9" s="45"/>
    </row>
    <row r="10" spans="1:8" ht="13.9" customHeight="1"/>
    <row r="11" spans="1:8" ht="13.9" customHeight="1">
      <c r="B11" s="47" t="s">
        <v>75</v>
      </c>
      <c r="C11" s="47"/>
      <c r="D11" s="48"/>
      <c r="E11" s="48"/>
      <c r="F11" s="48" t="s">
        <v>76</v>
      </c>
      <c r="G11" s="48" t="s">
        <v>77</v>
      </c>
      <c r="H11" s="48" t="s">
        <v>127</v>
      </c>
    </row>
    <row r="12" spans="1:8" ht="13.9" customHeight="1"/>
    <row r="13" spans="1:8" ht="13.9" customHeight="1">
      <c r="B13" s="58" t="s">
        <v>18</v>
      </c>
      <c r="C13" s="3" t="s">
        <v>0</v>
      </c>
      <c r="F13" s="23" t="s">
        <v>79</v>
      </c>
      <c r="G13" s="28">
        <f>(H13/'Guide and Assumptions'!I18+'Guide and Assumptions'!N18)/IF(F13="EV/EBITDA Guidance",'Guide and Assumptions'!M18,'Guide and Assumptions'!L18)</f>
        <v>4.5421350370911737</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13399266020.623966</v>
      </c>
    </row>
    <row r="14" spans="1:8" ht="13.9" customHeight="1">
      <c r="B14" s="58" t="s">
        <v>19</v>
      </c>
      <c r="C14" s="3" t="s">
        <v>1</v>
      </c>
      <c r="F14" s="23" t="s">
        <v>79</v>
      </c>
      <c r="G14" s="28">
        <f>(H14/'Guide and Assumptions'!I19+'Guide and Assumptions'!N19)/IF(F14="EV/EBITDA Guidance",'Guide and Assumptions'!M19,'Guide and Assumptions'!L19)</f>
        <v>6.9354510788017398</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11655611032.799999</v>
      </c>
    </row>
    <row r="15" spans="1:8" ht="13.9" customHeight="1">
      <c r="A15" s="49"/>
      <c r="B15" s="59" t="s">
        <v>21</v>
      </c>
      <c r="C15" s="3" t="s">
        <v>2</v>
      </c>
      <c r="F15" s="23" t="s">
        <v>79</v>
      </c>
      <c r="G15" s="28" t="e">
        <f>(H15/'Guide and Assumptions'!I20+'Guide and Assumptions'!N20)/IF(F15="EV/EBITDA Guidance",'Guide and Assumptions'!L20,'Guide and Assumptions'!L20)</f>
        <v>#VALUE!</v>
      </c>
      <c r="H15" s="13" cm="1">
        <f t="array" ref="H15">_xlfn.IFS($F15="Market Capitalization", 'Guide and Assumptions'!H20*'Guide and Assumptions'!J20, $F15="EV/EBITDA LTM", (('Guide and Assumptions'!E20*'Guide and Assumptions'!L20)-'Guide and Assumptions'!N20)*'Guide and Assumptions'!I20, $F15="EV/EBITDA Guidance", (('Guide and Assumptions'!E20*'Guide and Assumptions'!M20)-'Guide and Assumptions'!N20)*'Guide and Assumptions'!I20, $F15="Target Price", 'Guide and Assumptions'!H20*'Guide and Assumptions'!K20)</f>
        <v>10645371165.322657</v>
      </c>
    </row>
    <row r="16" spans="1:8" ht="13.9" customHeight="1">
      <c r="B16" s="58" t="s">
        <v>20</v>
      </c>
      <c r="C16" s="3" t="s">
        <v>3</v>
      </c>
      <c r="F16" s="23" t="s">
        <v>9</v>
      </c>
      <c r="G16" s="28">
        <f>(H16/'Guide and Assumptions'!I21+'Guide and Assumptions'!N21)/IF(F16="EV/EBITDA Guidance",'Guide and Assumptions'!M21,'Guide and Assumptions'!L21)</f>
        <v>0</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-6052708875.6023998</v>
      </c>
    </row>
    <row r="17" spans="2:8" ht="13.9" customHeight="1">
      <c r="B17" s="58" t="s">
        <v>22</v>
      </c>
      <c r="C17" s="3" t="s">
        <v>8</v>
      </c>
      <c r="F17" s="23" t="s">
        <v>11</v>
      </c>
      <c r="G17" s="28">
        <f>(H17/'Guide and Assumptions'!I22+'Guide and Assumptions'!N22)/IF(F17="EV/EBITDA Guidance",'Guide and Assumptions'!L22,'Guide and Assumptions'!L22)</f>
        <v>0</v>
      </c>
      <c r="H17" s="13" cm="1">
        <f t="array" ref="H17">_xlfn.IFS($F17="Book Value", 'Guide and Assumptions'!O22, $F17="Equity Value", 'Guide and Assumptions'!F22*1000000000*'Guide and Assumptions'!I22,F17= "EV/EBITDA LTM", (('Guide and Assumptions'!E22*'Guide and Assumptions'!L22)-'Guide and Assumptions'!N22)*'Guide and Assumptions'!I22, F17= "EV/EBITDA Guidance", (('Guide and Assumptions'!E22*'Guide and Assumptions'!M22)-'Guide and Assumptions'!N22)*'Guide and Assumptions'!I22)</f>
        <v>-1730381575.3699999</v>
      </c>
    </row>
    <row r="18" spans="2:8" ht="13.9" customHeight="1">
      <c r="B18" s="58" t="s">
        <v>23</v>
      </c>
      <c r="C18" s="3" t="s">
        <v>136</v>
      </c>
      <c r="F18" s="23" t="s">
        <v>32</v>
      </c>
      <c r="G18" s="28">
        <f>(H18/'Guide and Assumptions'!I23+'Guide and Assumptions'!N23 -'Guide and Assumptions'!P23 )/IF(F18="EV/EBITDA Guidance",'Guide and Assumptions'!L23,'Guide and Assumptions'!L23)</f>
        <v>4.8650868585204323</v>
      </c>
      <c r="H18" s="13" cm="1">
        <f t="array" ref="H18">_xlfn.IFS($F18="Book Value", 'Guide and Assumptions'!O23 + 'Guide and Assumptions'!P23, $F18="Equity Value", 'Guide and Assumptions'!F23*1000000000*'Guide and Assumptions'!I23 + 'Guide and Assumptions'!P23,F18= "EV/EBITDA LTM", (('Guide and Assumptions'!E23*'Guide and Assumptions'!L23)-'Guide and Assumptions'!N23)*'Guide and Assumptions'!I23, F18= "EV/EBITDA Guidance", (('Guide and Assumptions'!E23*'Guide and Assumptions'!M23)-'Guide and Assumptions'!N23)*'Guide and Assumptions'!I23)</f>
        <v>3789020000</v>
      </c>
    </row>
    <row r="19" spans="2:8" ht="13.9" customHeight="1">
      <c r="G19" s="28"/>
      <c r="H19" s="13"/>
    </row>
    <row r="20" spans="2:8" ht="13.9" customHeight="1"/>
    <row r="21" spans="2:8" ht="13.9" customHeight="1">
      <c r="B21" s="47" t="s">
        <v>88</v>
      </c>
      <c r="C21" s="47"/>
      <c r="D21" s="48"/>
      <c r="E21" s="48"/>
      <c r="F21" s="48"/>
      <c r="G21" s="48"/>
      <c r="H21" s="48" t="str">
        <f>$H$11</f>
        <v>Value (BRL bn)</v>
      </c>
    </row>
    <row r="22" spans="2:8" ht="13.9" customHeight="1">
      <c r="F22" s="24"/>
    </row>
    <row r="23" spans="2:8" ht="13.9" customHeight="1">
      <c r="B23" s="58" t="s">
        <v>24</v>
      </c>
      <c r="C23" s="3" t="s">
        <v>141</v>
      </c>
      <c r="F23" s="25" t="s">
        <v>80</v>
      </c>
      <c r="H23" s="13" cm="1">
        <f t="array" ref="H23">-_xlfn.IFS(F23="Multiple", 'Guide and Assumptions'!E26*'Guide and Assumptions'!I26-'Guide and Assumptions'!M26, F23="Input", 'Guide and Assumptions'!F26*1000000000)</f>
        <v>-3809401249</v>
      </c>
    </row>
    <row r="24" spans="2:8" ht="13.9" customHeight="1">
      <c r="B24" s="58" t="s">
        <v>25</v>
      </c>
      <c r="C24" s="3" t="s">
        <v>87</v>
      </c>
      <c r="F24" s="25" t="s">
        <v>81</v>
      </c>
      <c r="H24" s="13" cm="1">
        <f t="array" ref="H24">-_xlfn.IFS(F24="Last Available", 'Guide and Assumptions'!J26, F24="Input", 'Guide and Assumptions'!G26*1000000000)</f>
        <v>-21329245892.900002</v>
      </c>
    </row>
    <row r="25" spans="2:8" ht="13.9" customHeight="1">
      <c r="H25" s="13"/>
    </row>
    <row r="26" spans="2:8" ht="13.9" customHeight="1">
      <c r="B26" s="47" t="s">
        <v>86</v>
      </c>
      <c r="C26" s="47"/>
      <c r="D26" s="48"/>
      <c r="E26" s="48"/>
      <c r="F26" s="48"/>
      <c r="G26" s="48"/>
      <c r="H26" s="48" t="str">
        <f>$H$11</f>
        <v>Value (BRL bn)</v>
      </c>
    </row>
    <row r="27" spans="2:8" ht="13.9" customHeight="1"/>
    <row r="28" spans="2:8" ht="13.9" customHeight="1">
      <c r="B28" s="58" t="s">
        <v>26</v>
      </c>
      <c r="C28" s="3" t="s">
        <v>85</v>
      </c>
      <c r="F28" s="25" t="s">
        <v>81</v>
      </c>
      <c r="G28" s="4"/>
      <c r="H28" s="13" cm="1">
        <f t="array" ref="H28">-_xlfn.IFS(F28="Last Available",'Guide and Assumptions'!D29*1000000000, F28="Input", 'Guide and Assumptions'!D29*1000000000)</f>
        <v>-8196999999.999999</v>
      </c>
    </row>
    <row r="29" spans="2:8" ht="13.9" customHeight="1">
      <c r="B29" s="58"/>
    </row>
    <row r="30" spans="2:8" ht="13.9" customHeight="1">
      <c r="B30" s="50" t="s">
        <v>84</v>
      </c>
      <c r="C30" s="46"/>
      <c r="D30" s="46"/>
      <c r="E30" s="46"/>
      <c r="F30" s="46"/>
      <c r="G30" s="46"/>
      <c r="H30" s="46"/>
    </row>
    <row r="31" spans="2:8" ht="13.9" customHeight="1"/>
    <row r="32" spans="2:8" ht="13.9" customHeight="1">
      <c r="B32" s="58" t="s">
        <v>27</v>
      </c>
      <c r="C32" s="3" t="s">
        <v>145</v>
      </c>
      <c r="H32" s="13">
        <f>SUM(H13:H18,H23:H24,H28:H28)</f>
        <v>-1629469374.1257811</v>
      </c>
    </row>
    <row r="33" spans="2:8" ht="13.9" customHeight="1">
      <c r="B33" s="58" t="s">
        <v>28</v>
      </c>
      <c r="C33" s="3" t="s">
        <v>82</v>
      </c>
      <c r="H33" s="27">
        <f>'Guide and Assumptions'!L26*'Guide and Assumptions'!K26</f>
        <v>25192006528.279999</v>
      </c>
    </row>
    <row r="34" spans="2:8" ht="13.9" customHeight="1">
      <c r="C34" s="3" t="s">
        <v>83</v>
      </c>
      <c r="H34" s="31">
        <f>H32/'Guide and Assumptions'!L26</f>
        <v>-0.87579428422645145</v>
      </c>
    </row>
    <row r="35" spans="2:8" ht="13.9" customHeight="1">
      <c r="C35" s="9" t="s">
        <v>128</v>
      </c>
      <c r="D35" s="9"/>
      <c r="E35" s="10"/>
      <c r="F35" s="10"/>
      <c r="G35" s="10"/>
      <c r="H35" s="32">
        <f>'Guide and Assumptions'!H26</f>
        <v>22.419090909090912</v>
      </c>
    </row>
    <row r="36" spans="2:8" ht="13.9" customHeight="1">
      <c r="B36" s="58" t="s">
        <v>29</v>
      </c>
      <c r="C36" s="11" t="s">
        <v>146</v>
      </c>
      <c r="H36" s="13">
        <f>H33-H32</f>
        <v>26821475902.405781</v>
      </c>
    </row>
    <row r="37" spans="2:8" ht="13.9" customHeight="1">
      <c r="B37" s="58" t="s">
        <v>30</v>
      </c>
      <c r="C37" s="3" t="s">
        <v>147</v>
      </c>
      <c r="H37" s="8">
        <f>1-H33/H32</f>
        <v>16.460251618288709</v>
      </c>
    </row>
    <row r="38" spans="2:8" ht="13.9" customHeight="1"/>
    <row r="39" spans="2:8" ht="13.9" customHeight="1">
      <c r="B39" s="33" t="s">
        <v>129</v>
      </c>
    </row>
    <row r="40" spans="2:8" ht="45.6" customHeight="1">
      <c r="B40" s="73" t="s">
        <v>157</v>
      </c>
      <c r="C40" s="73"/>
      <c r="D40" s="73"/>
      <c r="E40" s="73"/>
      <c r="F40" s="73"/>
      <c r="G40" s="73"/>
      <c r="H40" s="73"/>
    </row>
    <row r="41" spans="2:8" ht="12" customHeight="1"/>
    <row r="42" spans="2:8" ht="12.75" customHeight="1">
      <c r="B42" s="51"/>
      <c r="C42" s="51"/>
      <c r="D42" s="51"/>
      <c r="E42" s="51"/>
      <c r="F42" s="51"/>
      <c r="G42" s="51"/>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topLeftCell="B1" zoomScale="70" zoomScaleNormal="70" workbookViewId="0">
      <pane ySplit="7" topLeftCell="A11" activePane="bottomLeft" state="frozen"/>
      <selection pane="bottomLeft" activeCell="E57" sqref="E57"/>
    </sheetView>
  </sheetViews>
  <sheetFormatPr defaultColWidth="0" defaultRowHeight="15" zeroHeight="1"/>
  <cols>
    <col min="1" max="1" width="1.28515625" customWidth="1"/>
    <col min="2" max="2" width="25.7109375" customWidth="1"/>
    <col min="3" max="3" width="4.42578125" customWidth="1"/>
    <col min="4" max="4" width="59.28515625" customWidth="1"/>
    <col min="5" max="5" width="35.5703125" customWidth="1"/>
    <col min="6" max="6" width="10.7109375" customWidth="1"/>
    <col min="7" max="7" width="10.7109375" hidden="1" customWidth="1"/>
    <col min="8" max="8" width="11.28515625" hidden="1" customWidth="1"/>
    <col min="9" max="9" width="11.7109375" hidden="1" customWidth="1"/>
    <col min="10" max="10" width="13.28515625" hidden="1" customWidth="1"/>
    <col min="11" max="11" width="11.7109375" hidden="1" customWidth="1"/>
    <col min="12" max="12" width="10.28515625" hidden="1" customWidth="1"/>
    <col min="13" max="13" width="9" hidden="1" customWidth="1"/>
    <col min="14" max="14" width="11.7109375" hidden="1" customWidth="1"/>
    <col min="15" max="15" width="8.7109375" hidden="1" customWidth="1"/>
    <col min="16" max="16" width="9.7109375" hidden="1" customWidth="1"/>
    <col min="17" max="17" width="8.7109375" hidden="1" customWidth="1"/>
    <col min="18" max="27" width="0" hidden="1" customWidth="1"/>
    <col min="28" max="16384" width="8.710937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41"/>
      <c r="B6" s="41" t="s">
        <v>71</v>
      </c>
      <c r="C6" s="41"/>
      <c r="D6" s="41"/>
      <c r="E6" s="41"/>
      <c r="F6" s="41"/>
      <c r="G6" s="41"/>
      <c r="H6" s="41"/>
      <c r="I6" s="41"/>
      <c r="J6" s="41"/>
      <c r="K6" s="41"/>
      <c r="L6" s="41"/>
      <c r="M6" s="41"/>
      <c r="N6" s="41"/>
      <c r="O6" s="41"/>
      <c r="P6" s="41"/>
      <c r="Q6" s="41"/>
      <c r="R6"/>
    </row>
    <row r="7" spans="1:18" s="2" customFormat="1" collapsed="1">
      <c r="A7" s="42"/>
      <c r="B7" s="42"/>
      <c r="C7" s="42"/>
      <c r="D7" s="42"/>
      <c r="E7" s="42"/>
      <c r="F7" s="42"/>
      <c r="G7" s="42"/>
      <c r="H7" s="42"/>
      <c r="I7" s="42"/>
      <c r="J7" s="42"/>
      <c r="K7" s="42"/>
      <c r="L7" s="42"/>
      <c r="M7" s="42"/>
      <c r="N7" s="42"/>
      <c r="O7" s="42"/>
      <c r="P7" s="42"/>
      <c r="Q7" s="42"/>
    </row>
    <row r="8" spans="1:18"/>
    <row r="9" spans="1:18">
      <c r="B9" s="45" t="s">
        <v>72</v>
      </c>
      <c r="C9" s="45"/>
      <c r="D9" s="45"/>
      <c r="E9" s="45"/>
    </row>
    <row r="10" spans="1:18"/>
    <row r="11" spans="1:18">
      <c r="B11" s="12" t="s">
        <v>0</v>
      </c>
      <c r="C11" s="12"/>
      <c r="D11" s="12"/>
      <c r="E11" s="12"/>
    </row>
    <row r="12" spans="1:18" ht="15" customHeight="1">
      <c r="B12" t="s">
        <v>89</v>
      </c>
      <c r="D12" s="21" t="s">
        <v>102</v>
      </c>
    </row>
    <row r="13" spans="1:18" ht="15" customHeight="1">
      <c r="B13" t="s">
        <v>91</v>
      </c>
      <c r="D13" s="21" t="s">
        <v>103</v>
      </c>
    </row>
    <row r="14" spans="1:18" ht="15" customHeight="1">
      <c r="B14" t="s">
        <v>92</v>
      </c>
      <c r="D14" s="64"/>
      <c r="E14" t="s">
        <v>99</v>
      </c>
    </row>
    <row r="15" spans="1:18" ht="15" customHeight="1">
      <c r="B15" t="s">
        <v>4</v>
      </c>
      <c r="D15" s="21" t="s">
        <v>104</v>
      </c>
      <c r="E15" t="s">
        <v>97</v>
      </c>
    </row>
    <row r="16" spans="1:18" ht="15" customHeight="1">
      <c r="B16" t="s">
        <v>7</v>
      </c>
      <c r="D16" s="21" t="s">
        <v>137</v>
      </c>
      <c r="E16" t="s">
        <v>153</v>
      </c>
    </row>
    <row r="17" spans="2:5" ht="15" customHeight="1">
      <c r="B17" t="s">
        <v>90</v>
      </c>
      <c r="D17" s="21" t="s">
        <v>104</v>
      </c>
      <c r="E17" t="s">
        <v>101</v>
      </c>
    </row>
    <row r="18" spans="2:5" ht="15" customHeight="1">
      <c r="B18" t="s">
        <v>32</v>
      </c>
      <c r="D18" s="21" t="s">
        <v>98</v>
      </c>
      <c r="E18" t="s">
        <v>101</v>
      </c>
    </row>
    <row r="19" spans="2:5" ht="15" customHeight="1">
      <c r="B19" s="7"/>
    </row>
    <row r="20" spans="2:5" ht="15" customHeight="1">
      <c r="B20" s="12" t="s">
        <v>1</v>
      </c>
      <c r="C20" s="12"/>
      <c r="D20" s="12"/>
      <c r="E20" s="12"/>
    </row>
    <row r="21" spans="2:5" ht="15" customHeight="1">
      <c r="B21" t="s">
        <v>89</v>
      </c>
      <c r="D21" s="21" t="s">
        <v>105</v>
      </c>
    </row>
    <row r="22" spans="2:5" ht="15" customHeight="1">
      <c r="B22" t="s">
        <v>91</v>
      </c>
      <c r="D22" s="21" t="s">
        <v>105</v>
      </c>
    </row>
    <row r="23" spans="2:5" ht="15" customHeight="1">
      <c r="B23" t="s">
        <v>92</v>
      </c>
      <c r="D23" s="64"/>
      <c r="E23" t="s">
        <v>99</v>
      </c>
    </row>
    <row r="24" spans="2:5" ht="15" customHeight="1">
      <c r="B24" t="s">
        <v>4</v>
      </c>
      <c r="D24" s="21" t="s">
        <v>106</v>
      </c>
      <c r="E24" t="s">
        <v>97</v>
      </c>
    </row>
    <row r="25" spans="2:5" ht="15" customHeight="1">
      <c r="B25" t="s">
        <v>7</v>
      </c>
      <c r="D25" s="21" t="s">
        <v>107</v>
      </c>
      <c r="E25" t="s">
        <v>154</v>
      </c>
    </row>
    <row r="26" spans="2:5" ht="15" customHeight="1">
      <c r="B26" t="s">
        <v>90</v>
      </c>
      <c r="D26" s="21" t="s">
        <v>106</v>
      </c>
      <c r="E26" t="s">
        <v>101</v>
      </c>
    </row>
    <row r="27" spans="2:5" ht="15" customHeight="1">
      <c r="B27" t="s">
        <v>32</v>
      </c>
      <c r="D27" s="21" t="s">
        <v>98</v>
      </c>
      <c r="E27" t="s">
        <v>101</v>
      </c>
    </row>
    <row r="28" spans="2:5" ht="15" customHeight="1">
      <c r="B28" s="15"/>
    </row>
    <row r="29" spans="2:5" ht="15" customHeight="1">
      <c r="B29" s="12" t="s">
        <v>2</v>
      </c>
      <c r="C29" s="12"/>
      <c r="D29" s="12"/>
      <c r="E29" s="12"/>
    </row>
    <row r="30" spans="2:5" ht="15" customHeight="1">
      <c r="B30" t="s">
        <v>89</v>
      </c>
      <c r="D30" s="21" t="s">
        <v>108</v>
      </c>
    </row>
    <row r="31" spans="2:5" ht="15" customHeight="1">
      <c r="B31" t="s">
        <v>91</v>
      </c>
      <c r="D31" s="21" t="s">
        <v>98</v>
      </c>
      <c r="E31" t="s">
        <v>97</v>
      </c>
    </row>
    <row r="32" spans="2:5" ht="15" customHeight="1">
      <c r="B32" t="s">
        <v>92</v>
      </c>
      <c r="D32" s="64"/>
      <c r="E32" t="s">
        <v>99</v>
      </c>
    </row>
    <row r="33" spans="2:5" ht="15" customHeight="1">
      <c r="B33" t="s">
        <v>4</v>
      </c>
      <c r="D33" s="21" t="s">
        <v>109</v>
      </c>
      <c r="E33" t="s">
        <v>155</v>
      </c>
    </row>
    <row r="34" spans="2:5">
      <c r="B34" t="s">
        <v>90</v>
      </c>
      <c r="D34" s="21" t="s">
        <v>109</v>
      </c>
      <c r="E34" t="s">
        <v>155</v>
      </c>
    </row>
    <row r="35" spans="2:5">
      <c r="B35" t="s">
        <v>32</v>
      </c>
      <c r="D35" s="21" t="s">
        <v>98</v>
      </c>
      <c r="E35" t="s">
        <v>101</v>
      </c>
    </row>
    <row r="36" spans="2:5"/>
    <row r="37" spans="2:5">
      <c r="B37" s="12" t="s">
        <v>3</v>
      </c>
      <c r="C37" s="12"/>
      <c r="D37" s="12"/>
      <c r="E37" s="12"/>
    </row>
    <row r="38" spans="2:5">
      <c r="B38" t="s">
        <v>91</v>
      </c>
      <c r="D38" s="21" t="s">
        <v>112</v>
      </c>
    </row>
    <row r="39" spans="2:5">
      <c r="B39" t="s">
        <v>4</v>
      </c>
      <c r="D39" s="21" t="s">
        <v>113</v>
      </c>
      <c r="E39" t="s">
        <v>97</v>
      </c>
    </row>
    <row r="40" spans="2:5">
      <c r="B40" t="s">
        <v>7</v>
      </c>
      <c r="D40" s="21" t="s">
        <v>113</v>
      </c>
      <c r="E40" t="s">
        <v>97</v>
      </c>
    </row>
    <row r="41" spans="2:5">
      <c r="B41" t="s">
        <v>90</v>
      </c>
      <c r="D41" s="21" t="s">
        <v>113</v>
      </c>
      <c r="E41" t="s">
        <v>97</v>
      </c>
    </row>
    <row r="42" spans="2:5">
      <c r="B42" t="s">
        <v>32</v>
      </c>
      <c r="D42" s="21" t="s">
        <v>98</v>
      </c>
      <c r="E42" t="s">
        <v>101</v>
      </c>
    </row>
    <row r="43" spans="2:5"/>
    <row r="44" spans="2:5">
      <c r="B44" s="12" t="s">
        <v>8</v>
      </c>
      <c r="C44" s="12"/>
      <c r="D44" s="12"/>
      <c r="E44" s="12"/>
    </row>
    <row r="45" spans="2:5">
      <c r="B45" t="s">
        <v>91</v>
      </c>
      <c r="D45" s="21" t="s">
        <v>98</v>
      </c>
      <c r="E45" t="s">
        <v>97</v>
      </c>
    </row>
    <row r="46" spans="2:5">
      <c r="B46" t="s">
        <v>4</v>
      </c>
      <c r="D46" s="21" t="s">
        <v>98</v>
      </c>
      <c r="E46" t="s">
        <v>97</v>
      </c>
    </row>
    <row r="47" spans="2:5">
      <c r="B47" t="s">
        <v>90</v>
      </c>
      <c r="D47" s="21" t="s">
        <v>98</v>
      </c>
      <c r="E47" t="s">
        <v>100</v>
      </c>
    </row>
    <row r="48" spans="2:5">
      <c r="B48" t="s">
        <v>32</v>
      </c>
      <c r="D48" s="21" t="s">
        <v>98</v>
      </c>
      <c r="E48" t="s">
        <v>101</v>
      </c>
    </row>
    <row r="49" spans="2:5"/>
    <row r="50" spans="2:5">
      <c r="B50" s="12" t="s">
        <v>136</v>
      </c>
      <c r="C50" s="12"/>
      <c r="D50" s="12"/>
      <c r="E50" s="12"/>
    </row>
    <row r="51" spans="2:5">
      <c r="B51" t="s">
        <v>32</v>
      </c>
      <c r="D51" s="21" t="s">
        <v>98</v>
      </c>
      <c r="E51" t="s">
        <v>101</v>
      </c>
    </row>
    <row r="52" spans="2:5">
      <c r="B52" t="s">
        <v>90</v>
      </c>
      <c r="D52" s="21" t="s">
        <v>98</v>
      </c>
      <c r="E52" t="s">
        <v>100</v>
      </c>
    </row>
    <row r="53" spans="2:5" ht="30" customHeight="1">
      <c r="B53" s="56" t="s">
        <v>93</v>
      </c>
      <c r="D53" s="65" t="s">
        <v>110</v>
      </c>
      <c r="E53" s="15" t="s">
        <v>111</v>
      </c>
    </row>
    <row r="54" spans="2:5"/>
    <row r="55" spans="2:5">
      <c r="B55" s="12" t="s">
        <v>14</v>
      </c>
      <c r="C55" s="12"/>
      <c r="D55" s="12"/>
      <c r="E55" s="12"/>
    </row>
    <row r="56" spans="2:5">
      <c r="B56" t="s">
        <v>6</v>
      </c>
      <c r="D56" s="21" t="s">
        <v>98</v>
      </c>
      <c r="E56" t="s">
        <v>97</v>
      </c>
    </row>
    <row r="57" spans="2:5">
      <c r="B57" t="s">
        <v>90</v>
      </c>
      <c r="D57" s="21" t="s">
        <v>98</v>
      </c>
      <c r="E57" t="s">
        <v>97</v>
      </c>
    </row>
    <row r="58" spans="2:5">
      <c r="B58" t="s">
        <v>89</v>
      </c>
      <c r="D58" s="21" t="s">
        <v>130</v>
      </c>
    </row>
    <row r="59" spans="2:5">
      <c r="B59" t="s">
        <v>144</v>
      </c>
      <c r="D59" s="21" t="s">
        <v>98</v>
      </c>
      <c r="E59" t="s">
        <v>101</v>
      </c>
    </row>
    <row r="60" spans="2:5"/>
    <row r="61" spans="2:5">
      <c r="B61" s="12" t="s">
        <v>131</v>
      </c>
      <c r="C61" s="12"/>
      <c r="D61" s="12"/>
      <c r="E61" s="12"/>
    </row>
    <row r="62" spans="2:5">
      <c r="B62" s="20" t="s">
        <v>15</v>
      </c>
      <c r="D62" s="21" t="s">
        <v>98</v>
      </c>
      <c r="E62" t="s">
        <v>97</v>
      </c>
    </row>
    <row r="63" spans="2:5">
      <c r="B63" s="3" t="s">
        <v>94</v>
      </c>
      <c r="D63" s="21" t="s">
        <v>98</v>
      </c>
      <c r="E63" t="s">
        <v>97</v>
      </c>
    </row>
    <row r="64" spans="2:5">
      <c r="B64" t="s">
        <v>95</v>
      </c>
      <c r="D64" s="21" t="s">
        <v>98</v>
      </c>
      <c r="E64" t="s">
        <v>97</v>
      </c>
    </row>
    <row r="65" spans="2:5">
      <c r="B65" t="s">
        <v>96</v>
      </c>
      <c r="D65" s="21" t="s">
        <v>98</v>
      </c>
      <c r="E65" t="s">
        <v>97</v>
      </c>
    </row>
    <row r="66" spans="2:5"/>
    <row r="67" spans="2:5"/>
    <row r="68" spans="2:5"/>
    <row r="69" spans="2:5"/>
    <row r="70" spans="2:5"/>
    <row r="71" spans="2:5"/>
    <row r="72" spans="2:5"/>
    <row r="73" spans="2:5"/>
    <row r="74" spans="2:5"/>
  </sheetData>
  <hyperlinks>
    <hyperlink ref="D17" r:id="rId1" display="https://ri.raizen.com.br/informacoes-financeiras/central-de-resultados/" xr:uid="{23CBFFE2-B338-458D-B87A-6EFBAF790FAD}"/>
    <hyperlink ref="D26" r:id="rId2" display="https://ri.rumolog.com/informacoes-financeiras/central-de-resultados/" xr:uid="{4F610486-254A-4BF9-A287-14B85C04F3B7}"/>
    <hyperlink ref="D34" r:id="rId3" display="https://www.vale.com/pt/comunicados-resultados-apresentacoes-e-relatorios" xr:uid="{B8FECFBC-4C59-4C1F-BE50-648F672FD4ED}"/>
    <hyperlink ref="D40" r:id="rId4" display="https://www.compassbr.com/divulgacao-de-resultados/central-de-resultados/" xr:uid="{866CC1C0-1FB1-40F6-9BD7-32C6A399031C}"/>
    <hyperlink ref="D41" r:id="rId5" display="https://www.compassbr.com/divulgacao-de-resultados/central-de-resultados/" xr:uid="{2A1D9159-12CF-4BD2-9978-54BE0221CF07}"/>
    <hyperlink ref="D53" r:id="rId6" xr:uid="{73C723CD-5834-4C2F-94B3-85A6A4474BCC}"/>
    <hyperlink ref="D33" r:id="rId7" xr:uid="{BB84CA13-EC8B-400E-8E1D-A32765F46A1A}"/>
  </hyperlinks>
  <pageMargins left="0.7" right="0.7" top="0.75" bottom="0.75" header="0.3" footer="0.3"/>
  <pageSetup orientation="portrait" r:id="rId8"/>
  <ignoredErrors>
    <ignoredError sqref="B62" numberStoredAsText="1"/>
  </ignoredErrors>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11" sqref="K11"/>
    </sheetView>
  </sheetViews>
  <sheetFormatPr defaultRowHeight="15"/>
  <cols>
    <col min="1" max="1" width="32.28515625" bestFit="1" customWidth="1"/>
    <col min="3" max="3" width="20.7109375" bestFit="1" customWidth="1"/>
    <col min="5" max="5" width="8.5703125" bestFit="1" customWidth="1"/>
    <col min="7" max="7" width="11" bestFit="1" customWidth="1"/>
    <col min="9" max="9" width="12.7109375" bestFit="1" customWidth="1"/>
    <col min="11" max="11" width="33" bestFit="1" customWidth="1"/>
    <col min="12" max="12" width="37.85546875" style="7" customWidth="1"/>
    <col min="13" max="13" width="9" bestFit="1" customWidth="1"/>
  </cols>
  <sheetData>
    <row r="1" spans="1:14">
      <c r="A1" t="s">
        <v>79</v>
      </c>
      <c r="C1" t="s">
        <v>32</v>
      </c>
      <c r="E1" t="s">
        <v>80</v>
      </c>
      <c r="G1" t="s">
        <v>32</v>
      </c>
      <c r="I1" t="s">
        <v>81</v>
      </c>
      <c r="K1" s="38" t="s">
        <v>17</v>
      </c>
      <c r="L1" s="18" t="s">
        <v>16</v>
      </c>
      <c r="M1" s="35" t="s">
        <v>16</v>
      </c>
    </row>
    <row r="2" spans="1:14">
      <c r="A2" t="s">
        <v>78</v>
      </c>
      <c r="C2" t="s">
        <v>134</v>
      </c>
      <c r="E2" t="s">
        <v>5</v>
      </c>
      <c r="G2" t="s">
        <v>5</v>
      </c>
      <c r="I2" t="s">
        <v>5</v>
      </c>
      <c r="K2" s="38" t="str">
        <f>'Guide - SOTP Indicative Model'!C13</f>
        <v>Raízen</v>
      </c>
      <c r="L2" s="37" t="s">
        <v>0</v>
      </c>
      <c r="M2" s="34">
        <f>'Guide - SOTP Indicative Model'!H13</f>
        <v>13399266020.623966</v>
      </c>
    </row>
    <row r="3" spans="1:14">
      <c r="A3" t="s">
        <v>9</v>
      </c>
      <c r="C3" t="s">
        <v>9</v>
      </c>
      <c r="K3" s="38" t="str">
        <f>'Guide - SOTP Indicative Model'!C14</f>
        <v>Rumo</v>
      </c>
      <c r="L3" s="37" t="s">
        <v>1</v>
      </c>
      <c r="M3" s="34">
        <f>'Guide - SOTP Indicative Model'!H14</f>
        <v>11655611032.799999</v>
      </c>
    </row>
    <row r="4" spans="1:14">
      <c r="K4" s="38" t="str">
        <f>'Guide - SOTP Indicative Model'!C16</f>
        <v>Compass</v>
      </c>
      <c r="L4" s="37" t="s">
        <v>3</v>
      </c>
      <c r="M4" s="34">
        <f>'Guide - SOTP Indicative Model'!H16</f>
        <v>-6052708875.6023998</v>
      </c>
    </row>
    <row r="5" spans="1:14">
      <c r="K5" s="38" t="str">
        <f>'Guide - SOTP Indicative Model'!C17</f>
        <v>Moove</v>
      </c>
      <c r="L5" s="37" t="s">
        <v>8</v>
      </c>
      <c r="M5" s="34">
        <f>'Guide - SOTP Indicative Model'!H17</f>
        <v>-1730381575.3699999</v>
      </c>
    </row>
    <row r="6" spans="1:14">
      <c r="K6" s="38" t="str">
        <f>'Guide - SOTP Indicative Model'!C18</f>
        <v>Radar</v>
      </c>
      <c r="L6" s="37" t="s">
        <v>136</v>
      </c>
      <c r="M6" s="34">
        <f>'Guide - SOTP Indicative Model'!H18</f>
        <v>3789020000</v>
      </c>
    </row>
    <row r="7" spans="1:14">
      <c r="A7" t="s">
        <v>79</v>
      </c>
      <c r="C7" t="s">
        <v>32</v>
      </c>
      <c r="K7" s="38" t="str">
        <f>'Guide - SOTP Indicative Model'!C15</f>
        <v>Vale</v>
      </c>
      <c r="L7" s="37" t="s">
        <v>2</v>
      </c>
      <c r="M7" s="34">
        <f>'Guide - SOTP Indicative Model'!H15</f>
        <v>10645371165.322657</v>
      </c>
    </row>
    <row r="8" spans="1:14" ht="25.5">
      <c r="A8" t="s">
        <v>11</v>
      </c>
      <c r="C8" t="s">
        <v>134</v>
      </c>
      <c r="K8" s="38" t="str">
        <f>'Guide - SOTP Indicative Model'!C23</f>
        <v>G&amp;A and Other Investments</v>
      </c>
      <c r="L8" s="37" t="s">
        <v>142</v>
      </c>
      <c r="M8" s="34">
        <f>'Guide - SOTP Indicative Model'!H23</f>
        <v>-3809401249</v>
      </c>
    </row>
    <row r="9" spans="1:14" ht="25.5">
      <c r="C9" t="s">
        <v>11</v>
      </c>
      <c r="K9" s="38" t="str">
        <f>'Guide - SOTP Indicative Model'!C24</f>
        <v>Net Debt (Corporate)</v>
      </c>
      <c r="L9" s="37" t="s">
        <v>132</v>
      </c>
      <c r="M9" s="34">
        <f>'Guide - SOTP Indicative Model'!H24</f>
        <v>-21329245892.900002</v>
      </c>
    </row>
    <row r="10" spans="1:14" ht="38.25">
      <c r="K10" s="38" t="str">
        <f>'Guide - SOTP Indicative Model'!C28</f>
        <v>Preferred shares updated redemption value²</v>
      </c>
      <c r="L10" s="37" t="s">
        <v>143</v>
      </c>
      <c r="M10" s="34">
        <f>'Guide - SOTP Indicative Model'!H28</f>
        <v>-8196999999.999999</v>
      </c>
    </row>
    <row r="11" spans="1:14">
      <c r="K11" s="38" t="str">
        <f>'Guide - SOTP Indicative Model'!C36</f>
        <v>Holding Discount (l = j-k)</v>
      </c>
      <c r="L11" s="37" t="s">
        <v>133</v>
      </c>
      <c r="M11" s="34">
        <f>'Guide - SOTP Indicative Model'!H36</f>
        <v>26821475902.405781</v>
      </c>
    </row>
    <row r="12" spans="1:14">
      <c r="K12" s="38" t="str">
        <f>'Guide - SOTP Indicative Model'!C33</f>
        <v>CSAN3 Market Value</v>
      </c>
      <c r="L12" s="37" t="s">
        <v>82</v>
      </c>
      <c r="M12" s="34">
        <f>'Guide - SOTP Indicative Model'!H33</f>
        <v>25192006528.279999</v>
      </c>
      <c r="N12" s="34"/>
    </row>
    <row r="13" spans="1:14">
      <c r="N13" s="34"/>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2.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3.xml><?xml version="1.0" encoding="utf-8"?>
<ds:datastoreItem xmlns:ds="http://schemas.openxmlformats.org/officeDocument/2006/customXml" ds:itemID="{F66E77F1-C15F-4C28-B09C-EB548465E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Helena  Fukuda</cp:lastModifiedBy>
  <dcterms:created xsi:type="dcterms:W3CDTF">2023-06-09T13:37:20Z</dcterms:created>
  <dcterms:modified xsi:type="dcterms:W3CDTF">2024-08-14T21:11:32Z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