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1T25/SOP/"/>
    </mc:Choice>
  </mc:AlternateContent>
  <xr:revisionPtr revIDLastSave="35" documentId="8_{75076345-5313-43D9-8E27-99927D1F0E33}" xr6:coauthVersionLast="47" xr6:coauthVersionMax="47" xr10:uidLastSave="{C27A6F3E-2D1F-4C3F-9983-3BAC6AD73E9E}"/>
  <bookViews>
    <workbookView xWindow="-28910" yWindow="-7070" windowWidth="29020" windowHeight="15700" firstSheet="1" activeTab="1" xr2:uid="{6A3D670A-5D9B-437A-A5E6-5095F69CC653}"/>
  </bookViews>
  <sheets>
    <sheet name="Capa" sheetId="15" r:id="rId1"/>
    <sheet name="Guia e Premissas" sheetId="11" r:id="rId2"/>
    <sheet name="Modelo indicativo da SOTP" sheetId="4" r:id="rId3"/>
    <sheet name="Others" sheetId="9" state="hidden" r:id="rId4"/>
    <sheet name="Fontes" sheetId="13" r:id="rId5"/>
  </sheets>
  <externalReferences>
    <externalReference r:id="rId6"/>
  </externalReference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calcMode="manual"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4" l="1"/>
  <c r="H36" i="4"/>
  <c r="H22" i="4" a="1"/>
  <c r="H22" i="4"/>
  <c r="H23" i="4" a="1"/>
  <c r="H23" i="4"/>
  <c r="AB19" i="11"/>
  <c r="AA19" i="11"/>
  <c r="Z19" i="11"/>
  <c r="Y19" i="11"/>
  <c r="X19" i="11"/>
  <c r="W19" i="11"/>
  <c r="V19" i="11"/>
  <c r="U19" i="11"/>
  <c r="T19" i="11"/>
  <c r="S19" i="11"/>
  <c r="K10" i="9"/>
  <c r="H17" i="4" a="1"/>
  <c r="H17" i="4"/>
  <c r="G17" i="4"/>
  <c r="H16" i="4" a="1"/>
  <c r="H16" i="4"/>
  <c r="G16" i="4"/>
  <c r="H15" i="4" a="1"/>
  <c r="H15" i="4"/>
  <c r="G15" i="4"/>
  <c r="K11" i="9"/>
  <c r="K9" i="9"/>
  <c r="K8" i="9"/>
  <c r="K7" i="9"/>
  <c r="K6" i="9"/>
  <c r="K5" i="9"/>
  <c r="K4" i="9"/>
  <c r="K3" i="9"/>
  <c r="K2" i="9"/>
  <c r="H27" i="4" a="1"/>
  <c r="H27" i="4"/>
  <c r="H32" i="4"/>
  <c r="M11" i="9"/>
  <c r="M9" i="9"/>
  <c r="M8" i="9"/>
  <c r="M7" i="9"/>
  <c r="M4" i="9"/>
  <c r="M5" i="9"/>
  <c r="M6" i="9"/>
  <c r="H34" i="4"/>
  <c r="H14" i="4" a="1"/>
  <c r="H14" i="4"/>
  <c r="G14" i="4"/>
  <c r="M3" i="9"/>
  <c r="H13" i="4" a="1"/>
  <c r="H13" i="4"/>
  <c r="G13" i="4"/>
  <c r="M2" i="9"/>
  <c r="H35" i="4"/>
  <c r="M10" i="9"/>
  <c r="H33"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<sst xmlns="http://schemas.openxmlformats.org/spreadsheetml/2006/main" count="267" uniqueCount="157">
  <si>
    <t>Raízen</t>
  </si>
  <si>
    <t>Rumo</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</si>
  <si>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</si>
  <si>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</si>
  <si>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</si>
  <si>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</si>
  <si>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</si>
  <si>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</si>
  <si>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</si>
  <si>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</si>
  <si>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</si>
  <si>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</si>
  <si>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</si>
  <si>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</si>
  <si>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</si>
  <si>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</si>
  <si>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</si>
  <si>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</si>
  <si>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</si>
  <si>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</si>
  <si>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</si>
  <si>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</si>
  <si>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</si>
  <si>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</si>
  <si>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</si>
  <si>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</si>
  <si>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</si>
  <si>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</si>
  <si>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</si>
  <si>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</si>
  <si>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</si>
  <si>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</si>
  <si>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</si>
  <si>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</si>
  <si>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</si>
  <si>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</si>
  <si>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</si>
  <si>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</si>
  <si>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</si>
  <si>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</si>
  <si>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</si>
  <si>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</si>
  <si>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</si>
  <si>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</si>
  <si>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</si>
  <si>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</si>
  <si>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</si>
  <si>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</si>
  <si>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</si>
  <si>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</si>
  <si>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</si>
  <si>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</si>
  <si>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</si>
  <si>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</si>
  <si>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</si>
  <si>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</si>
  <si>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</si>
  <si>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</si>
  <si>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</si>
  <si>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</si>
  <si>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</si>
  <si>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</si>
  <si>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</si>
  <si>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</si>
  <si>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</si>
  <si>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</si>
  <si>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</si>
  <si>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</si>
  <si>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</si>
  <si>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</si>
  <si>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</si>
  <si>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(e)</t>
  </si>
  <si>
    <t>(f)</t>
  </si>
  <si>
    <t>(g)</t>
  </si>
  <si>
    <t>(h)</t>
  </si>
  <si>
    <t>(i)</t>
  </si>
  <si>
    <t>(j)</t>
  </si>
  <si>
    <t>(k)</t>
  </si>
  <si>
    <t>(l)</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</si>
  <si>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</si>
  <si>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</si>
  <si>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</si>
  <si>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</si>
  <si>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</si>
  <si>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</si>
  <si>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</si>
  <si>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</si>
  <si>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</si>
  <si>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</si>
  <si>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</si>
  <si>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</si>
  <si>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</si>
  <si>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</si>
  <si>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</si>
  <si>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</si>
  <si>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</si>
  <si>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</si>
  <si>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</si>
  <si>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</si>
  <si>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</si>
  <si>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</si>
  <si>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</si>
  <si>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</si>
  <si>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</si>
  <si>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</si>
  <si>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</si>
  <si>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</si>
  <si>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</si>
  <si>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Bloomberg</t>
  </si>
  <si>
    <t>https://ri.rumolog.com/divulgacoes-e-documentos/avisos-comunicados-e-fatos-relevantes/</t>
  </si>
  <si>
    <t>Equity Value</t>
  </si>
  <si>
    <t>Radar²</t>
  </si>
  <si>
    <t>Radar</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</si>
  <si>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</si>
  <si>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</si>
  <si>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</si>
  <si>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</si>
  <si>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</si>
  <si>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</si>
  <si>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</si>
  <si>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</si>
  <si>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</si>
  <si>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</si>
  <si>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</si>
  <si>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</si>
  <si>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</si>
  <si>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</si>
  <si>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</si>
  <si>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</si>
  <si>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</si>
  <si>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</si>
  <si>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</si>
  <si>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</si>
  <si>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</si>
  <si>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</si>
  <si>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</si>
  <si>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t>Compass³</t>
  </si>
  <si>
    <t>Moove³</t>
  </si>
  <si>
    <t>Nota 3: Para utilização do método de valuation de equity value e EV/EBITDA na Compass e na Moove, preencher as premissas "Múltiplo
EV/EBITDA" e "Equity Value (@100%)" na aba "Guia e Premissas"</t>
  </si>
  <si>
    <t>Fato Relevante - Atualização Guidance 2024 - 20/02/25</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</si>
  <si>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4T24  </t>
    </r>
    <r>
      <rPr>
        <i/>
        <sz val="9"/>
        <color rgb="FF808080"/>
        <rFont val="Calibri"/>
        <family val="2"/>
        <scheme val="minor"/>
      </rPr>
      <t>e na nota explicativa 5.12 Gestão de Risco Financeiro das Demonstrações Financeiras de 10 de março de 2025</t>
    </r>
  </si>
  <si>
    <t>Nota 1: Para Rumo e Compass - utilizado EBITDA Guidance quando valuation por "EV/EBITDA Guidance"</t>
  </si>
  <si>
    <t>https://api.mziq.com/mzfilemanager/v2/d/c016735f-1711-48ce-919f-a8c701b83c19/ee87fcd2-ed0a-ab8c-0c4c-b4a3198661c5?origin=1</t>
  </si>
  <si>
    <t>https://api.mziq.com/mzfilemanager/v2/d/003f6029-d45a-44ac-9c9e-869fe5df83fc/8f9492e4-9e11-fdf8-68a9-d29ecfe692b3?origin=1</t>
  </si>
  <si>
    <t>RAÍZEN</t>
  </si>
  <si>
    <t>RUMO</t>
  </si>
  <si>
    <t>31/03/2025 - exceto quando indicado de outra forma</t>
  </si>
  <si>
    <t>Ações tesoraria Março 2025</t>
  </si>
  <si>
    <t>Total de ações ex-tesouraria 31/03/2024
(bi)</t>
  </si>
  <si>
    <t>Outros Investimentos - Book Value 31/12/2023
(R$ bi)</t>
  </si>
  <si>
    <t>Guia de modelagem</t>
  </si>
  <si>
    <t>https://api.mziq.com/mzfilemanager/v2/d/6aa68515-2422-4cc4-bafa-8870ccdfedb0/ea2b64a3-01e4-c1dc-2e90-f49fded25c26?origin=2</t>
  </si>
  <si>
    <t>(c)</t>
  </si>
  <si>
    <r>
      <t xml:space="preserve">Soma das Partes - SOTP </t>
    </r>
    <r>
      <rPr>
        <b/>
        <sz val="10"/>
        <color rgb="FFFF0000"/>
        <rFont val="Calibri"/>
        <family val="2"/>
        <scheme val="minor"/>
      </rPr>
      <t>(j = a+b+c+d+e-f-g-h)</t>
    </r>
  </si>
  <si>
    <r>
      <t xml:space="preserve">Desconto de holding </t>
    </r>
    <r>
      <rPr>
        <b/>
        <sz val="10"/>
        <color rgb="FFFF0000"/>
        <rFont val="Calibri"/>
        <family val="2"/>
        <scheme val="minor"/>
      </rPr>
      <t>(k = j-i)</t>
    </r>
  </si>
  <si>
    <r>
      <t xml:space="preserve">Desconto de holding (%) </t>
    </r>
    <r>
      <rPr>
        <b/>
        <sz val="10"/>
        <color rgb="FFFF0000"/>
        <rFont val="Calibri"/>
        <family val="2"/>
        <scheme val="minor"/>
      </rPr>
      <t>(m=j/i-1)</t>
    </r>
  </si>
  <si>
    <t>Dívida Líquida (Corporativo)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</si>
</sst>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7">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26" fillId="0" borderId="0" xfId="32182" applyFill="1"/>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2" fontId="115"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3" fontId="0" fillId="0" borderId="0" xfId="0" applyNumberFormat="1"/>
    <xf numFmtId="14" fontId="0" fillId="0" borderId="2" xfId="0" applyNumberFormat="1" applyBorder="1" applyAlignment="1">
      <alignment horizontal="center" vertical="center"/>
    </xf>
    <xf numFmtId="0" fontId="116" fillId="0" borderId="0" xfId="0" applyFont="1" applyAlignment="1">
      <alignment horizontal="left" vertical="center"/>
    </xf>
    <xf numFmtId="190" fontId="2" fillId="4" borderId="0" xfId="1" applyNumberFormat="1" applyFont="1" applyFill="1" applyAlignment="1" applyProtection="1">
      <alignment horizontal="center" vertical="center"/>
      <protection locked="0"/>
    </xf>
    <xf numFmtId="190" fontId="115" fillId="4" borderId="0" xfId="1" applyNumberFormat="1" applyFont="1" applyFill="1" applyAlignment="1" applyProtection="1">
      <alignment horizontal="center" vertical="center"/>
      <protection locked="0"/>
    </xf>
    <xf numFmtId="15" fontId="23" fillId="74" borderId="0" xfId="0" applyNumberFormat="1" applyFont="1" applyFill="1" applyAlignment="1">
      <alignment horizontal="center" vertical="center" wrapText="1"/>
    </xf>
    <xf numFmtId="0" fontId="0" fillId="0" borderId="0" xfId="0" applyAlignment="1">
      <alignment horizontal="left" vertical="center"/>
    </xf>
    <xf numFmtId="2" fontId="115" fillId="0" borderId="0" xfId="1" applyNumberFormat="1" applyFont="1" applyAlignment="1">
      <alignment horizontal="center" vertical="center"/>
    </xf>
    <xf numFmtId="17" fontId="0" fillId="0" borderId="0" xfId="0" applyNumberFormat="1"/>
    <xf numFmtId="164" fontId="115" fillId="0" borderId="0" xfId="10" applyNumberFormat="1" applyFont="1" applyFill="1" applyAlignment="1">
      <alignment horizontal="center" vertical="center"/>
    </xf>
    <xf numFmtId="2" fontId="115" fillId="0" borderId="0" xfId="1" applyNumberFormat="1" applyFont="1" applyFill="1" applyAlignment="1">
      <alignment horizontal="center" vertical="center"/>
    </xf>
    <xf numFmtId="0" fontId="116" fillId="0" borderId="0" xfId="0" applyFont="1" applyAlignment="1">
      <alignment horizontal="left" vertical="center" wrapText="1"/>
    </xf>
    <xf numFmtId="0" fontId="26" fillId="0" borderId="0" xfId="32182" applyFill="1" applyAlignment="1">
      <alignment vertical="center" wrapText="1"/>
    </xf>
    <xf numFmtId="2" fontId="115" fillId="4" borderId="0" xfId="1" applyNumberFormat="1" applyFont="1" applyFill="1" applyAlignment="1" applyProtection="1">
      <alignment horizontal="center" vertical="center"/>
      <protection locked="0"/>
    </xf>
    <xf numFmtId="2" fontId="2" fillId="4" borderId="0" xfId="1" applyNumberFormat="1" applyFont="1" applyFill="1" applyAlignment="1" applyProtection="1">
      <alignment horizontal="center" vertical="center"/>
      <protection locked="0"/>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D7E8D2"/>
      <color rgb="FF808080"/>
      <color rgb="FFA19E8F"/>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A19E8F"/>
              </a:solidFill>
            </cx:spPr>
          </cx:dataPt>
          <cx:dataPt idx="11">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8.05</a:t>
                  </a:r>
                </a:p>
              </cx:txPr>
              <cx:visibility seriesName="0" categoryName="0" value="1"/>
              <cx:separator>, </cx:separator>
            </cx:dataLabel>
            <cx:dataLabel idx="10"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9"/>
              <cx:idx val="10"/>
              <cx:idx val="11"/>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650496" cy="14805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105623" cy="610946"/>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1657"/>
              <a:ext cx="12494559" cy="66335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56702" y="156882"/>
          <a:ext cx="2082892" cy="605558"/>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25822" y="134470"/>
          <a:ext cx="2082892" cy="611285"/>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haticloud.sharepoint.com/sites/RI681/Documentos%20Compartilhados/General/Divulga&#231;&#227;o%20de%20Resultados/2024/4T24/PPS/PPS%20Cosan%204T24%20PT.xlsm" TargetMode="External"/><Relationship Id="rId1" Type="http://schemas.openxmlformats.org/officeDocument/2006/relationships/externalLinkPath" Target="/sites/RI681/Documentos%20Compartilhados/General/Divulga&#231;&#227;o%20de%20Resultados/2024/4T24/PPS/PPS%20Cosan%204T24%20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PROFORMA"/>
      <sheetName val="COSAN SA - IFRS"/>
      <sheetName val="RAÍZEN"/>
      <sheetName val="COMPASS"/>
      <sheetName val="RUMO"/>
      <sheetName val="MOOVE"/>
      <sheetName val="RADAR"/>
      <sheetName val="COSAN OITO"/>
      <sheetName val="COSAN NOVE"/>
      <sheetName val="COSAN DEZ"/>
      <sheetName val="NOVO CORPORATIVO"/>
      <sheetName val="ENDIVIDAMENTO POR NEGÓCIO"/>
      <sheetName val="EMPRÉSTIMOS E FINANCIAMENTOS"/>
      <sheetName val="DFC POR NEGÓCIO"/>
      <sheetName val="DIVIDENDOS E JCP"/>
    </sheetNames>
    <sheetDataSet>
      <sheetData sheetId="0"/>
      <sheetData sheetId="1"/>
      <sheetData sheetId="2">
        <row r="123">
          <cell r="V123">
            <v>3674.2</v>
          </cell>
        </row>
      </sheetData>
      <sheetData sheetId="3">
        <row r="41">
          <cell r="S41">
            <v>893.26845278999883</v>
          </cell>
        </row>
      </sheetData>
      <sheetData sheetId="4">
        <row r="40">
          <cell r="S40">
            <v>1688.8604900799999</v>
          </cell>
        </row>
        <row r="49">
          <cell r="Q49">
            <v>676.90425167999274</v>
          </cell>
          <cell r="R49">
            <v>841.41639548999592</v>
          </cell>
          <cell r="S49">
            <v>935.06278683000164</v>
          </cell>
          <cell r="T49">
            <v>955.98021915000027</v>
          </cell>
        </row>
      </sheetData>
      <sheetData sheetId="5">
        <row r="35">
          <cell r="AU35">
            <v>341.08711830000044</v>
          </cell>
        </row>
      </sheetData>
      <sheetData sheetId="6">
        <row r="26">
          <cell r="L26">
            <v>136.03339012999999</v>
          </cell>
        </row>
      </sheetData>
      <sheetData sheetId="7"/>
      <sheetData sheetId="8"/>
      <sheetData sheetId="9"/>
      <sheetData sheetId="10">
        <row r="8">
          <cell r="S8">
            <v>-105.05094541</v>
          </cell>
        </row>
      </sheetData>
      <sheetData sheetId="11"/>
      <sheetData sheetId="12">
        <row r="18">
          <cell r="E18">
            <v>8142.0890528499967</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ri.rumolog.com/informacoes-financeiras/central-de-resultados/" TargetMode="External"/><Relationship Id="rId13" Type="http://schemas.openxmlformats.org/officeDocument/2006/relationships/hyperlink" Target="https://www.cosan.com.br/informacoes-financeiras/central-de-resultados/"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ri.rumolog.com/divulgacoes-e-documentos/avisos-comunicados-e-fatos-relevante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informacoes-financeiras/central-de-resultados/" TargetMode="External"/><Relationship Id="rId7" Type="http://schemas.openxmlformats.org/officeDocument/2006/relationships/hyperlink" Target="https://ri.rumolog.com/informacoes-financeiras/central-de-resultados/" TargetMode="External"/><Relationship Id="rId12" Type="http://schemas.openxmlformats.org/officeDocument/2006/relationships/hyperlink" Target="https://www.compassbr.com/divulgacao-de-resultados/central-de-resultados/" TargetMode="External"/><Relationship Id="rId17" Type="http://schemas.openxmlformats.org/officeDocument/2006/relationships/hyperlink" Target="https://www.cosan.com.br/sobre-a-cosan/composicao-acionaria/" TargetMode="External"/><Relationship Id="rId25"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san.com.br/informacoes-financeira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api.mziq.com/mzfilemanager/v2/d/003f6029-d45a-44ac-9c9e-869fe5df83fc/8f9492e4-9e11-fdf8-68a9-d29ecfe692b3?origin=1"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compassbr.com/divulgacao-de-resultados/central-de-resultad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drawing" Target="../drawings/drawing4.xml"/><Relationship Id="rId5" Type="http://schemas.openxmlformats.org/officeDocument/2006/relationships/hyperlink" Target="https://ri.rumolog.com/governanca-corporativa/composicao-acionaria/" TargetMode="External"/><Relationship Id="rId15" Type="http://schemas.openxmlformats.org/officeDocument/2006/relationships/hyperlink" Target="https://www.cosan.com.br/informacoes-financeira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10" Type="http://schemas.openxmlformats.org/officeDocument/2006/relationships/hyperlink" Target="https://www.compassbr.com/divulgacao-de-resultados/central-de-resultados/"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printerSettings" Target="../printerSettings/printerSettings3.bin"/><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www.compassbr.com/governanca-corporativa/composicao-acionaria/" TargetMode="External"/><Relationship Id="rId14" Type="http://schemas.openxmlformats.org/officeDocument/2006/relationships/hyperlink" Target="https://www.cosan.com.br/informacoes-financeira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api.mziq.com/mzfilemanager/v2/d/c016735f-1711-48ce-919f-a8c701b83c19/ee87fcd2-ed0a-ab8c-0c4c-b4a3198661c5?origin=1" TargetMode="External"/><Relationship Id="rId30" Type="http://schemas.openxmlformats.org/officeDocument/2006/relationships/hyperlink" Target="https://api.mziq.com/mzfilemanager/v2/d/6aa68515-2422-4cc4-bafa-8870ccdfedb0/ea2b64a3-01e4-c1dc-2e90-f49fded25c26?origin=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zoomScaleNormal="100" workbookViewId="0">
      <selection activeCell="A24" sqref="A24"/>
    </sheetView>
  </sheetViews>
  <sheetFormatPr defaultRowHeight="14.5"/>
  <cols>
    <col min="1" max="1" width="149.26953125" customWidth="1"/>
  </cols>
  <sheetData>
    <row r="9" spans="1:3">
      <c r="A9" s="32"/>
      <c r="B9" s="32"/>
      <c r="C9" s="32"/>
    </row>
    <row r="10" spans="1:3">
      <c r="A10" s="57" t="s">
        <v>79</v>
      </c>
      <c r="B10" s="32"/>
      <c r="C10" s="32"/>
    </row>
    <row r="11" spans="1:3" ht="30" customHeight="1">
      <c r="A11" s="73" t="s">
        <v>122</v>
      </c>
      <c r="B11" s="73"/>
      <c r="C11" s="73"/>
    </row>
    <row r="12" spans="1:3">
      <c r="A12" s="55"/>
      <c r="B12" s="56"/>
      <c r="C12" s="56"/>
    </row>
    <row r="13" spans="1:3" ht="45" customHeight="1">
      <c r="A13" s="73" t="s">
        <v>55</v>
      </c>
      <c r="B13" s="73"/>
      <c r="C13" s="73"/>
    </row>
    <row r="14" spans="1:3">
      <c r="A14" s="55"/>
      <c r="B14" s="56"/>
      <c r="C14" s="56"/>
    </row>
    <row r="15" spans="1:3" ht="75" customHeight="1">
      <c r="A15" s="73" t="s">
        <v>56</v>
      </c>
      <c r="B15" s="73"/>
      <c r="C15" s="73"/>
    </row>
    <row r="16" spans="1:3">
      <c r="A16" s="55"/>
      <c r="B16" s="56"/>
      <c r="C16" s="56"/>
    </row>
    <row r="17" spans="1:3" ht="45" customHeight="1">
      <c r="A17" s="73" t="s">
        <v>80</v>
      </c>
      <c r="B17" s="73"/>
      <c r="C17" s="73"/>
    </row>
    <row r="18" spans="1:3">
      <c r="A18" s="55"/>
      <c r="B18" s="56"/>
      <c r="C18" s="56"/>
    </row>
    <row r="19" spans="1:3" ht="31.5" customHeight="1">
      <c r="A19" s="73" t="s">
        <v>57</v>
      </c>
      <c r="B19" s="73"/>
      <c r="C19" s="73"/>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C1" zoomScale="88" zoomScaleNormal="88" workbookViewId="0">
      <pane ySplit="7" topLeftCell="A11" activePane="bottomLeft" state="frozen"/>
      <selection pane="bottomLeft" activeCell="R18" sqref="R18"/>
    </sheetView>
  </sheetViews>
  <sheetFormatPr defaultColWidth="8.7265625" defaultRowHeight="14.5" zeroHeight="1"/>
  <cols>
    <col min="1" max="1" width="8.7265625" customWidth="1"/>
    <col min="2" max="2" width="119.7265625" customWidth="1"/>
    <col min="3" max="3" width="8.7265625" customWidth="1"/>
    <col min="4" max="4" width="29.26953125" bestFit="1" customWidth="1"/>
    <col min="5" max="5" width="20.7265625" customWidth="1"/>
    <col min="6" max="6" width="18.54296875" bestFit="1" customWidth="1"/>
    <col min="7" max="7" width="21.81640625" bestFit="1" customWidth="1"/>
    <col min="8" max="11" width="15.7265625" customWidth="1"/>
    <col min="12" max="13" width="19.453125" bestFit="1" customWidth="1"/>
    <col min="14" max="17" width="15.7265625" customWidth="1"/>
    <col min="18" max="18" width="8.7265625" customWidth="1"/>
    <col min="19" max="21" width="8.7265625" hidden="1" customWidth="1"/>
    <col min="22" max="28" width="0" hidden="1" customWidth="1"/>
    <col min="29" max="29" width="13" customWidth="1"/>
    <col min="30" max="30" width="14.453125" bestFit="1" customWidth="1"/>
    <col min="37" max="37" width="11.81640625" bestFit="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3"/>
      <c r="B6" s="33" t="s">
        <v>23</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5" t="s">
        <v>24</v>
      </c>
      <c r="D9" s="35" t="s">
        <v>12</v>
      </c>
      <c r="E9" s="35"/>
      <c r="F9" s="35"/>
      <c r="G9" s="35"/>
      <c r="H9" s="35"/>
      <c r="I9" s="35"/>
      <c r="J9" s="35"/>
      <c r="K9" s="35"/>
      <c r="L9" s="35"/>
      <c r="M9" s="35"/>
      <c r="N9" s="35"/>
      <c r="O9" s="35"/>
      <c r="P9" s="35"/>
      <c r="Q9" s="35"/>
    </row>
    <row r="10" spans="1:18"/>
    <row r="11" spans="1:18">
      <c r="B11" s="14" t="s">
        <v>25</v>
      </c>
      <c r="D11" s="19" t="s">
        <v>27</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51</v>
      </c>
      <c r="D13" s="74" t="s">
        <v>28</v>
      </c>
      <c r="E13" s="74"/>
      <c r="F13" s="74"/>
      <c r="G13" s="74"/>
      <c r="H13" s="74"/>
      <c r="I13" s="74"/>
      <c r="J13" s="74"/>
      <c r="K13" s="74"/>
      <c r="L13" s="74"/>
      <c r="M13" s="74"/>
      <c r="N13" s="74"/>
      <c r="O13" s="74"/>
      <c r="P13" s="74"/>
      <c r="Q13" s="74"/>
    </row>
    <row r="14" spans="1:18">
      <c r="B14" s="7"/>
      <c r="L14" s="58"/>
    </row>
    <row r="15" spans="1:18">
      <c r="B15" s="14" t="s">
        <v>85</v>
      </c>
      <c r="D15" s="19" t="s">
        <v>29</v>
      </c>
      <c r="E15" s="59">
        <v>45790</v>
      </c>
      <c r="G15" s="19" t="s">
        <v>114</v>
      </c>
      <c r="H15" s="53" t="s">
        <v>146</v>
      </c>
      <c r="I15" s="54"/>
      <c r="J15" s="54"/>
      <c r="K15" s="58"/>
    </row>
    <row r="16" spans="1:18">
      <c r="B16" s="7"/>
      <c r="O16" s="66"/>
    </row>
    <row r="17" spans="2:28" ht="45" customHeight="1">
      <c r="B17" s="15" t="s">
        <v>97</v>
      </c>
      <c r="D17" s="12" t="s">
        <v>132</v>
      </c>
      <c r="E17" s="12" t="s">
        <v>30</v>
      </c>
      <c r="F17" s="12" t="s">
        <v>126</v>
      </c>
      <c r="G17" s="12" t="s">
        <v>134</v>
      </c>
      <c r="H17" s="12" t="s">
        <v>135</v>
      </c>
      <c r="I17" s="12" t="s">
        <v>121</v>
      </c>
      <c r="J17" s="12" t="s">
        <v>64</v>
      </c>
      <c r="K17" s="12" t="s">
        <v>98</v>
      </c>
      <c r="L17" s="12" t="s">
        <v>127</v>
      </c>
      <c r="M17" s="12" t="s">
        <v>128</v>
      </c>
      <c r="N17" s="12" t="s">
        <v>129</v>
      </c>
      <c r="O17" s="12" t="s">
        <v>130</v>
      </c>
      <c r="P17" s="12" t="s">
        <v>131</v>
      </c>
    </row>
    <row r="18" spans="2:28" ht="45" customHeight="1">
      <c r="B18" s="15" t="s">
        <v>105</v>
      </c>
      <c r="D18" s="17" t="s">
        <v>0</v>
      </c>
      <c r="E18" s="61">
        <v>0</v>
      </c>
      <c r="F18" s="16" t="s">
        <v>10</v>
      </c>
      <c r="G18" s="50">
        <v>10334245810</v>
      </c>
      <c r="H18" s="50">
        <v>4496786292</v>
      </c>
      <c r="I18" s="67">
        <v>0.44024000000000002</v>
      </c>
      <c r="J18" s="52">
        <v>1.79</v>
      </c>
      <c r="K18" s="72">
        <v>1.87</v>
      </c>
      <c r="L18" s="68">
        <v>10.789100000000001</v>
      </c>
      <c r="M18" s="50" t="s">
        <v>10</v>
      </c>
      <c r="N18" s="68">
        <v>44.725480348079962</v>
      </c>
      <c r="O18" s="50">
        <v>21558116000</v>
      </c>
      <c r="P18" s="52" t="s">
        <v>10</v>
      </c>
    </row>
    <row r="19" spans="2:28" ht="45" customHeight="1">
      <c r="B19" s="15" t="s">
        <v>106</v>
      </c>
      <c r="D19" s="17" t="s">
        <v>1</v>
      </c>
      <c r="E19" s="61">
        <v>0</v>
      </c>
      <c r="F19" s="16" t="s">
        <v>10</v>
      </c>
      <c r="G19" s="50">
        <v>1850740416</v>
      </c>
      <c r="H19" s="50">
        <v>562529490</v>
      </c>
      <c r="I19" s="67">
        <v>0.30335379765813197</v>
      </c>
      <c r="J19" s="52">
        <v>18.14</v>
      </c>
      <c r="K19" s="72">
        <v>17.809999999999999</v>
      </c>
      <c r="L19" s="68">
        <v>7.659184676799998</v>
      </c>
      <c r="M19" s="50">
        <v>8400000000</v>
      </c>
      <c r="N19" s="68">
        <v>16.727419762339995</v>
      </c>
      <c r="O19" s="50">
        <v>4437298000</v>
      </c>
      <c r="P19" s="52" t="s">
        <v>10</v>
      </c>
      <c r="S19">
        <f>SUM([1]RUMO!$Q$49:$T$49)</f>
        <v>3409.3636531499906</v>
      </c>
      <c r="T19">
        <f>SUM([1]RUMO!$Q$49:$T$49)</f>
        <v>3409.3636531499906</v>
      </c>
      <c r="U19">
        <f>SUM([1]RUMO!$Q$49:$T$49)</f>
        <v>3409.3636531499906</v>
      </c>
      <c r="V19">
        <f>SUM([1]RUMO!$Q$49:$T$49)</f>
        <v>3409.3636531499906</v>
      </c>
      <c r="W19">
        <f>SUM([1]RUMO!$Q$49:$T$49)</f>
        <v>3409.3636531499906</v>
      </c>
      <c r="X19">
        <f>SUM([1]RUMO!$Q$49:$T$49)</f>
        <v>3409.3636531499906</v>
      </c>
      <c r="Y19">
        <f>SUM([1]RUMO!$Q$49:$T$49)</f>
        <v>3409.3636531499906</v>
      </c>
      <c r="Z19">
        <f>SUM([1]RUMO!$Q$49:$T$49)</f>
        <v>3409.3636531499906</v>
      </c>
      <c r="AA19">
        <f>SUM([1]RUMO!$Q$49:$T$49)</f>
        <v>3409.3636531499906</v>
      </c>
      <c r="AB19">
        <f>SUM([1]RUMO!$Q$49:$T$49)</f>
        <v>3409.3636531499906</v>
      </c>
    </row>
    <row r="20" spans="2:28" ht="45" customHeight="1">
      <c r="B20" s="15" t="s">
        <v>96</v>
      </c>
      <c r="D20" s="17" t="s">
        <v>2</v>
      </c>
      <c r="E20" s="62">
        <v>0</v>
      </c>
      <c r="F20" s="62">
        <v>0</v>
      </c>
      <c r="G20" s="52" t="s">
        <v>10</v>
      </c>
      <c r="H20" s="52" t="s">
        <v>10</v>
      </c>
      <c r="I20" s="67">
        <v>0.88</v>
      </c>
      <c r="J20" s="52" t="s">
        <v>10</v>
      </c>
      <c r="K20" s="52" t="s">
        <v>10</v>
      </c>
      <c r="L20" s="68">
        <v>5.1936429422300003</v>
      </c>
      <c r="M20" s="50">
        <v>4750000000</v>
      </c>
      <c r="N20" s="68">
        <v>12.132059830529995</v>
      </c>
      <c r="O20" s="50">
        <v>4488988000</v>
      </c>
      <c r="P20" s="52" t="s">
        <v>10</v>
      </c>
    </row>
    <row r="21" spans="2:28" ht="45" customHeight="1">
      <c r="B21" s="15" t="s">
        <v>103</v>
      </c>
      <c r="D21" s="17" t="s">
        <v>8</v>
      </c>
      <c r="E21" s="62">
        <v>0</v>
      </c>
      <c r="F21" s="62">
        <v>0</v>
      </c>
      <c r="G21" s="52" t="s">
        <v>10</v>
      </c>
      <c r="H21" s="52" t="s">
        <v>10</v>
      </c>
      <c r="I21" s="67">
        <v>0.7</v>
      </c>
      <c r="J21" s="52" t="s">
        <v>10</v>
      </c>
      <c r="K21" s="52" t="s">
        <v>10</v>
      </c>
      <c r="L21" s="68">
        <v>1.2769224143499995</v>
      </c>
      <c r="M21" s="52" t="s">
        <v>10</v>
      </c>
      <c r="N21" s="68">
        <v>3.2233423464799995</v>
      </c>
      <c r="O21" s="50">
        <v>1318769000</v>
      </c>
      <c r="P21" s="52" t="s">
        <v>10</v>
      </c>
      <c r="S21" t="s">
        <v>144</v>
      </c>
    </row>
    <row r="22" spans="2:28" ht="26.25" customHeight="1">
      <c r="D22" s="17" t="s">
        <v>111</v>
      </c>
      <c r="E22" s="16" t="s">
        <v>10</v>
      </c>
      <c r="F22" s="62">
        <v>0</v>
      </c>
      <c r="G22" s="52" t="s">
        <v>10</v>
      </c>
      <c r="H22" s="52" t="s">
        <v>10</v>
      </c>
      <c r="I22" s="67">
        <v>0.3</v>
      </c>
      <c r="J22" s="52" t="s">
        <v>10</v>
      </c>
      <c r="K22" s="52" t="s">
        <v>10</v>
      </c>
      <c r="L22" s="68">
        <v>1.9133803731600001</v>
      </c>
      <c r="M22" s="52" t="s">
        <v>10</v>
      </c>
      <c r="N22" s="68">
        <v>-0.36856496812</v>
      </c>
      <c r="O22" s="50">
        <v>5330576000</v>
      </c>
      <c r="P22" s="50">
        <v>-534537055</v>
      </c>
      <c r="S22" t="s">
        <v>145</v>
      </c>
    </row>
    <row r="23" spans="2:28" ht="26.25" customHeight="1"/>
    <row r="24" spans="2:28" ht="40.5" customHeight="1">
      <c r="B24" s="14" t="s">
        <v>86</v>
      </c>
      <c r="D24" s="12" t="s">
        <v>82</v>
      </c>
      <c r="E24" s="12" t="s">
        <v>31</v>
      </c>
      <c r="F24" s="12" t="s">
        <v>123</v>
      </c>
      <c r="G24" s="12" t="s">
        <v>124</v>
      </c>
      <c r="H24" s="12" t="s">
        <v>98</v>
      </c>
      <c r="I24" s="12" t="s">
        <v>125</v>
      </c>
      <c r="J24" s="12" t="s">
        <v>129</v>
      </c>
      <c r="K24" s="12" t="s">
        <v>64</v>
      </c>
      <c r="L24" s="12" t="s">
        <v>148</v>
      </c>
      <c r="M24" s="12" t="s">
        <v>149</v>
      </c>
    </row>
    <row r="25" spans="2:28" ht="40.5" customHeight="1">
      <c r="B25" s="46" t="s">
        <v>133</v>
      </c>
      <c r="D25" s="17" t="s">
        <v>13</v>
      </c>
      <c r="E25" s="71">
        <v>10</v>
      </c>
      <c r="F25" s="71">
        <v>0.32494526710999999</v>
      </c>
      <c r="G25" s="71">
        <v>17.502271406560002</v>
      </c>
      <c r="H25" s="71">
        <v>14.1</v>
      </c>
      <c r="I25" s="50">
        <v>324945267.11000001</v>
      </c>
      <c r="J25" s="65">
        <v>17.502271406560002</v>
      </c>
      <c r="K25" s="52">
        <v>7.97</v>
      </c>
      <c r="L25" s="50">
        <v>1858644992</v>
      </c>
      <c r="M25" s="50">
        <v>1027932000</v>
      </c>
      <c r="N25" s="50"/>
    </row>
    <row r="26" spans="2:28" ht="40.5" customHeight="1">
      <c r="B26" s="47" t="s">
        <v>99</v>
      </c>
      <c r="I26" s="51"/>
    </row>
    <row r="27" spans="2:28" ht="40.5" customHeight="1">
      <c r="B27" s="47" t="s">
        <v>92</v>
      </c>
      <c r="D27" s="12" t="s">
        <v>120</v>
      </c>
    </row>
    <row r="28" spans="2:28" ht="40.5" customHeight="1">
      <c r="B28" s="47" t="s">
        <v>107</v>
      </c>
      <c r="D28" s="71">
        <v>6.0010000000000003</v>
      </c>
      <c r="E28" s="16"/>
      <c r="F28" s="25"/>
      <c r="G28" s="25"/>
      <c r="H28" s="25"/>
    </row>
    <row r="29" spans="2:28" ht="40.5" customHeight="1">
      <c r="B29" s="15" t="s">
        <v>91</v>
      </c>
    </row>
    <row r="30" spans="2:28" ht="40.5" customHeight="1">
      <c r="B30" s="15" t="s">
        <v>102</v>
      </c>
    </row>
    <row r="31" spans="2:28">
      <c r="B31" s="15" t="s">
        <v>93</v>
      </c>
    </row>
    <row r="32" spans="2:28" ht="40.5" customHeight="1">
      <c r="B32" s="15" t="s">
        <v>87</v>
      </c>
      <c r="F32" s="13"/>
    </row>
    <row r="33" spans="2:17" ht="40.5" customHeight="1">
      <c r="B33" s="7" t="s">
        <v>89</v>
      </c>
      <c r="F33" s="13"/>
    </row>
    <row r="34" spans="2:17" ht="40.5" customHeight="1">
      <c r="B34" s="15" t="s">
        <v>90</v>
      </c>
      <c r="D34" s="75" t="s">
        <v>81</v>
      </c>
      <c r="E34" s="75"/>
      <c r="F34" s="75"/>
      <c r="G34" s="75"/>
      <c r="H34" s="75"/>
      <c r="I34" s="75"/>
      <c r="J34" s="75"/>
      <c r="K34" s="75"/>
      <c r="L34" s="75"/>
      <c r="M34" s="75"/>
      <c r="N34" s="75"/>
      <c r="O34" s="75"/>
      <c r="P34" s="75"/>
      <c r="Q34" s="75"/>
    </row>
    <row r="35" spans="2:17" ht="40.5" customHeight="1">
      <c r="B35" s="15" t="s">
        <v>94</v>
      </c>
      <c r="D35" s="75" t="s">
        <v>113</v>
      </c>
      <c r="E35" s="75"/>
      <c r="F35" s="75"/>
      <c r="G35" s="75"/>
      <c r="H35" s="75"/>
      <c r="I35" s="75"/>
      <c r="J35" s="75"/>
      <c r="K35" s="75"/>
      <c r="L35" s="75"/>
      <c r="M35" s="75"/>
      <c r="N35" s="75"/>
      <c r="O35" s="75"/>
      <c r="P35" s="75"/>
      <c r="Q35" s="75"/>
    </row>
    <row r="36" spans="2:17" ht="40.5" customHeight="1">
      <c r="B36" s="15" t="s">
        <v>88</v>
      </c>
      <c r="D36" s="75" t="s">
        <v>83</v>
      </c>
      <c r="E36" s="75"/>
      <c r="F36" s="75"/>
      <c r="G36" s="75"/>
      <c r="H36" s="75"/>
      <c r="I36" s="75"/>
      <c r="J36" s="75"/>
      <c r="K36" s="75"/>
      <c r="L36" s="75"/>
      <c r="M36" s="75"/>
      <c r="N36" s="75"/>
      <c r="O36" s="75"/>
      <c r="P36" s="75"/>
      <c r="Q36" s="75"/>
    </row>
    <row r="37" spans="2:17" ht="35.25" customHeight="1">
      <c r="B37" s="15" t="s">
        <v>95</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zoomScale="75" zoomScaleNormal="70" workbookViewId="0">
      <pane xSplit="8" ySplit="7" topLeftCell="I8" activePane="bottomRight" state="frozen"/>
      <selection pane="topRight" activeCell="H1" sqref="H1"/>
      <selection pane="bottomLeft" activeCell="A6" sqref="A6"/>
      <selection pane="bottomRight" activeCell="F39" sqref="F39"/>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3"/>
      <c r="B6" s="33" t="s">
        <v>52</v>
      </c>
      <c r="C6" s="33"/>
      <c r="D6" s="33"/>
      <c r="E6" s="33"/>
      <c r="F6" s="33"/>
      <c r="G6" s="33"/>
      <c r="H6" s="33"/>
    </row>
    <row r="7" spans="1:8" ht="14.5" collapsed="1">
      <c r="A7" s="36"/>
      <c r="B7" s="45" t="s">
        <v>6</v>
      </c>
      <c r="C7" s="36"/>
      <c r="D7" s="36"/>
      <c r="E7" s="36"/>
      <c r="F7" s="36"/>
      <c r="G7" s="36"/>
      <c r="H7" s="36"/>
    </row>
    <row r="8" spans="1:8" ht="13.9" customHeight="1"/>
    <row r="9" spans="1:8" ht="13.9" customHeight="1">
      <c r="B9" s="44" t="s">
        <v>32</v>
      </c>
      <c r="C9" s="37"/>
      <c r="D9" s="37"/>
      <c r="E9" s="37"/>
      <c r="F9" s="37"/>
      <c r="G9" s="37"/>
      <c r="H9" s="37"/>
    </row>
    <row r="10" spans="1:8" ht="13.9" customHeight="1"/>
    <row r="11" spans="1:8" ht="13.9" customHeight="1">
      <c r="B11" s="39" t="s">
        <v>26</v>
      </c>
      <c r="C11" s="39"/>
      <c r="D11" s="40"/>
      <c r="E11" s="40"/>
      <c r="F11" s="40" t="s">
        <v>36</v>
      </c>
      <c r="G11" s="40" t="s">
        <v>53</v>
      </c>
      <c r="H11" s="40" t="s">
        <v>37</v>
      </c>
    </row>
    <row r="12" spans="1:8" ht="13.9" customHeight="1"/>
    <row r="13" spans="1:8" ht="13.9" customHeight="1">
      <c r="B13" s="48" t="s">
        <v>68</v>
      </c>
      <c r="C13" s="3" t="s">
        <v>0</v>
      </c>
      <c r="F13" s="21" t="s">
        <v>47</v>
      </c>
      <c r="G13" s="13">
        <f>(H13/'Guia e Premissas'!I18+'Guia e Premissas'!N18)/IF(F13="EV/EBITDA Guidance",'Guia e Premissas'!M18,'Guia e Premissas'!L18)</f>
        <v>1694652131.4978411</v>
      </c>
      <c r="H13" s="13" cm="1">
        <f t="array" ref="H13">_xlfn.IFS($F13="Capitalização de mercado", 'Guia e Premissas'!H18*'Guia e Premissas'!J18, $F13="EV/EBITDA LTM", (('Guia e Premissas'!E18*'Guia e Premissas'!N18)-'Guia e Premissas'!#REF!)*'Guia e Premissas'!I18, $F13="EV/EBITDA Guidance", (('Guia e Premissas'!E18*'Guia e Premissas'!M18)-'Guia e Premissas'!#REF!)*'Guia e Premissas'!I18, $F13="Preço Alvo", 'Guia e Premissas'!H18*'Guia e Premissas'!K18)</f>
        <v>8049247462.6800003</v>
      </c>
    </row>
    <row r="14" spans="1:8" ht="13.9" customHeight="1">
      <c r="B14" s="48" t="s">
        <v>69</v>
      </c>
      <c r="C14" s="3" t="s">
        <v>1</v>
      </c>
      <c r="F14" s="21" t="s">
        <v>47</v>
      </c>
      <c r="G14" s="13">
        <f>(H14/'Guia e Premissas'!I19+'Guia e Premissas'!N19)/IF(F14="EV/EBITDA Guidance",'Guia e Premissas'!M19,'Guia e Premissas'!L19)</f>
        <v>4391881364.6632042</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10204284948.6</v>
      </c>
    </row>
    <row r="15" spans="1:8" ht="13.9" customHeight="1">
      <c r="A15" s="41"/>
      <c r="B15" s="48" t="s">
        <v>152</v>
      </c>
      <c r="C15" s="3" t="s">
        <v>136</v>
      </c>
      <c r="F15" s="21" t="s">
        <v>84</v>
      </c>
      <c r="G15" s="13">
        <f>(H15/'Guia e Premissas'!I20+'Guia e Premissas'!N20)/IF(F15="EV/EBITDA Guidance",'Guia e Premissas'!M20,'Guia e Premissas'!L20)</f>
        <v>982185875.33753562</v>
      </c>
      <c r="H15" s="13" cm="1">
        <f t="array" ref="H15">_xlfn.IFS($F15="Book Value", 'Guia e Premissas'!O20, $F15="Equity Value", 'Guia e Premissas'!F20*1000000000*'Guia e Premissas'!I20,F15= "EV/EBITDA LTM", (('Guia e Premissas'!E20*'Guia e Premissas'!L20)-'Guia e Premissas'!N20)*'Guia e Premissas'!I20, F15= "EV/EBITDA Guidance", (('Guia e Premissas'!E20*'Guia e Premissas'!M20)-'Guia e Premissas'!N20)*'Guia e Premissas'!I20)</f>
        <v>4488988000</v>
      </c>
    </row>
    <row r="16" spans="1:8" ht="13.9" customHeight="1">
      <c r="B16" s="48" t="s">
        <v>70</v>
      </c>
      <c r="C16" s="3" t="s">
        <v>137</v>
      </c>
      <c r="F16" s="21" t="s">
        <v>84</v>
      </c>
      <c r="G16" s="13">
        <f>(H16/'Guia e Premissas'!I21+'Guia e Premissas'!N21)/IF(F16="EV/EBITDA Guidance",'Guia e Premissas'!L21,'Guia e Premissas'!L21)</f>
        <v>1475387773.2407568</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1318769000</v>
      </c>
    </row>
    <row r="17" spans="2:8" ht="13.9" customHeight="1">
      <c r="B17" s="48" t="s">
        <v>71</v>
      </c>
      <c r="C17" s="3" t="s">
        <v>112</v>
      </c>
      <c r="F17" s="21" t="s">
        <v>84</v>
      </c>
      <c r="G17" s="13">
        <f>(H17/'Guia e Premissas'!I22+'Guia e Premissas'!N22 -'Guia e Premissas'!P22 )/IF(F17="EV/EBITDA Guidance",'Guia e Premissas'!L22,'Guia e Premissas'!L22)</f>
        <v>8634631027.7445431</v>
      </c>
      <c r="H17" s="13" cm="1">
        <f t="array" ref="H17">_xlfn.IFS($F17="Book Value", 'Guia e Premissas'!O22 + 'Guia e Premissas'!P22, $F17="Equity Value", 'Guia e Premissas'!F22*1000000000*'Guia e Premissas'!I22 + 'Guia e Premissas'!P22,F17= "EV/EBITDA LTM", (('Guia e Premissas'!E22*'Guia e Premissas'!L22)-'Guia e Premissas'!N22)*'Guia e Premissas'!I22, F17= "EV/EBITDA Guidance", (('Guia e Premissas'!E22*'Guia e Premissas'!M22)-'Guia e Premissas'!N22)*'Guia e Premissas'!I22)</f>
        <v>4796038945</v>
      </c>
    </row>
    <row r="18" spans="2:8" ht="13.9" customHeight="1">
      <c r="B18" s="3"/>
      <c r="G18" s="24"/>
      <c r="H18" s="13"/>
    </row>
    <row r="19" spans="2:8" ht="13.9" customHeight="1"/>
    <row r="20" spans="2:8" ht="13.9" customHeight="1">
      <c r="B20" s="39" t="s">
        <v>33</v>
      </c>
      <c r="C20" s="39"/>
      <c r="D20" s="40"/>
      <c r="E20" s="40"/>
      <c r="F20" s="40"/>
      <c r="G20" s="40"/>
      <c r="H20" s="40" t="s">
        <v>37</v>
      </c>
    </row>
    <row r="21" spans="2:8" ht="13.9" customHeight="1"/>
    <row r="22" spans="2:8" ht="13.9" customHeight="1">
      <c r="B22" s="48" t="s">
        <v>72</v>
      </c>
      <c r="C22" s="3" t="s">
        <v>117</v>
      </c>
      <c r="F22" s="22" t="s">
        <v>4</v>
      </c>
      <c r="H22" s="13" cm="1">
        <f t="array" ref="H22">-_xlfn.IFS(F22="Múltiplo",('Guia e Premissas'!E25*'Guia e Premissas'!I25)-'Guia e Premissas'!M25,F22="Input",'Guia e Premissas'!I25*10-'Guia e Premissas'!M25)</f>
        <v>-2221520671.1000004</v>
      </c>
    </row>
    <row r="23" spans="2:8" ht="13.9" customHeight="1">
      <c r="B23" s="48" t="s">
        <v>73</v>
      </c>
      <c r="C23" s="3" t="s">
        <v>156</v>
      </c>
      <c r="F23" s="22" t="s">
        <v>4</v>
      </c>
      <c r="H23" s="13" cm="1">
        <f t="array" ref="H23">-_xlfn.IFS(F23="Último disponível",'Guia e Premissas'!J25*1000000000, F23="Input",'Guia e Premissas'!G25*1000000000)</f>
        <v>-17502271406.560001</v>
      </c>
    </row>
    <row r="24" spans="2:8" ht="13.9" customHeight="1">
      <c r="H24" s="13"/>
    </row>
    <row r="25" spans="2:8" ht="13.9" customHeight="1">
      <c r="B25" s="39" t="s">
        <v>119</v>
      </c>
      <c r="C25" s="39"/>
      <c r="D25" s="40"/>
      <c r="E25" s="40"/>
      <c r="F25" s="40"/>
      <c r="G25" s="40"/>
      <c r="H25" s="40" t="s">
        <v>37</v>
      </c>
    </row>
    <row r="26" spans="2:8" ht="13.9" customHeight="1"/>
    <row r="27" spans="2:8" ht="13.9" customHeight="1">
      <c r="B27" s="48" t="s">
        <v>74</v>
      </c>
      <c r="C27" s="3" t="s">
        <v>67</v>
      </c>
      <c r="F27" s="22" t="s">
        <v>4</v>
      </c>
      <c r="G27" s="4"/>
      <c r="H27" s="13" cm="1">
        <f t="array" ref="H27">-_xlfn.IFS(F27="Último disponível",'Guia e Premissas'!D28*1000000000, F27="Input", 'Guia e Premissas'!D28*1000000000)</f>
        <v>-6001000000</v>
      </c>
    </row>
    <row r="28" spans="2:8" ht="13.9" customHeight="1">
      <c r="B28" s="48"/>
    </row>
    <row r="29" spans="2:8" ht="13.9" customHeight="1">
      <c r="B29" s="42" t="s">
        <v>35</v>
      </c>
      <c r="C29" s="38"/>
      <c r="D29" s="38"/>
      <c r="E29" s="38"/>
      <c r="F29" s="38"/>
      <c r="G29" s="38"/>
      <c r="H29" s="38"/>
    </row>
    <row r="30" spans="2:8" ht="13.9" customHeight="1"/>
    <row r="31" spans="2:8" ht="13.9" customHeight="1">
      <c r="B31" s="48" t="s">
        <v>75</v>
      </c>
      <c r="C31" s="3" t="s">
        <v>153</v>
      </c>
      <c r="H31" s="13">
        <f>SUM(H13:H17,H22:H23,H27:H27)</f>
        <v>3132536278.6199989</v>
      </c>
    </row>
    <row r="32" spans="2:8" ht="13.9" customHeight="1">
      <c r="B32" s="48" t="s">
        <v>76</v>
      </c>
      <c r="C32" s="3" t="s">
        <v>58</v>
      </c>
      <c r="H32" s="23">
        <f>'Guia e Premissas'!L25*'Guia e Premissas'!K25</f>
        <v>14813400586.24</v>
      </c>
    </row>
    <row r="33" spans="2:8" ht="13.9" customHeight="1">
      <c r="C33" s="3" t="s">
        <v>59</v>
      </c>
      <c r="H33" s="26">
        <f>H31/'Guia e Premissas'!L25</f>
        <v>1.6853870922651155</v>
      </c>
    </row>
    <row r="34" spans="2:8" ht="13.9" customHeight="1">
      <c r="C34" s="9" t="s">
        <v>38</v>
      </c>
      <c r="D34" s="9"/>
      <c r="E34" s="10"/>
      <c r="F34" s="10"/>
      <c r="G34" s="10"/>
      <c r="H34" s="27">
        <f>'Guia e Premissas'!H25</f>
        <v>14.1</v>
      </c>
    </row>
    <row r="35" spans="2:8" ht="13.9" customHeight="1">
      <c r="B35" s="48" t="s">
        <v>77</v>
      </c>
      <c r="C35" s="11" t="s">
        <v>154</v>
      </c>
      <c r="H35" s="13">
        <f>H32-H31</f>
        <v>11680864307.620001</v>
      </c>
    </row>
    <row r="36" spans="2:8" ht="13.9" customHeight="1">
      <c r="B36" s="48" t="s">
        <v>78</v>
      </c>
      <c r="C36" s="3" t="s">
        <v>155</v>
      </c>
      <c r="H36" s="8">
        <f>(H32/H31)-1</f>
        <v>3.7288839677112584</v>
      </c>
    </row>
    <row r="37" spans="2:8" ht="13.9" customHeight="1"/>
    <row r="38" spans="2:8" ht="13.9" customHeight="1">
      <c r="B38" s="60" t="s">
        <v>141</v>
      </c>
    </row>
    <row r="39" spans="2:8" ht="13.9" customHeight="1">
      <c r="B39" s="69" t="s">
        <v>140</v>
      </c>
      <c r="C39" s="69"/>
      <c r="D39" s="69"/>
      <c r="E39" s="69"/>
      <c r="F39" s="69"/>
      <c r="G39" s="69"/>
      <c r="H39" s="69"/>
    </row>
    <row r="40" spans="2:8" ht="41.15" customHeight="1">
      <c r="B40" s="76" t="s">
        <v>138</v>
      </c>
      <c r="C40" s="76"/>
      <c r="D40" s="76"/>
      <c r="E40" s="76"/>
      <c r="F40" s="76"/>
      <c r="G40" s="76"/>
      <c r="H40" s="76"/>
    </row>
    <row r="41" spans="2:8" ht="39.65" customHeight="1"/>
    <row r="42" spans="2:8" ht="40.5" customHeight="1"/>
    <row r="43" spans="2:8" ht="12.75" customHeight="1">
      <c r="B43" s="43"/>
      <c r="C43" s="43"/>
      <c r="D43" s="43"/>
      <c r="E43" s="43"/>
      <c r="F43" s="43"/>
      <c r="G43" s="43"/>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46.453125" customWidth="1"/>
    <col min="13" max="13" width="13.453125" customWidth="1"/>
  </cols>
  <sheetData>
    <row r="1" spans="1:14">
      <c r="A1" t="s">
        <v>47</v>
      </c>
      <c r="C1" t="s">
        <v>84</v>
      </c>
      <c r="E1" t="s">
        <v>46</v>
      </c>
      <c r="G1" t="s">
        <v>84</v>
      </c>
      <c r="I1" t="s">
        <v>45</v>
      </c>
      <c r="K1" s="31" t="s">
        <v>63</v>
      </c>
      <c r="L1" s="29" t="s">
        <v>39</v>
      </c>
      <c r="M1" s="29" t="s">
        <v>39</v>
      </c>
    </row>
    <row r="2" spans="1:14">
      <c r="A2" t="s">
        <v>54</v>
      </c>
      <c r="C2" t="s">
        <v>110</v>
      </c>
      <c r="E2" t="s">
        <v>4</v>
      </c>
      <c r="G2" t="s">
        <v>4</v>
      </c>
      <c r="I2" t="s">
        <v>4</v>
      </c>
      <c r="K2" s="31" t="str">
        <f>'Modelo indicativo da SOTP'!C13</f>
        <v>Raízen</v>
      </c>
      <c r="L2" s="30" t="s">
        <v>0</v>
      </c>
      <c r="M2" s="28">
        <f>'Modelo indicativo da SOTP'!H13</f>
        <v>8049247462.6800003</v>
      </c>
    </row>
    <row r="3" spans="1:14">
      <c r="A3" t="s">
        <v>9</v>
      </c>
      <c r="C3" t="s">
        <v>9</v>
      </c>
      <c r="K3" s="31" t="str">
        <f>'Modelo indicativo da SOTP'!C14</f>
        <v>Rumo</v>
      </c>
      <c r="L3" s="30" t="s">
        <v>1</v>
      </c>
      <c r="M3" s="28">
        <f>'Modelo indicativo da SOTP'!H14</f>
        <v>10204284948.6</v>
      </c>
    </row>
    <row r="4" spans="1:14">
      <c r="K4" s="31" t="str">
        <f>'Modelo indicativo da SOTP'!C15</f>
        <v>Compass³</v>
      </c>
      <c r="L4" s="30" t="s">
        <v>2</v>
      </c>
      <c r="M4" s="28">
        <f>'Modelo indicativo da SOTP'!H15</f>
        <v>4488988000</v>
      </c>
    </row>
    <row r="5" spans="1:14">
      <c r="K5" s="31" t="str">
        <f>'Modelo indicativo da SOTP'!C16</f>
        <v>Moove³</v>
      </c>
      <c r="L5" s="30" t="s">
        <v>8</v>
      </c>
      <c r="M5" s="28">
        <f>'Modelo indicativo da SOTP'!H16</f>
        <v>1318769000</v>
      </c>
    </row>
    <row r="6" spans="1:14">
      <c r="K6" s="31" t="str">
        <f>'Modelo indicativo da SOTP'!C17</f>
        <v>Radar</v>
      </c>
      <c r="L6" s="30" t="s">
        <v>112</v>
      </c>
      <c r="M6" s="28">
        <f>'Modelo indicativo da SOTP'!H17</f>
        <v>4796038945</v>
      </c>
    </row>
    <row r="7" spans="1:14" ht="26">
      <c r="A7" t="s">
        <v>47</v>
      </c>
      <c r="C7" t="s">
        <v>84</v>
      </c>
      <c r="K7" s="31" t="str">
        <f>'Modelo indicativo da SOTP'!C22</f>
        <v>G&amp;A Corporativo e Outros Investimentos</v>
      </c>
      <c r="L7" s="30" t="s">
        <v>118</v>
      </c>
      <c r="M7" s="28">
        <f>'Modelo indicativo da SOTP'!H22</f>
        <v>-2221520671.1000004</v>
      </c>
    </row>
    <row r="8" spans="1:14" ht="26">
      <c r="A8" t="s">
        <v>11</v>
      </c>
      <c r="C8" t="s">
        <v>110</v>
      </c>
      <c r="K8" s="31" t="str">
        <f>'Modelo indicativo da SOTP'!C23</f>
        <v>Dívida Líquida (Corporativo)</v>
      </c>
      <c r="L8" s="30" t="s">
        <v>60</v>
      </c>
      <c r="M8" s="28">
        <f>'Modelo indicativo da SOTP'!H23</f>
        <v>-17502271406.560001</v>
      </c>
    </row>
    <row r="9" spans="1:14" ht="26">
      <c r="C9" t="s">
        <v>11</v>
      </c>
      <c r="K9" s="31" t="str">
        <f>'Modelo indicativo da SOTP'!C27</f>
        <v>Valor de Resgate Atualizado das Ações Preferenciais²</v>
      </c>
      <c r="L9" s="30" t="s">
        <v>62</v>
      </c>
      <c r="M9" s="28">
        <f>'Modelo indicativo da SOTP'!H27</f>
        <v>-6001000000</v>
      </c>
    </row>
    <row r="10" spans="1:14">
      <c r="K10" s="31" t="str">
        <f>'Modelo indicativo da SOTP'!C35</f>
        <v>Desconto de holding (k = j-i)</v>
      </c>
      <c r="L10" s="30" t="s">
        <v>116</v>
      </c>
      <c r="M10" s="28">
        <f>'Modelo indicativo da SOTP'!H35</f>
        <v>11680864307.620001</v>
      </c>
    </row>
    <row r="11" spans="1:14" ht="26">
      <c r="K11" s="31" t="str">
        <f>'Modelo indicativo da SOTP'!C32</f>
        <v>CSAN3 Valor de mercado atual</v>
      </c>
      <c r="L11" s="30" t="s">
        <v>61</v>
      </c>
      <c r="M11" s="28">
        <f>'Modelo indicativo da SOTP'!H32</f>
        <v>14813400586.24</v>
      </c>
    </row>
    <row r="12" spans="1:14">
      <c r="N12" s="28"/>
    </row>
    <row r="13" spans="1:14">
      <c r="N13" s="28"/>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7"/>
  <sheetViews>
    <sheetView showFormulas="1" showGridLines="0" zoomScale="85" zoomScaleNormal="85" workbookViewId="0">
      <pane ySplit="7" topLeftCell="A33" activePane="bottomLeft" state="frozen"/>
      <selection pane="bottomLeft" activeCell="B60" sqref="B60"/>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3"/>
      <c r="B6" s="33" t="s">
        <v>40</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7" t="s">
        <v>40</v>
      </c>
      <c r="C9" s="37"/>
      <c r="D9" s="37"/>
      <c r="E9" s="37"/>
    </row>
    <row r="10" spans="1:18"/>
    <row r="11" spans="1:18">
      <c r="B11" s="12" t="s">
        <v>0</v>
      </c>
      <c r="C11" s="12"/>
      <c r="D11" s="12"/>
      <c r="E11" s="12"/>
    </row>
    <row r="12" spans="1:18" ht="15" customHeight="1">
      <c r="B12" t="s">
        <v>147</v>
      </c>
      <c r="D12" s="20" t="s">
        <v>142</v>
      </c>
    </row>
    <row r="13" spans="1:18" ht="15" customHeight="1">
      <c r="B13" t="s">
        <v>100</v>
      </c>
      <c r="D13" s="49" t="s">
        <v>15</v>
      </c>
    </row>
    <row r="14" spans="1:18" ht="15" customHeight="1">
      <c r="B14" t="s">
        <v>42</v>
      </c>
      <c r="D14" s="49" t="s">
        <v>16</v>
      </c>
    </row>
    <row r="15" spans="1:18" ht="15" customHeight="1">
      <c r="B15" t="s">
        <v>101</v>
      </c>
      <c r="D15" s="49"/>
      <c r="E15" t="s">
        <v>108</v>
      </c>
    </row>
    <row r="16" spans="1:18" ht="15" customHeight="1">
      <c r="B16" t="s">
        <v>3</v>
      </c>
      <c r="D16" s="20" t="s">
        <v>17</v>
      </c>
      <c r="E16" t="s">
        <v>48</v>
      </c>
    </row>
    <row r="17" spans="2:5" ht="15" customHeight="1">
      <c r="B17" t="s">
        <v>43</v>
      </c>
      <c r="D17" s="20" t="s">
        <v>17</v>
      </c>
      <c r="E17" t="s">
        <v>104</v>
      </c>
    </row>
    <row r="18" spans="2:5" ht="15" customHeight="1">
      <c r="B18" t="s">
        <v>84</v>
      </c>
      <c r="D18" s="20" t="s">
        <v>22</v>
      </c>
      <c r="E18" t="s">
        <v>104</v>
      </c>
    </row>
    <row r="19" spans="2:5" ht="15" customHeight="1">
      <c r="B19" s="7"/>
    </row>
    <row r="20" spans="2:5" ht="15" customHeight="1">
      <c r="B20" s="12" t="s">
        <v>1</v>
      </c>
      <c r="C20" s="12"/>
      <c r="D20" s="12"/>
      <c r="E20" s="12"/>
    </row>
    <row r="21" spans="2:5" ht="15" customHeight="1">
      <c r="B21" s="12"/>
      <c r="C21" s="12"/>
      <c r="D21" s="12"/>
      <c r="E21" s="12"/>
    </row>
    <row r="22" spans="2:5" ht="15" customHeight="1">
      <c r="B22" t="s">
        <v>147</v>
      </c>
      <c r="D22" s="20" t="s">
        <v>143</v>
      </c>
    </row>
    <row r="23" spans="2:5" ht="15" customHeight="1">
      <c r="B23" t="s">
        <v>100</v>
      </c>
      <c r="D23" s="49" t="s">
        <v>18</v>
      </c>
    </row>
    <row r="24" spans="2:5" ht="15" customHeight="1">
      <c r="B24" t="s">
        <v>42</v>
      </c>
      <c r="D24" s="49" t="s">
        <v>18</v>
      </c>
    </row>
    <row r="25" spans="2:5" ht="15" customHeight="1">
      <c r="B25" t="s">
        <v>101</v>
      </c>
      <c r="D25" s="49"/>
      <c r="E25" t="s">
        <v>108</v>
      </c>
    </row>
    <row r="26" spans="2:5" ht="15" customHeight="1">
      <c r="B26" t="s">
        <v>3</v>
      </c>
      <c r="D26" s="20" t="s">
        <v>19</v>
      </c>
      <c r="E26" t="s">
        <v>48</v>
      </c>
    </row>
    <row r="27" spans="2:5" ht="15" customHeight="1">
      <c r="B27" t="s">
        <v>7</v>
      </c>
      <c r="D27" s="49" t="s">
        <v>109</v>
      </c>
      <c r="E27" t="s">
        <v>139</v>
      </c>
    </row>
    <row r="28" spans="2:5" ht="15" customHeight="1">
      <c r="B28" t="s">
        <v>43</v>
      </c>
      <c r="D28" s="20" t="s">
        <v>19</v>
      </c>
      <c r="E28" t="s">
        <v>104</v>
      </c>
    </row>
    <row r="29" spans="2:5" ht="15" customHeight="1">
      <c r="B29" t="s">
        <v>84</v>
      </c>
      <c r="D29" s="20" t="s">
        <v>22</v>
      </c>
      <c r="E29" t="s">
        <v>104</v>
      </c>
    </row>
    <row r="30" spans="2:5" ht="15" customHeight="1">
      <c r="B30" s="15"/>
    </row>
    <row r="31" spans="2:5"/>
    <row r="32" spans="2:5">
      <c r="B32" s="12" t="s">
        <v>2</v>
      </c>
      <c r="C32" s="12"/>
      <c r="D32" s="12"/>
      <c r="E32" s="12"/>
    </row>
    <row r="33" spans="2:5">
      <c r="B33" t="s">
        <v>65</v>
      </c>
      <c r="D33" s="49" t="s">
        <v>20</v>
      </c>
    </row>
    <row r="34" spans="2:5">
      <c r="B34" t="s">
        <v>3</v>
      </c>
      <c r="D34" s="49" t="s">
        <v>21</v>
      </c>
      <c r="E34" t="s">
        <v>48</v>
      </c>
    </row>
    <row r="35" spans="2:5">
      <c r="B35" t="s">
        <v>7</v>
      </c>
      <c r="D35" s="49" t="s">
        <v>21</v>
      </c>
      <c r="E35" t="s">
        <v>48</v>
      </c>
    </row>
    <row r="36" spans="2:5">
      <c r="B36" t="s">
        <v>43</v>
      </c>
      <c r="D36" s="49" t="s">
        <v>21</v>
      </c>
      <c r="E36" t="s">
        <v>48</v>
      </c>
    </row>
    <row r="37" spans="2:5">
      <c r="B37" t="s">
        <v>84</v>
      </c>
      <c r="D37" s="49" t="s">
        <v>22</v>
      </c>
      <c r="E37" t="s">
        <v>104</v>
      </c>
    </row>
    <row r="38" spans="2:5"/>
    <row r="39" spans="2:5">
      <c r="B39" s="12" t="s">
        <v>8</v>
      </c>
      <c r="C39" s="12"/>
      <c r="D39" s="12"/>
      <c r="E39" s="12"/>
    </row>
    <row r="40" spans="2:5">
      <c r="B40" t="s">
        <v>65</v>
      </c>
      <c r="D40" s="49" t="s">
        <v>22</v>
      </c>
      <c r="E40" t="s">
        <v>48</v>
      </c>
    </row>
    <row r="41" spans="2:5">
      <c r="B41" t="s">
        <v>3</v>
      </c>
      <c r="D41" s="49" t="s">
        <v>22</v>
      </c>
      <c r="E41" t="s">
        <v>48</v>
      </c>
    </row>
    <row r="42" spans="2:5">
      <c r="B42" t="s">
        <v>43</v>
      </c>
      <c r="D42" s="49" t="s">
        <v>22</v>
      </c>
      <c r="E42" t="s">
        <v>50</v>
      </c>
    </row>
    <row r="43" spans="2:5">
      <c r="B43" t="s">
        <v>84</v>
      </c>
      <c r="D43" s="49" t="s">
        <v>22</v>
      </c>
      <c r="E43" t="s">
        <v>104</v>
      </c>
    </row>
    <row r="44" spans="2:5"/>
    <row r="45" spans="2:5">
      <c r="B45" s="12" t="s">
        <v>112</v>
      </c>
      <c r="C45" s="12"/>
      <c r="D45" s="12"/>
      <c r="E45" s="12"/>
    </row>
    <row r="46" spans="2:5">
      <c r="B46" t="s">
        <v>84</v>
      </c>
      <c r="D46" s="49" t="s">
        <v>22</v>
      </c>
      <c r="E46" t="s">
        <v>49</v>
      </c>
    </row>
    <row r="47" spans="2:5">
      <c r="B47" t="s">
        <v>43</v>
      </c>
      <c r="D47" s="49" t="s">
        <v>22</v>
      </c>
      <c r="E47" t="s">
        <v>50</v>
      </c>
    </row>
    <row r="48" spans="2:5" ht="18" customHeight="1">
      <c r="B48" s="47" t="s">
        <v>44</v>
      </c>
      <c r="D48" s="70" t="s">
        <v>151</v>
      </c>
      <c r="E48" s="15" t="s">
        <v>150</v>
      </c>
    </row>
    <row r="49" spans="2:5"/>
    <row r="50" spans="2:5">
      <c r="B50" s="12" t="s">
        <v>13</v>
      </c>
      <c r="C50" s="12"/>
      <c r="D50" s="12"/>
      <c r="E50" s="12"/>
    </row>
    <row r="51" spans="2:5">
      <c r="B51" t="s">
        <v>5</v>
      </c>
      <c r="D51" s="49" t="s">
        <v>22</v>
      </c>
      <c r="E51" t="s">
        <v>48</v>
      </c>
    </row>
    <row r="52" spans="2:5">
      <c r="B52" t="s">
        <v>43</v>
      </c>
      <c r="D52" s="49" t="s">
        <v>22</v>
      </c>
      <c r="E52" t="s">
        <v>48</v>
      </c>
    </row>
    <row r="53" spans="2:5">
      <c r="B53" t="s">
        <v>41</v>
      </c>
      <c r="D53" s="49" t="s">
        <v>14</v>
      </c>
    </row>
    <row r="54" spans="2:5">
      <c r="B54" t="s">
        <v>115</v>
      </c>
      <c r="D54" s="49" t="s">
        <v>22</v>
      </c>
      <c r="E54" t="s">
        <v>49</v>
      </c>
    </row>
    <row r="55" spans="2:5"/>
    <row r="56" spans="2:5" ht="16.5" customHeight="1">
      <c r="B56" s="63" t="s">
        <v>34</v>
      </c>
      <c r="C56" s="12"/>
      <c r="D56" s="12"/>
      <c r="E56" s="12"/>
    </row>
    <row r="57" spans="2:5">
      <c r="B57" s="64" t="s">
        <v>66</v>
      </c>
      <c r="D57" s="49" t="s">
        <v>22</v>
      </c>
      <c r="E57" t="s">
        <v>48</v>
      </c>
    </row>
    <row r="58" spans="2:5"/>
    <row r="59" spans="2:5"/>
    <row r="60" spans="2:5"/>
    <row r="61" spans="2:5"/>
    <row r="62" spans="2:5"/>
    <row r="63" spans="2:5"/>
    <row r="64" spans="2:5"/>
    <row r="65"/>
    <row r="66"/>
    <row r="67"/>
    <row r="68"/>
    <row r="69"/>
    <row r="70"/>
    <row r="71"/>
    <row r="72"/>
    <row r="73"/>
    <row r="74"/>
    <row r="75"/>
    <row r="76"/>
    <row r="77"/>
  </sheetData>
  <hyperlinks>
    <hyperlink ref="D16" r:id="rId1" xr:uid="{4D32D06B-0C9C-4860-A530-0390A99B0ECC}"/>
    <hyperlink ref="D14" r:id="rId2" xr:uid="{FB5471D0-C15B-46D6-9B40-339F7B268BD9}"/>
    <hyperlink ref="D13" r:id="rId3" xr:uid="{79954D57-50B4-4197-B8AA-7DD88C943BE6}"/>
    <hyperlink ref="D17" r:id="rId4" xr:uid="{23CBFFE2-B338-458D-B87A-6EFBAF790FAD}"/>
    <hyperlink ref="D23" r:id="rId5" xr:uid="{6128292F-E17A-49D0-B3E5-F8908AB1EAE8}"/>
    <hyperlink ref="D24" r:id="rId6" xr:uid="{DD7A139A-9AC6-4686-97C2-268CE57D9A56}"/>
    <hyperlink ref="D26" r:id="rId7" xr:uid="{A930FB78-B7A4-4B17-80D6-09C78B1973A5}"/>
    <hyperlink ref="D28" r:id="rId8" xr:uid="{4F610486-254A-4BF9-A287-14B85C04F3B7}"/>
    <hyperlink ref="D33" r:id="rId9" xr:uid="{12D60AE2-3198-4489-9ECD-A65248645F2D}"/>
    <hyperlink ref="D34" r:id="rId10" xr:uid="{BAF0573C-AB12-4CF3-92F7-41D6F1B21FE8}"/>
    <hyperlink ref="D35" r:id="rId11" xr:uid="{866CC1C0-1FB1-40F6-9BD7-32C6A399031C}"/>
    <hyperlink ref="D36" r:id="rId12" xr:uid="{2A1D9159-12CF-4BD2-9978-54BE0221CF07}"/>
    <hyperlink ref="D41" r:id="rId13" xr:uid="{31D2581A-0047-43BF-88EF-45D1C8922251}"/>
    <hyperlink ref="D46" r:id="rId14" xr:uid="{01A15D81-98BD-42E1-829B-5A133D36755F}"/>
    <hyperlink ref="D51" r:id="rId15" xr:uid="{80604E5C-516A-40AB-8220-657FC04B17D7}"/>
    <hyperlink ref="D52" r:id="rId16" xr:uid="{76F9F1F0-FD51-49D6-8724-F48356885DE7}"/>
    <hyperlink ref="D53" r:id="rId17" xr:uid="{344D62D0-3C70-4D71-B021-2690B357D75D}"/>
    <hyperlink ref="D57" r:id="rId18" xr:uid="{6D2A0B8D-3D81-4C41-8C8B-1F2A1714BA42}"/>
    <hyperlink ref="D40" r:id="rId19" xr:uid="{022035D1-AF9D-4A0D-9F99-47F1BA83FBEE}"/>
    <hyperlink ref="D54" r:id="rId20" xr:uid="{47414383-D553-4AD7-94F4-9FD2E0B55F35}"/>
    <hyperlink ref="D43" r:id="rId21" xr:uid="{FBCDBB74-1BB0-483D-BB0C-2485EBCEBD45}"/>
    <hyperlink ref="D29" r:id="rId22" xr:uid="{AD67215E-516F-4CE9-861B-90F79B7DD05C}"/>
    <hyperlink ref="D37" r:id="rId23" xr:uid="{F6AA6C3F-25BF-4BA6-86BA-F2EC4257B4B7}"/>
    <hyperlink ref="D42" r:id="rId24" xr:uid="{A41946DE-23CA-4B9B-B596-7CF857678083}"/>
    <hyperlink ref="D47" r:id="rId25" xr:uid="{618666D1-5622-4DBB-B89E-BA9C3EA08CBD}"/>
    <hyperlink ref="D27" r:id="rId26" xr:uid="{A7EA7CE0-87F0-470C-8C5C-C71EE77A9535}"/>
    <hyperlink ref="D12" r:id="rId27" xr:uid="{F0F40799-12BF-46C6-9300-4F805058FE97}"/>
    <hyperlink ref="D18" r:id="rId28" xr:uid="{8A4CEBED-6DB4-4B7B-BA13-181F88D38867}"/>
    <hyperlink ref="D22" r:id="rId29" xr:uid="{387E95E0-2C6C-4752-9C9F-81753DA88382}"/>
    <hyperlink ref="D48" r:id="rId30" xr:uid="{5A18440D-4E70-400B-A291-BA645A42FDCD}"/>
  </hyperlinks>
  <pageMargins left="0.7" right="0.7" top="0.75" bottom="0.75" header="0.3" footer="0.3"/>
  <pageSetup orientation="portrait" r:id="rId31"/>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54794B3-20F0-43D3-95F1-1D97D4727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2025-05-15T14:07:07Z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