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_de_trabalho"/>
  <mc:AlternateContent xmlns:mc="http://schemas.openxmlformats.org/markup-compatibility/2006">
    <mc:Choice Requires="x15">
      <x15ac:absPath xmlns:x15ac="http://schemas.microsoft.com/office/spreadsheetml/2010/11/ac" url="\\10.1.17.4\Unidades\São Paulo\Relações com Investidores\Divulgações\2026\1T26\"/>
    </mc:Choice>
  </mc:AlternateContent>
  <xr:revisionPtr revIDLastSave="0" documentId="13_ncr:1_{564B38C1-A028-4359-81FA-9FFA9CB01512}" xr6:coauthVersionLast="47" xr6:coauthVersionMax="47" xr10:uidLastSave="{00000000-0000-0000-0000-000000000000}"/>
  <bookViews>
    <workbookView xWindow="-98" yWindow="-98" windowWidth="19396" windowHeight="10395" tabRatio="758" activeTab="2" xr2:uid="{00000000-000D-0000-FFFF-FFFF00000000}"/>
  </bookViews>
  <sheets>
    <sheet name="Home" sheetId="3" r:id="rId1"/>
    <sheet name="Português" sheetId="4" r:id="rId2"/>
    <sheet name="English" sheetId="5" r:id="rId3"/>
    <sheet name="Adjust. (MLR &amp; G&amp;A) PT_EN" sheetId="9" r:id="rId4"/>
    <sheet name="#Hospitais_Hospitals" sheetId="8" r:id="rId5"/>
    <sheet name="Códigos ANS_ANS Code" sheetId="6" r:id="rId6"/>
  </sheets>
  <externalReferences>
    <externalReference r:id="rId7"/>
  </externalReferences>
  <definedNames>
    <definedName name="_xlnm._FilterDatabase" localSheetId="2" hidden="1">English!$A$8:$BC$290</definedName>
    <definedName name="_xlnm._FilterDatabase" localSheetId="1" hidden="1">Português!$B$115:$AG$178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7" i="5" l="1"/>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AR107" i="5"/>
  <c r="AR43" i="4" l="1"/>
  <c r="AR50" i="4" s="1"/>
  <c r="P294" i="5"/>
  <c r="BB209" i="4" l="1"/>
  <c r="AR101" i="4"/>
  <c r="AR106" i="4" s="1"/>
  <c r="AR106" i="5" s="1"/>
  <c r="AR290" i="5" l="1"/>
  <c r="AR289" i="5"/>
  <c r="AR288" i="5"/>
  <c r="AR287" i="5"/>
  <c r="AR286" i="5"/>
  <c r="AR284" i="5"/>
  <c r="AR282" i="5"/>
  <c r="AR281" i="5"/>
  <c r="AR280" i="5"/>
  <c r="AR276" i="5"/>
  <c r="AR269" i="5"/>
  <c r="AR268" i="5"/>
  <c r="AR267" i="5"/>
  <c r="AR266" i="5"/>
  <c r="AR265" i="5"/>
  <c r="AR264" i="5"/>
  <c r="AR263" i="5"/>
  <c r="AR262" i="5"/>
  <c r="AR261" i="5"/>
  <c r="AR260" i="5"/>
  <c r="AR259" i="5"/>
  <c r="AR258" i="5"/>
  <c r="AR257" i="5"/>
  <c r="AR256" i="5"/>
  <c r="AR255" i="5"/>
  <c r="AR254" i="5"/>
  <c r="AR253" i="5"/>
  <c r="AR250" i="5"/>
  <c r="AR249" i="5"/>
  <c r="AR248" i="5"/>
  <c r="AR247" i="5"/>
  <c r="AR246" i="5"/>
  <c r="AR245" i="5"/>
  <c r="AR244" i="5"/>
  <c r="AR243" i="5"/>
  <c r="AR242" i="5"/>
  <c r="AR241" i="5"/>
  <c r="AR240" i="5"/>
  <c r="AR237" i="5"/>
  <c r="AR235" i="5"/>
  <c r="AR234" i="5"/>
  <c r="AR233" i="5"/>
  <c r="AR232" i="5"/>
  <c r="AR231" i="5"/>
  <c r="AR230" i="5"/>
  <c r="AR229" i="5"/>
  <c r="AR228" i="5"/>
  <c r="AR226" i="5"/>
  <c r="AR225" i="5"/>
  <c r="AR224" i="5"/>
  <c r="AR223" i="5"/>
  <c r="AR222" i="5"/>
  <c r="AR221" i="5"/>
  <c r="AR220" i="5"/>
  <c r="AR219" i="5"/>
  <c r="AR217" i="5"/>
  <c r="AR216" i="5"/>
  <c r="AR215" i="5"/>
  <c r="AR214" i="5"/>
  <c r="AR213" i="5"/>
  <c r="AR212" i="5"/>
  <c r="AR211" i="5"/>
  <c r="AR210" i="5"/>
  <c r="AR209" i="5"/>
  <c r="AR208" i="5"/>
  <c r="AR207" i="5"/>
  <c r="AR206" i="5"/>
  <c r="AR205" i="5"/>
  <c r="AR204" i="5"/>
  <c r="AR203" i="5"/>
  <c r="AR202" i="5"/>
  <c r="AR201" i="5"/>
  <c r="AR200" i="5"/>
  <c r="AR199" i="5"/>
  <c r="AR198" i="5"/>
  <c r="AR197" i="5"/>
  <c r="AR196" i="5"/>
  <c r="AR195" i="5"/>
  <c r="AR194" i="5"/>
  <c r="AR193" i="5"/>
  <c r="AR192" i="5"/>
  <c r="AR191" i="5"/>
  <c r="AR190" i="5"/>
  <c r="AR189" i="5"/>
  <c r="AR188" i="5"/>
  <c r="AR187" i="5"/>
  <c r="AR186" i="5"/>
  <c r="AR185" i="5"/>
  <c r="AR184" i="5"/>
  <c r="AR177" i="5"/>
  <c r="AR175" i="5"/>
  <c r="AR174" i="5"/>
  <c r="AR173" i="5"/>
  <c r="AR172" i="5"/>
  <c r="AR171" i="5"/>
  <c r="AR170" i="5"/>
  <c r="AR169" i="5"/>
  <c r="AR168" i="5"/>
  <c r="AR166" i="5"/>
  <c r="AR165" i="5"/>
  <c r="AR164" i="5"/>
  <c r="AR163" i="5"/>
  <c r="AR162" i="5"/>
  <c r="AR161" i="5"/>
  <c r="AR160" i="5"/>
  <c r="AR159" i="5"/>
  <c r="AR158" i="5"/>
  <c r="AR157" i="5"/>
  <c r="AR156" i="5"/>
  <c r="AR154" i="5"/>
  <c r="AR153" i="5"/>
  <c r="AR152" i="5"/>
  <c r="AR151" i="5"/>
  <c r="AR150" i="5"/>
  <c r="AR149" i="5"/>
  <c r="AR148" i="5"/>
  <c r="AR147" i="5"/>
  <c r="AR146" i="5"/>
  <c r="AR145" i="5"/>
  <c r="AR144" i="5"/>
  <c r="AR143" i="5"/>
  <c r="AR140" i="5"/>
  <c r="AR139" i="5"/>
  <c r="AR138" i="5"/>
  <c r="AR137" i="5"/>
  <c r="AR136" i="5"/>
  <c r="AR135" i="5"/>
  <c r="AR134" i="5"/>
  <c r="AR133" i="5"/>
  <c r="AR132" i="5"/>
  <c r="AR131" i="5"/>
  <c r="AR130" i="5"/>
  <c r="AR128" i="5"/>
  <c r="AR127" i="5"/>
  <c r="AR126" i="5"/>
  <c r="AR125" i="5"/>
  <c r="AR124" i="5"/>
  <c r="AR123" i="5"/>
  <c r="AR122" i="5"/>
  <c r="AR121" i="5"/>
  <c r="AR120" i="5"/>
  <c r="AR119" i="5"/>
  <c r="AR118" i="5"/>
  <c r="AR275" i="5" s="1"/>
  <c r="AR108" i="5"/>
  <c r="AR102" i="5"/>
  <c r="AR92" i="5"/>
  <c r="AR89" i="5"/>
  <c r="AR88" i="5"/>
  <c r="AR90" i="5" s="1"/>
  <c r="AR85" i="5"/>
  <c r="AR84" i="5"/>
  <c r="AR86" i="5" s="1"/>
  <c r="AR81" i="5"/>
  <c r="AR80" i="5"/>
  <c r="AR79" i="5"/>
  <c r="AR78" i="5"/>
  <c r="AR77" i="5"/>
  <c r="AR76" i="5"/>
  <c r="AR75" i="5"/>
  <c r="AR74" i="5"/>
  <c r="AR101" i="5" s="1"/>
  <c r="AR73" i="5"/>
  <c r="AR71" i="5"/>
  <c r="AR70" i="5"/>
  <c r="AR69" i="5"/>
  <c r="AR68" i="5"/>
  <c r="AR67" i="5"/>
  <c r="AR62" i="5"/>
  <c r="AR61" i="5"/>
  <c r="AR60" i="5"/>
  <c r="AR59" i="5"/>
  <c r="AR58" i="5"/>
  <c r="AR56" i="5"/>
  <c r="AR55" i="5"/>
  <c r="AR54" i="5"/>
  <c r="AR49" i="5"/>
  <c r="AR48" i="5"/>
  <c r="AR47" i="5"/>
  <c r="AR46" i="5"/>
  <c r="AR45" i="5"/>
  <c r="AR44" i="5"/>
  <c r="AR42" i="5"/>
  <c r="AR39" i="5"/>
  <c r="AR38" i="5"/>
  <c r="AR37" i="5"/>
  <c r="AR36" i="5"/>
  <c r="AR35" i="5"/>
  <c r="AR34" i="5"/>
  <c r="AR33" i="5"/>
  <c r="AR32" i="5"/>
  <c r="AR31" i="5"/>
  <c r="AR26" i="5"/>
  <c r="AR25" i="5"/>
  <c r="AR23" i="5"/>
  <c r="AR22" i="5"/>
  <c r="AR20" i="5"/>
  <c r="AR19" i="5"/>
  <c r="AR18" i="5"/>
  <c r="AR17" i="5"/>
  <c r="AR16" i="5"/>
  <c r="AR15" i="5"/>
  <c r="AR14" i="5"/>
  <c r="AR13" i="5"/>
  <c r="AR12" i="5"/>
  <c r="AR11" i="5"/>
  <c r="AR10" i="5"/>
  <c r="AR285" i="4"/>
  <c r="AR285" i="5" s="1"/>
  <c r="AR283" i="4"/>
  <c r="AR275" i="4"/>
  <c r="AR272" i="4"/>
  <c r="AR252" i="4"/>
  <c r="AR270" i="4" s="1"/>
  <c r="AR239" i="4"/>
  <c r="AR251" i="4" s="1"/>
  <c r="AR227" i="4"/>
  <c r="AR218" i="4"/>
  <c r="AR183" i="4"/>
  <c r="AR176" i="4"/>
  <c r="AR167" i="4" s="1"/>
  <c r="AR155" i="4"/>
  <c r="AR142" i="4"/>
  <c r="AR129" i="4"/>
  <c r="AR117" i="4"/>
  <c r="AR90" i="4"/>
  <c r="AR86" i="4"/>
  <c r="AR72" i="4"/>
  <c r="AR66" i="4"/>
  <c r="AR63" i="4"/>
  <c r="AR57" i="4"/>
  <c r="AR24" i="4"/>
  <c r="AR21" i="4"/>
  <c r="AR9" i="4"/>
  <c r="AQ117" i="4"/>
  <c r="AQ285" i="4"/>
  <c r="AQ275" i="4"/>
  <c r="AR274" i="4" s="1"/>
  <c r="AR274" i="5" s="1"/>
  <c r="AQ183" i="4"/>
  <c r="AR272" i="5" l="1"/>
  <c r="AR9" i="5"/>
  <c r="AR82" i="4"/>
  <c r="AR24" i="5"/>
  <c r="AR21" i="5"/>
  <c r="AR218" i="5"/>
  <c r="AR66" i="5"/>
  <c r="AR116" i="4"/>
  <c r="AR283" i="5"/>
  <c r="AR239" i="5"/>
  <c r="AR251" i="5" s="1"/>
  <c r="AR227" i="5"/>
  <c r="AR183" i="5"/>
  <c r="AR155" i="5"/>
  <c r="AR43" i="5"/>
  <c r="AR252" i="5"/>
  <c r="AR270" i="5" s="1"/>
  <c r="AR142" i="5"/>
  <c r="AR176" i="5"/>
  <c r="AR167" i="5" s="1"/>
  <c r="AR141" i="4"/>
  <c r="AR129" i="5"/>
  <c r="AR117" i="5"/>
  <c r="AR72" i="5"/>
  <c r="AR63" i="5"/>
  <c r="AR57" i="5"/>
  <c r="AR50" i="5"/>
  <c r="AR64" i="4"/>
  <c r="AR83" i="4" s="1"/>
  <c r="D90" i="8"/>
  <c r="AG41" i="9"/>
  <c r="AM39" i="9"/>
  <c r="AL39" i="9"/>
  <c r="AK39" i="9"/>
  <c r="AJ39" i="9"/>
  <c r="AA39" i="9"/>
  <c r="Z39" i="9"/>
  <c r="Y39" i="9"/>
  <c r="X39" i="9"/>
  <c r="W39" i="9"/>
  <c r="V39" i="9"/>
  <c r="S39" i="9"/>
  <c r="R39" i="9"/>
  <c r="Q39" i="9"/>
  <c r="P39" i="9"/>
  <c r="O39" i="9"/>
  <c r="AI39" i="9" s="1"/>
  <c r="N39" i="9"/>
  <c r="AH39" i="9" s="1"/>
  <c r="AM38" i="9"/>
  <c r="AL38" i="9"/>
  <c r="AA38" i="9"/>
  <c r="Z38" i="9"/>
  <c r="Y38" i="9"/>
  <c r="X38" i="9"/>
  <c r="W38" i="9"/>
  <c r="V38" i="9"/>
  <c r="S38" i="9"/>
  <c r="R38" i="9"/>
  <c r="Q38" i="9"/>
  <c r="AK38" i="9" s="1"/>
  <c r="P38" i="9"/>
  <c r="AJ38" i="9" s="1"/>
  <c r="O38" i="9"/>
  <c r="AI38" i="9" s="1"/>
  <c r="N38" i="9"/>
  <c r="AH38" i="9" s="1"/>
  <c r="AG37" i="9"/>
  <c r="M37" i="9"/>
  <c r="M41" i="9" s="1"/>
  <c r="L37" i="9"/>
  <c r="AF37" i="9" s="1"/>
  <c r="K37" i="9"/>
  <c r="AE37" i="9" s="1"/>
  <c r="J37" i="9"/>
  <c r="AD37" i="9" s="1"/>
  <c r="I37" i="9"/>
  <c r="H37" i="9"/>
  <c r="AB37" i="9" s="1"/>
  <c r="G37" i="9"/>
  <c r="G41" i="9" s="1"/>
  <c r="AM36" i="9"/>
  <c r="AL36" i="9"/>
  <c r="AK36" i="9"/>
  <c r="AA36" i="9"/>
  <c r="Z36" i="9"/>
  <c r="Y36" i="9"/>
  <c r="X36" i="9"/>
  <c r="W36" i="9"/>
  <c r="V36" i="9"/>
  <c r="S36" i="9"/>
  <c r="R36" i="9"/>
  <c r="Q36" i="9"/>
  <c r="P36" i="9"/>
  <c r="AJ36" i="9" s="1"/>
  <c r="O36" i="9"/>
  <c r="AI36" i="9" s="1"/>
  <c r="N36" i="9"/>
  <c r="AH36" i="9" s="1"/>
  <c r="AM35" i="9"/>
  <c r="AA35" i="9"/>
  <c r="Z35" i="9"/>
  <c r="Y35" i="9"/>
  <c r="X35" i="9"/>
  <c r="W35" i="9"/>
  <c r="V35" i="9"/>
  <c r="S35" i="9"/>
  <c r="R35" i="9"/>
  <c r="AL35" i="9" s="1"/>
  <c r="Q35" i="9"/>
  <c r="AK35" i="9" s="1"/>
  <c r="P35" i="9"/>
  <c r="AJ35" i="9" s="1"/>
  <c r="O35" i="9"/>
  <c r="AI35" i="9" s="1"/>
  <c r="N35" i="9"/>
  <c r="AH35" i="9" s="1"/>
  <c r="AG34" i="9"/>
  <c r="AF34" i="9"/>
  <c r="AE34" i="9"/>
  <c r="AD34" i="9"/>
  <c r="AC34" i="9"/>
  <c r="AB34" i="9"/>
  <c r="AA33" i="9"/>
  <c r="Z33" i="9"/>
  <c r="Y33" i="9"/>
  <c r="X33" i="9"/>
  <c r="W33" i="9"/>
  <c r="V33" i="9"/>
  <c r="S33" i="9"/>
  <c r="AM33" i="9" s="1"/>
  <c r="R33" i="9"/>
  <c r="AL33" i="9" s="1"/>
  <c r="K33" i="9"/>
  <c r="Q33" i="9" s="1"/>
  <c r="AK33" i="9" s="1"/>
  <c r="J33" i="9"/>
  <c r="P33" i="9" s="1"/>
  <c r="AJ33" i="9" s="1"/>
  <c r="I33" i="9"/>
  <c r="O33" i="9" s="1"/>
  <c r="AI33" i="9" s="1"/>
  <c r="H33" i="9"/>
  <c r="AB33" i="9" s="1"/>
  <c r="AI32" i="9"/>
  <c r="AH32" i="9"/>
  <c r="AA32" i="9"/>
  <c r="Z32" i="9"/>
  <c r="Y32" i="9"/>
  <c r="X32" i="9"/>
  <c r="W32" i="9"/>
  <c r="V32" i="9"/>
  <c r="Q32" i="9"/>
  <c r="AK32" i="9" s="1"/>
  <c r="P32" i="9"/>
  <c r="AJ32" i="9" s="1"/>
  <c r="O32" i="9"/>
  <c r="N32" i="9"/>
  <c r="M32" i="9"/>
  <c r="M24" i="9" s="1"/>
  <c r="AG24" i="9" s="1"/>
  <c r="L32" i="9"/>
  <c r="AM31" i="9"/>
  <c r="AL31" i="9"/>
  <c r="AA31" i="9"/>
  <c r="Z31" i="9"/>
  <c r="Y31" i="9"/>
  <c r="X31" i="9"/>
  <c r="W31" i="9"/>
  <c r="V31" i="9"/>
  <c r="S31" i="9"/>
  <c r="R31" i="9"/>
  <c r="Q31" i="9"/>
  <c r="AK31" i="9" s="1"/>
  <c r="P31" i="9"/>
  <c r="O31" i="9"/>
  <c r="N31" i="9"/>
  <c r="AH31" i="9" s="1"/>
  <c r="AI30" i="9"/>
  <c r="AH30" i="9"/>
  <c r="AA30" i="9"/>
  <c r="Z30" i="9"/>
  <c r="Y30" i="9"/>
  <c r="X30" i="9"/>
  <c r="W30" i="9"/>
  <c r="V30" i="9"/>
  <c r="S30" i="9"/>
  <c r="AM30" i="9" s="1"/>
  <c r="R30" i="9"/>
  <c r="AL30" i="9" s="1"/>
  <c r="Q30" i="9"/>
  <c r="AK30" i="9" s="1"/>
  <c r="P30" i="9"/>
  <c r="AJ30" i="9" s="1"/>
  <c r="O30" i="9"/>
  <c r="N30" i="9"/>
  <c r="AJ29" i="9"/>
  <c r="AI29" i="9"/>
  <c r="AH29" i="9"/>
  <c r="AG29" i="9"/>
  <c r="AF29" i="9"/>
  <c r="AE29" i="9"/>
  <c r="AD29" i="9"/>
  <c r="AC29" i="9"/>
  <c r="AB29" i="9"/>
  <c r="AA29" i="9"/>
  <c r="Z29" i="9"/>
  <c r="Y29" i="9"/>
  <c r="X29" i="9"/>
  <c r="W29" i="9"/>
  <c r="V29" i="9"/>
  <c r="S29" i="9"/>
  <c r="AM29" i="9" s="1"/>
  <c r="R29" i="9"/>
  <c r="AL29" i="9" s="1"/>
  <c r="Q29" i="9"/>
  <c r="AK29" i="9" s="1"/>
  <c r="P29" i="9"/>
  <c r="O29" i="9"/>
  <c r="N29" i="9"/>
  <c r="AK28" i="9"/>
  <c r="AJ28" i="9"/>
  <c r="AI28" i="9"/>
  <c r="AH28" i="9"/>
  <c r="AG28" i="9"/>
  <c r="AF28" i="9"/>
  <c r="AE28" i="9"/>
  <c r="AD28" i="9"/>
  <c r="AC28" i="9"/>
  <c r="AB28" i="9"/>
  <c r="AA28" i="9"/>
  <c r="Z28" i="9"/>
  <c r="Y28" i="9"/>
  <c r="X28" i="9"/>
  <c r="W28" i="9"/>
  <c r="V28" i="9"/>
  <c r="S28" i="9"/>
  <c r="AM28" i="9" s="1"/>
  <c r="R28" i="9"/>
  <c r="AL28" i="9" s="1"/>
  <c r="Q28" i="9"/>
  <c r="P28" i="9"/>
  <c r="O28" i="9"/>
  <c r="N28" i="9"/>
  <c r="AJ27" i="9"/>
  <c r="AI27" i="9"/>
  <c r="AH27" i="9"/>
  <c r="AG27" i="9"/>
  <c r="AF27" i="9"/>
  <c r="AE27" i="9"/>
  <c r="AD27" i="9"/>
  <c r="AC27" i="9"/>
  <c r="AB27" i="9"/>
  <c r="AA27" i="9"/>
  <c r="Z27" i="9"/>
  <c r="Y27" i="9"/>
  <c r="X27" i="9"/>
  <c r="W27" i="9"/>
  <c r="V27" i="9"/>
  <c r="S27" i="9"/>
  <c r="AM27" i="9" s="1"/>
  <c r="R27" i="9"/>
  <c r="AL27" i="9" s="1"/>
  <c r="Q27" i="9"/>
  <c r="AK27" i="9" s="1"/>
  <c r="P27" i="9"/>
  <c r="O27" i="9"/>
  <c r="N27" i="9"/>
  <c r="AK26" i="9"/>
  <c r="AJ26" i="9"/>
  <c r="AI26" i="9"/>
  <c r="AH26" i="9"/>
  <c r="AG26" i="9"/>
  <c r="AF26" i="9"/>
  <c r="AE26" i="9"/>
  <c r="AD26" i="9"/>
  <c r="AC26" i="9"/>
  <c r="AB26" i="9"/>
  <c r="AA26" i="9"/>
  <c r="Z26" i="9"/>
  <c r="Y26" i="9"/>
  <c r="X26" i="9"/>
  <c r="W26" i="9"/>
  <c r="V26" i="9"/>
  <c r="S26" i="9"/>
  <c r="AM26" i="9" s="1"/>
  <c r="R26" i="9"/>
  <c r="AL26" i="9" s="1"/>
  <c r="Q26" i="9"/>
  <c r="P26" i="9"/>
  <c r="O26" i="9"/>
  <c r="N26" i="9"/>
  <c r="AJ25" i="9"/>
  <c r="AI25" i="9"/>
  <c r="AH25" i="9"/>
  <c r="AG25" i="9"/>
  <c r="AF25" i="9"/>
  <c r="AE25" i="9"/>
  <c r="AD25" i="9"/>
  <c r="AC25" i="9"/>
  <c r="AB25" i="9"/>
  <c r="AA25" i="9"/>
  <c r="Z25" i="9"/>
  <c r="Y25" i="9"/>
  <c r="X25" i="9"/>
  <c r="W25" i="9"/>
  <c r="V25" i="9"/>
  <c r="S25" i="9"/>
  <c r="AM25" i="9" s="1"/>
  <c r="R25" i="9"/>
  <c r="AL25" i="9" s="1"/>
  <c r="Q25" i="9"/>
  <c r="AK25" i="9" s="1"/>
  <c r="P25" i="9"/>
  <c r="O25" i="9"/>
  <c r="N25" i="9"/>
  <c r="AH24" i="9"/>
  <c r="AC24" i="9"/>
  <c r="AB24" i="9"/>
  <c r="AA24" i="9"/>
  <c r="Z24" i="9"/>
  <c r="N24" i="9"/>
  <c r="K24" i="9"/>
  <c r="AE24" i="9" s="1"/>
  <c r="J24" i="9"/>
  <c r="AD24" i="9" s="1"/>
  <c r="I24" i="9"/>
  <c r="H24" i="9"/>
  <c r="G24" i="9"/>
  <c r="G34" i="9" s="1"/>
  <c r="AA34" i="9" s="1"/>
  <c r="F24" i="9"/>
  <c r="F34" i="9" s="1"/>
  <c r="F37" i="9" s="1"/>
  <c r="F41" i="9" s="1"/>
  <c r="F42" i="9" s="1"/>
  <c r="Z42" i="9" s="1"/>
  <c r="E24" i="9"/>
  <c r="Y24" i="9" s="1"/>
  <c r="D24" i="9"/>
  <c r="X24" i="9" s="1"/>
  <c r="C24" i="9"/>
  <c r="W24" i="9" s="1"/>
  <c r="B24" i="9"/>
  <c r="V24" i="9" s="1"/>
  <c r="AM23" i="9"/>
  <c r="AL23" i="9"/>
  <c r="AG23" i="9"/>
  <c r="AF23" i="9"/>
  <c r="AE23" i="9"/>
  <c r="AD23" i="9"/>
  <c r="AC23" i="9"/>
  <c r="AB23" i="9"/>
  <c r="AA23" i="9"/>
  <c r="Z23" i="9"/>
  <c r="Y23" i="9"/>
  <c r="X23" i="9"/>
  <c r="W23" i="9"/>
  <c r="V23" i="9"/>
  <c r="S23" i="9"/>
  <c r="R23" i="9"/>
  <c r="Q23" i="9"/>
  <c r="AK23" i="9" s="1"/>
  <c r="P23" i="9"/>
  <c r="AJ23" i="9" s="1"/>
  <c r="O23" i="9"/>
  <c r="AI23" i="9" s="1"/>
  <c r="N23" i="9"/>
  <c r="AH23" i="9" s="1"/>
  <c r="AM22" i="9"/>
  <c r="AK22" i="9"/>
  <c r="AG22" i="9"/>
  <c r="AF22" i="9"/>
  <c r="AE22" i="9"/>
  <c r="AD22" i="9"/>
  <c r="AC22" i="9"/>
  <c r="AB22" i="9"/>
  <c r="AA22" i="9"/>
  <c r="Z22" i="9"/>
  <c r="Y22" i="9"/>
  <c r="X22" i="9"/>
  <c r="W22" i="9"/>
  <c r="V22" i="9"/>
  <c r="S22" i="9"/>
  <c r="R22" i="9"/>
  <c r="AL22" i="9" s="1"/>
  <c r="Q22" i="9"/>
  <c r="P22" i="9"/>
  <c r="AJ22" i="9" s="1"/>
  <c r="O22" i="9"/>
  <c r="AI22" i="9" s="1"/>
  <c r="N22" i="9"/>
  <c r="AM21" i="9"/>
  <c r="AA21" i="9"/>
  <c r="Z21" i="9"/>
  <c r="Y21" i="9"/>
  <c r="X21" i="9"/>
  <c r="W21" i="9"/>
  <c r="V21" i="9"/>
  <c r="S21" i="9"/>
  <c r="R21" i="9"/>
  <c r="AL21" i="9" s="1"/>
  <c r="Q21" i="9"/>
  <c r="AK21" i="9" s="1"/>
  <c r="P21" i="9"/>
  <c r="O21" i="9"/>
  <c r="N21" i="9"/>
  <c r="AH21" i="9" s="1"/>
  <c r="AI20" i="9"/>
  <c r="AH20" i="9"/>
  <c r="AA20" i="9"/>
  <c r="Z20" i="9"/>
  <c r="Y20" i="9"/>
  <c r="X20" i="9"/>
  <c r="W20" i="9"/>
  <c r="V20" i="9"/>
  <c r="S20" i="9"/>
  <c r="AM20" i="9" s="1"/>
  <c r="R20" i="9"/>
  <c r="AL20" i="9" s="1"/>
  <c r="Q20" i="9"/>
  <c r="AK20" i="9" s="1"/>
  <c r="P20" i="9"/>
  <c r="AJ20" i="9" s="1"/>
  <c r="O20" i="9"/>
  <c r="N20" i="9"/>
  <c r="AK19" i="9"/>
  <c r="AJ19" i="9"/>
  <c r="AI19" i="9"/>
  <c r="AG19" i="9"/>
  <c r="AF19" i="9"/>
  <c r="AE19" i="9"/>
  <c r="AD19" i="9"/>
  <c r="AC19" i="9"/>
  <c r="AB19" i="9"/>
  <c r="AA19" i="9"/>
  <c r="Z19" i="9"/>
  <c r="Y19" i="9"/>
  <c r="X19" i="9"/>
  <c r="W19" i="9"/>
  <c r="V19" i="9"/>
  <c r="S19" i="9"/>
  <c r="AM19" i="9" s="1"/>
  <c r="R19" i="9"/>
  <c r="AL19" i="9" s="1"/>
  <c r="Q19" i="9"/>
  <c r="Q18" i="9" s="1"/>
  <c r="AK18" i="9" s="1"/>
  <c r="P19" i="9"/>
  <c r="O19" i="9"/>
  <c r="N19" i="9"/>
  <c r="AH19" i="9" s="1"/>
  <c r="AC18" i="9"/>
  <c r="AB18" i="9"/>
  <c r="AA18" i="9"/>
  <c r="M18" i="9"/>
  <c r="AG18" i="9" s="1"/>
  <c r="L18" i="9"/>
  <c r="AF18" i="9" s="1"/>
  <c r="K18" i="9"/>
  <c r="AE18" i="9" s="1"/>
  <c r="J18" i="9"/>
  <c r="AD18" i="9" s="1"/>
  <c r="I18" i="9"/>
  <c r="H18" i="9"/>
  <c r="G18" i="9"/>
  <c r="F18" i="9"/>
  <c r="Z18" i="9" s="1"/>
  <c r="E18" i="9"/>
  <c r="Y18" i="9" s="1"/>
  <c r="D18" i="9"/>
  <c r="X18" i="9" s="1"/>
  <c r="C18" i="9"/>
  <c r="W18" i="9" s="1"/>
  <c r="B18" i="9"/>
  <c r="V18" i="9" s="1"/>
  <c r="AA16" i="9"/>
  <c r="Z16" i="9"/>
  <c r="Y16" i="9"/>
  <c r="G16" i="9"/>
  <c r="F16" i="9"/>
  <c r="E16" i="9"/>
  <c r="D16" i="9"/>
  <c r="X16" i="9" s="1"/>
  <c r="C16" i="9"/>
  <c r="W16" i="9" s="1"/>
  <c r="B16" i="9"/>
  <c r="V16" i="9" s="1"/>
  <c r="AE15" i="9"/>
  <c r="AA15" i="9"/>
  <c r="Z15" i="9"/>
  <c r="Y15" i="9"/>
  <c r="X15" i="9"/>
  <c r="W15" i="9"/>
  <c r="V15" i="9"/>
  <c r="M15" i="9"/>
  <c r="S15" i="9" s="1"/>
  <c r="S16" i="9" s="1"/>
  <c r="AM16" i="9" s="1"/>
  <c r="L15" i="9"/>
  <c r="AF15" i="9" s="1"/>
  <c r="K15" i="9"/>
  <c r="Q15" i="9" s="1"/>
  <c r="AK15" i="9" s="1"/>
  <c r="J15" i="9"/>
  <c r="AD15" i="9" s="1"/>
  <c r="I15" i="9"/>
  <c r="AC15" i="9" s="1"/>
  <c r="H15" i="9"/>
  <c r="AB15" i="9" s="1"/>
  <c r="AD14" i="9"/>
  <c r="AA14" i="9"/>
  <c r="Z14" i="9"/>
  <c r="Y14" i="9"/>
  <c r="X14" i="9"/>
  <c r="W14" i="9"/>
  <c r="V14" i="9"/>
  <c r="M14" i="9"/>
  <c r="AG14" i="9" s="1"/>
  <c r="L14" i="9"/>
  <c r="K14" i="9"/>
  <c r="AE14" i="9" s="1"/>
  <c r="J14" i="9"/>
  <c r="I14" i="9"/>
  <c r="O14" i="9" s="1"/>
  <c r="AI14" i="9" s="1"/>
  <c r="H14" i="9"/>
  <c r="AB14" i="9" s="1"/>
  <c r="AL13" i="9"/>
  <c r="AK13" i="9"/>
  <c r="AJ13" i="9"/>
  <c r="AI13" i="9"/>
  <c r="AA13" i="9"/>
  <c r="Z13" i="9"/>
  <c r="Y13" i="9"/>
  <c r="X13" i="9"/>
  <c r="W13" i="9"/>
  <c r="V13" i="9"/>
  <c r="S13" i="9"/>
  <c r="R13" i="9"/>
  <c r="Q13" i="9"/>
  <c r="P13" i="9"/>
  <c r="O13" i="9"/>
  <c r="N13" i="9"/>
  <c r="AH13" i="9" s="1"/>
  <c r="AM12" i="9"/>
  <c r="AL12" i="9"/>
  <c r="AK12" i="9"/>
  <c r="AA12" i="9"/>
  <c r="Z12" i="9"/>
  <c r="Y12" i="9"/>
  <c r="X12" i="9"/>
  <c r="W12" i="9"/>
  <c r="V12" i="9"/>
  <c r="S12" i="9"/>
  <c r="R12" i="9"/>
  <c r="Q12" i="9"/>
  <c r="P12" i="9"/>
  <c r="AJ12" i="9" s="1"/>
  <c r="O12" i="9"/>
  <c r="AI12" i="9" s="1"/>
  <c r="N12" i="9"/>
  <c r="AH12" i="9" s="1"/>
  <c r="Y11" i="9"/>
  <c r="X11" i="9"/>
  <c r="W11" i="9"/>
  <c r="G11" i="9"/>
  <c r="AA11" i="9" s="1"/>
  <c r="F11" i="9"/>
  <c r="Z11" i="9" s="1"/>
  <c r="E11" i="9"/>
  <c r="D11" i="9"/>
  <c r="C11" i="9"/>
  <c r="B11" i="9"/>
  <c r="V11" i="9" s="1"/>
  <c r="AM9" i="9"/>
  <c r="AH9" i="9"/>
  <c r="AA9" i="9"/>
  <c r="Z9" i="9"/>
  <c r="G9" i="9"/>
  <c r="F9" i="9"/>
  <c r="AM8" i="9"/>
  <c r="AH8" i="9"/>
  <c r="G8" i="9"/>
  <c r="AA8" i="9" s="1"/>
  <c r="F8" i="9"/>
  <c r="Z8" i="9" s="1"/>
  <c r="AM7" i="9"/>
  <c r="AH7" i="9"/>
  <c r="AA7" i="9"/>
  <c r="G7" i="9"/>
  <c r="F7" i="9"/>
  <c r="Z7" i="9" s="1"/>
  <c r="AM6" i="9"/>
  <c r="AL6" i="9"/>
  <c r="AK6" i="9"/>
  <c r="AA6" i="9"/>
  <c r="Z6" i="9"/>
  <c r="Y6" i="9"/>
  <c r="X6" i="9"/>
  <c r="W6" i="9"/>
  <c r="V6" i="9"/>
  <c r="S6" i="9"/>
  <c r="R6" i="9"/>
  <c r="Q6" i="9"/>
  <c r="P6" i="9"/>
  <c r="AJ6" i="9" s="1"/>
  <c r="O6" i="9"/>
  <c r="AI6" i="9" s="1"/>
  <c r="N6" i="9"/>
  <c r="AH6" i="9" s="1"/>
  <c r="AM5" i="9"/>
  <c r="AL5" i="9"/>
  <c r="AG5" i="9"/>
  <c r="AF5" i="9"/>
  <c r="Z5" i="9"/>
  <c r="G5" i="9"/>
  <c r="AA5" i="9" s="1"/>
  <c r="I313" i="5"/>
  <c r="H313" i="5"/>
  <c r="I312" i="5"/>
  <c r="H312" i="5"/>
  <c r="M308" i="5"/>
  <c r="L308" i="5"/>
  <c r="K308" i="5"/>
  <c r="J308" i="5"/>
  <c r="I308" i="5"/>
  <c r="H308" i="5"/>
  <c r="M307" i="5"/>
  <c r="L307" i="5"/>
  <c r="K307" i="5"/>
  <c r="J307" i="5"/>
  <c r="I307" i="5"/>
  <c r="H307" i="5"/>
  <c r="Q303" i="5"/>
  <c r="P303" i="5"/>
  <c r="O303" i="5"/>
  <c r="N303" i="5"/>
  <c r="M303" i="5"/>
  <c r="L303" i="5"/>
  <c r="K303" i="5"/>
  <c r="J303" i="5"/>
  <c r="I303" i="5"/>
  <c r="H303" i="5"/>
  <c r="Q302" i="5"/>
  <c r="P302" i="5"/>
  <c r="O302" i="5"/>
  <c r="N302" i="5"/>
  <c r="M302" i="5"/>
  <c r="L302" i="5"/>
  <c r="K302" i="5"/>
  <c r="J302" i="5"/>
  <c r="I302" i="5"/>
  <c r="H302" i="5"/>
  <c r="N298" i="5"/>
  <c r="M298" i="5"/>
  <c r="L298" i="5"/>
  <c r="K298" i="5"/>
  <c r="J298" i="5"/>
  <c r="I298" i="5"/>
  <c r="H298" i="5"/>
  <c r="O294" i="5"/>
  <c r="N294" i="5"/>
  <c r="M294" i="5"/>
  <c r="L294" i="5"/>
  <c r="K294" i="5"/>
  <c r="J294" i="5"/>
  <c r="I294" i="5"/>
  <c r="H294" i="5"/>
  <c r="AQ290" i="5"/>
  <c r="BB290" i="5" s="1"/>
  <c r="AP290" i="5"/>
  <c r="AO290" i="5"/>
  <c r="AN290" i="5"/>
  <c r="AL290" i="5"/>
  <c r="AK290" i="5"/>
  <c r="AJ290" i="5"/>
  <c r="BA290" i="5" s="1"/>
  <c r="AI290" i="5"/>
  <c r="AZ290" i="5" s="1"/>
  <c r="AH290" i="5"/>
  <c r="AG290" i="5"/>
  <c r="AF290" i="5"/>
  <c r="AE290" i="5"/>
  <c r="AY290" i="5" s="1"/>
  <c r="AD290" i="5"/>
  <c r="AC290" i="5"/>
  <c r="AB290" i="5"/>
  <c r="AA290" i="5"/>
  <c r="AX290" i="5" s="1"/>
  <c r="Z290" i="5"/>
  <c r="Y290" i="5"/>
  <c r="X290" i="5"/>
  <c r="W290" i="5"/>
  <c r="AW290" i="5" s="1"/>
  <c r="V290" i="5"/>
  <c r="U290" i="5"/>
  <c r="T290" i="5"/>
  <c r="S290" i="5"/>
  <c r="AV290" i="5" s="1"/>
  <c r="R290" i="5"/>
  <c r="Q290" i="5"/>
  <c r="P290" i="5"/>
  <c r="O290" i="5"/>
  <c r="AU290" i="5" s="1"/>
  <c r="N290" i="5"/>
  <c r="M290" i="5"/>
  <c r="L290" i="5"/>
  <c r="K290" i="5"/>
  <c r="AT290" i="5" s="1"/>
  <c r="AQ289" i="5"/>
  <c r="BB289" i="5" s="1"/>
  <c r="AP289" i="5"/>
  <c r="AO289" i="5"/>
  <c r="AN289" i="5"/>
  <c r="AM289" i="5"/>
  <c r="BA289" i="5" s="1"/>
  <c r="AL289" i="5"/>
  <c r="AK289" i="5"/>
  <c r="AJ289" i="5"/>
  <c r="AI289" i="5"/>
  <c r="AZ289" i="5" s="1"/>
  <c r="AH289" i="5"/>
  <c r="AG289" i="5"/>
  <c r="AF289" i="5"/>
  <c r="AE289" i="5"/>
  <c r="AY289" i="5" s="1"/>
  <c r="AD289" i="5"/>
  <c r="AC289" i="5"/>
  <c r="AB289" i="5"/>
  <c r="AA289" i="5"/>
  <c r="AX289" i="5" s="1"/>
  <c r="Z289" i="5"/>
  <c r="Y289" i="5"/>
  <c r="X289" i="5"/>
  <c r="W289" i="5"/>
  <c r="AW289" i="5" s="1"/>
  <c r="V289" i="5"/>
  <c r="U289" i="5"/>
  <c r="T289" i="5"/>
  <c r="S289" i="5"/>
  <c r="AV289" i="5" s="1"/>
  <c r="R289" i="5"/>
  <c r="Q289" i="5"/>
  <c r="P289" i="5"/>
  <c r="O289" i="5"/>
  <c r="AU289" i="5" s="1"/>
  <c r="N289" i="5"/>
  <c r="M289" i="5"/>
  <c r="L289" i="5"/>
  <c r="K289" i="5"/>
  <c r="AT289" i="5" s="1"/>
  <c r="AQ288" i="5"/>
  <c r="BB288" i="5" s="1"/>
  <c r="AP288" i="5"/>
  <c r="AO288" i="5"/>
  <c r="AN288" i="5"/>
  <c r="AM288" i="5"/>
  <c r="BA288" i="5" s="1"/>
  <c r="AL288" i="5"/>
  <c r="AK288" i="5"/>
  <c r="AJ288" i="5"/>
  <c r="AI288" i="5"/>
  <c r="AH288" i="5"/>
  <c r="AG288" i="5"/>
  <c r="AF288" i="5"/>
  <c r="AE288" i="5"/>
  <c r="AY288" i="5" s="1"/>
  <c r="AD288" i="5"/>
  <c r="AC288" i="5"/>
  <c r="AB288" i="5"/>
  <c r="AA288" i="5"/>
  <c r="Z288" i="5"/>
  <c r="Y288" i="5"/>
  <c r="X288" i="5"/>
  <c r="W288" i="5"/>
  <c r="AW288" i="5" s="1"/>
  <c r="V288" i="5"/>
  <c r="U288" i="5"/>
  <c r="T288" i="5"/>
  <c r="S288" i="5"/>
  <c r="R288" i="5"/>
  <c r="Q288" i="5"/>
  <c r="P288" i="5"/>
  <c r="O288" i="5"/>
  <c r="AU288" i="5" s="1"/>
  <c r="N288" i="5"/>
  <c r="M288" i="5"/>
  <c r="L288" i="5"/>
  <c r="K288" i="5"/>
  <c r="AQ287" i="5"/>
  <c r="BB287" i="5" s="1"/>
  <c r="AP287" i="5"/>
  <c r="AO287" i="5"/>
  <c r="AN287" i="5"/>
  <c r="AM287" i="5"/>
  <c r="BA287" i="5" s="1"/>
  <c r="AL287" i="5"/>
  <c r="AK287" i="5"/>
  <c r="AJ287" i="5"/>
  <c r="AI287" i="5"/>
  <c r="AZ287" i="5" s="1"/>
  <c r="AH287" i="5"/>
  <c r="AG287" i="5"/>
  <c r="AF287" i="5"/>
  <c r="AE287" i="5"/>
  <c r="AY287" i="5" s="1"/>
  <c r="AD287" i="5"/>
  <c r="AC287" i="5"/>
  <c r="AB287" i="5"/>
  <c r="AA287" i="5"/>
  <c r="AX287" i="5" s="1"/>
  <c r="Z287" i="5"/>
  <c r="Y287" i="5"/>
  <c r="X287" i="5"/>
  <c r="W287" i="5"/>
  <c r="AW287" i="5" s="1"/>
  <c r="V287" i="5"/>
  <c r="U287" i="5"/>
  <c r="T287" i="5"/>
  <c r="S287" i="5"/>
  <c r="AV287" i="5" s="1"/>
  <c r="R287" i="5"/>
  <c r="Q287" i="5"/>
  <c r="P287" i="5"/>
  <c r="O287" i="5"/>
  <c r="AU287" i="5" s="1"/>
  <c r="N287" i="5"/>
  <c r="M287" i="5"/>
  <c r="L287" i="5"/>
  <c r="K287" i="5"/>
  <c r="AT287" i="5" s="1"/>
  <c r="AQ286" i="5"/>
  <c r="BB286" i="5" s="1"/>
  <c r="AP286" i="5"/>
  <c r="AO286" i="5"/>
  <c r="AN286" i="5"/>
  <c r="AM286" i="5"/>
  <c r="AL286" i="5"/>
  <c r="AK286" i="5"/>
  <c r="AJ286" i="5"/>
  <c r="AI286" i="5"/>
  <c r="AZ286" i="5" s="1"/>
  <c r="AH286" i="5"/>
  <c r="AG286" i="5"/>
  <c r="AF286" i="5"/>
  <c r="AE286" i="5"/>
  <c r="AD286" i="5"/>
  <c r="AC286" i="5"/>
  <c r="AB286" i="5"/>
  <c r="AA286" i="5"/>
  <c r="AX286" i="5" s="1"/>
  <c r="Z286" i="5"/>
  <c r="Y286" i="5"/>
  <c r="X286" i="5"/>
  <c r="W286" i="5"/>
  <c r="V286" i="5"/>
  <c r="U286" i="5"/>
  <c r="T286" i="5"/>
  <c r="S286" i="5"/>
  <c r="AV286" i="5" s="1"/>
  <c r="R286" i="5"/>
  <c r="Q286" i="5"/>
  <c r="P286" i="5"/>
  <c r="O286" i="5"/>
  <c r="N286" i="5"/>
  <c r="M286" i="5"/>
  <c r="L286" i="5"/>
  <c r="K286" i="5"/>
  <c r="AT286" i="5" s="1"/>
  <c r="AQ285" i="5"/>
  <c r="AQ284" i="5"/>
  <c r="AQ282" i="5"/>
  <c r="BB282" i="5" s="1"/>
  <c r="AP282" i="5"/>
  <c r="AO282" i="5"/>
  <c r="AN282" i="5"/>
  <c r="AM282" i="5"/>
  <c r="BA282" i="5" s="1"/>
  <c r="AL282" i="5"/>
  <c r="AK282" i="5"/>
  <c r="AJ282" i="5"/>
  <c r="AI282" i="5"/>
  <c r="AZ282" i="5" s="1"/>
  <c r="AH282" i="5"/>
  <c r="AG282" i="5"/>
  <c r="AF282" i="5"/>
  <c r="AE282" i="5"/>
  <c r="AY282" i="5" s="1"/>
  <c r="AD282" i="5"/>
  <c r="AC282" i="5"/>
  <c r="AB282" i="5"/>
  <c r="AA282" i="5"/>
  <c r="AX282" i="5" s="1"/>
  <c r="Z282" i="5"/>
  <c r="Y282" i="5"/>
  <c r="X282" i="5"/>
  <c r="W282" i="5"/>
  <c r="AW282" i="5" s="1"/>
  <c r="V282" i="5"/>
  <c r="U282" i="5"/>
  <c r="T282" i="5"/>
  <c r="S282" i="5"/>
  <c r="AV282" i="5" s="1"/>
  <c r="R282" i="5"/>
  <c r="Q282" i="5"/>
  <c r="P282" i="5"/>
  <c r="O282" i="5"/>
  <c r="AU282" i="5" s="1"/>
  <c r="N282" i="5"/>
  <c r="M282" i="5"/>
  <c r="L282" i="5"/>
  <c r="K282" i="5"/>
  <c r="AT282" i="5" s="1"/>
  <c r="AQ281" i="5"/>
  <c r="BB281" i="5" s="1"/>
  <c r="AP281" i="5"/>
  <c r="AO281" i="5"/>
  <c r="AN281" i="5"/>
  <c r="AM281" i="5"/>
  <c r="BA281" i="5" s="1"/>
  <c r="AL281" i="5"/>
  <c r="AK281" i="5"/>
  <c r="AJ281" i="5"/>
  <c r="AI281" i="5"/>
  <c r="AZ281" i="5" s="1"/>
  <c r="AH281" i="5"/>
  <c r="AG281" i="5"/>
  <c r="AF281" i="5"/>
  <c r="AE281" i="5"/>
  <c r="AY281" i="5" s="1"/>
  <c r="AD281" i="5"/>
  <c r="AC281" i="5"/>
  <c r="AB281" i="5"/>
  <c r="AA281" i="5"/>
  <c r="AX281" i="5" s="1"/>
  <c r="Z281" i="5"/>
  <c r="Y281" i="5"/>
  <c r="X281" i="5"/>
  <c r="W281" i="5"/>
  <c r="AW281" i="5" s="1"/>
  <c r="V281" i="5"/>
  <c r="U281" i="5"/>
  <c r="T281" i="5"/>
  <c r="S281" i="5"/>
  <c r="AV281" i="5" s="1"/>
  <c r="R281" i="5"/>
  <c r="Q281" i="5"/>
  <c r="P281" i="5"/>
  <c r="O281" i="5"/>
  <c r="AU281" i="5" s="1"/>
  <c r="N281" i="5"/>
  <c r="M281" i="5"/>
  <c r="L281" i="5"/>
  <c r="K281" i="5"/>
  <c r="AT281" i="5" s="1"/>
  <c r="AQ280" i="5"/>
  <c r="BB280" i="5" s="1"/>
  <c r="AP280" i="5"/>
  <c r="AO280" i="5"/>
  <c r="AN280" i="5"/>
  <c r="AM280" i="5"/>
  <c r="AL280" i="5"/>
  <c r="AK280" i="5"/>
  <c r="AJ280" i="5"/>
  <c r="AI280" i="5"/>
  <c r="AZ280" i="5" s="1"/>
  <c r="AH280" i="5"/>
  <c r="AG280" i="5"/>
  <c r="AF280" i="5"/>
  <c r="AE280" i="5"/>
  <c r="AY280" i="5" s="1"/>
  <c r="AD280" i="5"/>
  <c r="AC280" i="5"/>
  <c r="AB280" i="5"/>
  <c r="AA280" i="5"/>
  <c r="AX280" i="5" s="1"/>
  <c r="Z280" i="5"/>
  <c r="Y280" i="5"/>
  <c r="X280" i="5"/>
  <c r="W280" i="5"/>
  <c r="AW280" i="5" s="1"/>
  <c r="V280" i="5"/>
  <c r="U280" i="5"/>
  <c r="T280" i="5"/>
  <c r="S280" i="5"/>
  <c r="R280" i="5"/>
  <c r="Q280" i="5"/>
  <c r="P280" i="5"/>
  <c r="M280" i="5"/>
  <c r="P279" i="5"/>
  <c r="AQ276" i="5"/>
  <c r="AP276" i="5"/>
  <c r="AN276" i="5"/>
  <c r="AM276" i="5"/>
  <c r="AL276" i="5"/>
  <c r="AK276" i="5"/>
  <c r="AI276" i="5"/>
  <c r="AH276" i="5"/>
  <c r="AG276" i="5"/>
  <c r="H274" i="5"/>
  <c r="AQ269" i="5"/>
  <c r="AP269" i="5"/>
  <c r="AO269" i="5"/>
  <c r="AN269" i="5"/>
  <c r="AM269" i="5"/>
  <c r="AL269" i="5"/>
  <c r="AK269" i="5"/>
  <c r="AJ269" i="5"/>
  <c r="AI269" i="5"/>
  <c r="AH269" i="5"/>
  <c r="AG269" i="5"/>
  <c r="AF269" i="5"/>
  <c r="AE269" i="5"/>
  <c r="AD269" i="5"/>
  <c r="AC269" i="5"/>
  <c r="AB269" i="5"/>
  <c r="AA269" i="5"/>
  <c r="Z269" i="5"/>
  <c r="Y269" i="5"/>
  <c r="X269" i="5"/>
  <c r="W269" i="5"/>
  <c r="V269" i="5"/>
  <c r="U269" i="5"/>
  <c r="T269" i="5"/>
  <c r="S269" i="5"/>
  <c r="R269" i="5"/>
  <c r="Q269" i="5"/>
  <c r="P269" i="5"/>
  <c r="O269" i="5"/>
  <c r="N269" i="5"/>
  <c r="M269" i="5"/>
  <c r="L269" i="5"/>
  <c r="K269" i="5"/>
  <c r="J269" i="5"/>
  <c r="I269" i="5"/>
  <c r="H269" i="5"/>
  <c r="AQ268" i="5"/>
  <c r="AP268" i="5"/>
  <c r="AO268" i="5"/>
  <c r="AN268" i="5"/>
  <c r="AM268" i="5"/>
  <c r="AK268" i="5"/>
  <c r="AJ268" i="5"/>
  <c r="AI268" i="5"/>
  <c r="AH268" i="5"/>
  <c r="AG268" i="5"/>
  <c r="AF268" i="5"/>
  <c r="AE268" i="5"/>
  <c r="AD268" i="5"/>
  <c r="AC268" i="5"/>
  <c r="AB268" i="5"/>
  <c r="AA268" i="5"/>
  <c r="Z268" i="5"/>
  <c r="Y268" i="5"/>
  <c r="X268" i="5"/>
  <c r="W268" i="5"/>
  <c r="V268" i="5"/>
  <c r="U268" i="5"/>
  <c r="T268" i="5"/>
  <c r="S268" i="5"/>
  <c r="R268" i="5"/>
  <c r="Q268" i="5"/>
  <c r="P268" i="5"/>
  <c r="O268" i="5"/>
  <c r="N268" i="5"/>
  <c r="M268" i="5"/>
  <c r="L268" i="5"/>
  <c r="K268" i="5"/>
  <c r="J268" i="5"/>
  <c r="I268" i="5"/>
  <c r="H268" i="5"/>
  <c r="AQ267" i="5"/>
  <c r="AP267" i="5"/>
  <c r="AO267" i="5"/>
  <c r="AN267" i="5"/>
  <c r="AM267" i="5"/>
  <c r="AL267" i="5"/>
  <c r="AK267" i="5"/>
  <c r="AJ267" i="5"/>
  <c r="AI267" i="5"/>
  <c r="AH267" i="5"/>
  <c r="AG267" i="5"/>
  <c r="AF267" i="5"/>
  <c r="AE267" i="5"/>
  <c r="AD267" i="5"/>
  <c r="AC267" i="5"/>
  <c r="AB267" i="5"/>
  <c r="AA267" i="5"/>
  <c r="Z267" i="5"/>
  <c r="Y267" i="5"/>
  <c r="X267" i="5"/>
  <c r="W267" i="5"/>
  <c r="V267" i="5"/>
  <c r="U267" i="5"/>
  <c r="T267" i="5"/>
  <c r="S267" i="5"/>
  <c r="R267" i="5"/>
  <c r="Q267" i="5"/>
  <c r="P267" i="5"/>
  <c r="O267" i="5"/>
  <c r="N267" i="5"/>
  <c r="M267" i="5"/>
  <c r="L267" i="5"/>
  <c r="K267" i="5"/>
  <c r="J267" i="5"/>
  <c r="I267" i="5"/>
  <c r="H267" i="5"/>
  <c r="AQ266" i="5"/>
  <c r="AP266" i="5"/>
  <c r="AO266" i="5"/>
  <c r="AN266" i="5"/>
  <c r="AM266" i="5"/>
  <c r="AL266" i="5"/>
  <c r="AK266" i="5"/>
  <c r="AJ266" i="5"/>
  <c r="AI266" i="5"/>
  <c r="AH266" i="5"/>
  <c r="AG266" i="5"/>
  <c r="AF266" i="5"/>
  <c r="AE266" i="5"/>
  <c r="AD266" i="5"/>
  <c r="AC266" i="5"/>
  <c r="AB266" i="5"/>
  <c r="AA266" i="5"/>
  <c r="Z266" i="5"/>
  <c r="Y266" i="5"/>
  <c r="X266" i="5"/>
  <c r="W266" i="5"/>
  <c r="V266" i="5"/>
  <c r="U266" i="5"/>
  <c r="T266" i="5"/>
  <c r="S266" i="5"/>
  <c r="R266" i="5"/>
  <c r="Q266" i="5"/>
  <c r="P266" i="5"/>
  <c r="O266" i="5"/>
  <c r="N266" i="5"/>
  <c r="M266" i="5"/>
  <c r="L266" i="5"/>
  <c r="K266" i="5"/>
  <c r="J266" i="5"/>
  <c r="I266" i="5"/>
  <c r="H266" i="5"/>
  <c r="AQ265" i="5"/>
  <c r="AP265" i="5"/>
  <c r="AO265" i="5"/>
  <c r="AN265" i="5"/>
  <c r="AK265" i="5"/>
  <c r="AJ265" i="5"/>
  <c r="AI265" i="5"/>
  <c r="AH265" i="5"/>
  <c r="AG265" i="5"/>
  <c r="AF265" i="5"/>
  <c r="AE265" i="5"/>
  <c r="AD265" i="5"/>
  <c r="AC265" i="5"/>
  <c r="AB265" i="5"/>
  <c r="AA265" i="5"/>
  <c r="Z265" i="5"/>
  <c r="Y265" i="5"/>
  <c r="X265" i="5"/>
  <c r="W265" i="5"/>
  <c r="V265" i="5"/>
  <c r="U265" i="5"/>
  <c r="T265" i="5"/>
  <c r="S265" i="5"/>
  <c r="R265" i="5"/>
  <c r="Q265" i="5"/>
  <c r="P265" i="5"/>
  <c r="O265" i="5"/>
  <c r="N265" i="5"/>
  <c r="M265" i="5"/>
  <c r="L265" i="5"/>
  <c r="K265" i="5"/>
  <c r="J265" i="5"/>
  <c r="I265" i="5"/>
  <c r="H265" i="5"/>
  <c r="AQ264" i="5"/>
  <c r="AP264" i="5"/>
  <c r="AO264" i="5"/>
  <c r="AN264" i="5"/>
  <c r="AM264" i="5"/>
  <c r="AL264" i="5"/>
  <c r="AK264" i="5"/>
  <c r="AJ264" i="5"/>
  <c r="AI264" i="5"/>
  <c r="AH264" i="5"/>
  <c r="AG264" i="5"/>
  <c r="AF264" i="5"/>
  <c r="AE264" i="5"/>
  <c r="AD264" i="5"/>
  <c r="AC264" i="5"/>
  <c r="AB264" i="5"/>
  <c r="AA264" i="5"/>
  <c r="Z264" i="5"/>
  <c r="Y264" i="5"/>
  <c r="X264" i="5"/>
  <c r="W264" i="5"/>
  <c r="V264" i="5"/>
  <c r="U264" i="5"/>
  <c r="T264" i="5"/>
  <c r="S264" i="5"/>
  <c r="R264" i="5"/>
  <c r="Q264" i="5"/>
  <c r="P264" i="5"/>
  <c r="O264" i="5"/>
  <c r="N264" i="5"/>
  <c r="M264" i="5"/>
  <c r="L264" i="5"/>
  <c r="K264" i="5"/>
  <c r="J264" i="5"/>
  <c r="I264" i="5"/>
  <c r="H264" i="5"/>
  <c r="AQ263" i="5"/>
  <c r="AP263" i="5"/>
  <c r="AO263" i="5"/>
  <c r="AN263" i="5"/>
  <c r="AK263" i="5"/>
  <c r="AJ263" i="5"/>
  <c r="AI263" i="5"/>
  <c r="AH263" i="5"/>
  <c r="AG263" i="5"/>
  <c r="AF263" i="5"/>
  <c r="AE263" i="5"/>
  <c r="AD263" i="5"/>
  <c r="AC263" i="5"/>
  <c r="AB263" i="5"/>
  <c r="AA263" i="5"/>
  <c r="Z263" i="5"/>
  <c r="Y263" i="5"/>
  <c r="X263" i="5"/>
  <c r="W263" i="5"/>
  <c r="V263" i="5"/>
  <c r="U263" i="5"/>
  <c r="T263" i="5"/>
  <c r="S263" i="5"/>
  <c r="R263" i="5"/>
  <c r="Q263" i="5"/>
  <c r="P263" i="5"/>
  <c r="O263" i="5"/>
  <c r="N263" i="5"/>
  <c r="M263" i="5"/>
  <c r="L263" i="5"/>
  <c r="K263" i="5"/>
  <c r="J263" i="5"/>
  <c r="I263" i="5"/>
  <c r="H263" i="5"/>
  <c r="AQ262" i="5"/>
  <c r="AP262" i="5"/>
  <c r="AO262" i="5"/>
  <c r="AN262" i="5"/>
  <c r="AM262" i="5"/>
  <c r="AL262" i="5"/>
  <c r="AK262" i="5"/>
  <c r="AJ262" i="5"/>
  <c r="AI262" i="5"/>
  <c r="AH262" i="5"/>
  <c r="AG262" i="5"/>
  <c r="AF262" i="5"/>
  <c r="AE262" i="5"/>
  <c r="AD262" i="5"/>
  <c r="AC262" i="5"/>
  <c r="AB262" i="5"/>
  <c r="AA262" i="5"/>
  <c r="Z262" i="5"/>
  <c r="Y262" i="5"/>
  <c r="X262" i="5"/>
  <c r="W262" i="5"/>
  <c r="V262" i="5"/>
  <c r="U262" i="5"/>
  <c r="T262" i="5"/>
  <c r="S262" i="5"/>
  <c r="R262" i="5"/>
  <c r="Q262" i="5"/>
  <c r="P262" i="5"/>
  <c r="O262" i="5"/>
  <c r="N262" i="5"/>
  <c r="M262" i="5"/>
  <c r="L262" i="5"/>
  <c r="K262" i="5"/>
  <c r="J262" i="5"/>
  <c r="I262" i="5"/>
  <c r="H262" i="5"/>
  <c r="AQ261" i="5"/>
  <c r="AP261" i="5"/>
  <c r="AO261" i="5"/>
  <c r="AN261" i="5"/>
  <c r="AK261" i="5"/>
  <c r="AJ261" i="5"/>
  <c r="AI261" i="5"/>
  <c r="AH261" i="5"/>
  <c r="AG261" i="5"/>
  <c r="AF261" i="5"/>
  <c r="AE261" i="5"/>
  <c r="AD261" i="5"/>
  <c r="AC261" i="5"/>
  <c r="AB261" i="5"/>
  <c r="AA261" i="5"/>
  <c r="Z261" i="5"/>
  <c r="Y261" i="5"/>
  <c r="X261" i="5"/>
  <c r="W261" i="5"/>
  <c r="V261" i="5"/>
  <c r="U261" i="5"/>
  <c r="T261" i="5"/>
  <c r="S261" i="5"/>
  <c r="R261" i="5"/>
  <c r="Q261" i="5"/>
  <c r="P261" i="5"/>
  <c r="O261" i="5"/>
  <c r="N261" i="5"/>
  <c r="M261" i="5"/>
  <c r="L261" i="5"/>
  <c r="K261" i="5"/>
  <c r="J261" i="5"/>
  <c r="I261" i="5"/>
  <c r="H261" i="5"/>
  <c r="AQ260" i="5"/>
  <c r="AP260" i="5"/>
  <c r="AO260" i="5"/>
  <c r="AN260" i="5"/>
  <c r="AK260" i="5"/>
  <c r="AJ260" i="5"/>
  <c r="AI260" i="5"/>
  <c r="AH260" i="5"/>
  <c r="AG260" i="5"/>
  <c r="AF260" i="5"/>
  <c r="AE260" i="5"/>
  <c r="AD260" i="5"/>
  <c r="AC260" i="5"/>
  <c r="AB260" i="5"/>
  <c r="AA260" i="5"/>
  <c r="Z260" i="5"/>
  <c r="Y260" i="5"/>
  <c r="X260" i="5"/>
  <c r="W260" i="5"/>
  <c r="V260" i="5"/>
  <c r="U260" i="5"/>
  <c r="T260" i="5"/>
  <c r="S260" i="5"/>
  <c r="R260" i="5"/>
  <c r="Q260" i="5"/>
  <c r="P260" i="5"/>
  <c r="O260" i="5"/>
  <c r="N260" i="5"/>
  <c r="M260" i="5"/>
  <c r="L260" i="5"/>
  <c r="K260" i="5"/>
  <c r="J260" i="5"/>
  <c r="I260" i="5"/>
  <c r="H260" i="5"/>
  <c r="AQ259" i="5"/>
  <c r="AP259" i="5"/>
  <c r="AO259" i="5"/>
  <c r="AN259" i="5"/>
  <c r="AK259" i="5"/>
  <c r="AJ259" i="5"/>
  <c r="AI259" i="5"/>
  <c r="AH259" i="5"/>
  <c r="AG259" i="5"/>
  <c r="AF259" i="5"/>
  <c r="AE259" i="5"/>
  <c r="AD259" i="5"/>
  <c r="AC259" i="5"/>
  <c r="AB259" i="5"/>
  <c r="AA259" i="5"/>
  <c r="Z259" i="5"/>
  <c r="Y259" i="5"/>
  <c r="X259" i="5"/>
  <c r="W259" i="5"/>
  <c r="V259" i="5"/>
  <c r="U259" i="5"/>
  <c r="T259" i="5"/>
  <c r="S259" i="5"/>
  <c r="R259" i="5"/>
  <c r="Q259" i="5"/>
  <c r="P259" i="5"/>
  <c r="O259" i="5"/>
  <c r="N259" i="5"/>
  <c r="M259" i="5"/>
  <c r="L259" i="5"/>
  <c r="K259" i="5"/>
  <c r="J259" i="5"/>
  <c r="I259" i="5"/>
  <c r="H259" i="5"/>
  <c r="AQ258" i="5"/>
  <c r="AP258" i="5"/>
  <c r="AO258" i="5"/>
  <c r="AN258" i="5"/>
  <c r="AK258" i="5"/>
  <c r="AJ258" i="5"/>
  <c r="AI258" i="5"/>
  <c r="AH258" i="5"/>
  <c r="AG258" i="5"/>
  <c r="AF258" i="5"/>
  <c r="AE258" i="5"/>
  <c r="AD258" i="5"/>
  <c r="AC258" i="5"/>
  <c r="AB258" i="5"/>
  <c r="AA258" i="5"/>
  <c r="Z258" i="5"/>
  <c r="Y258" i="5"/>
  <c r="X258" i="5"/>
  <c r="W258" i="5"/>
  <c r="V258" i="5"/>
  <c r="U258" i="5"/>
  <c r="T258" i="5"/>
  <c r="S258" i="5"/>
  <c r="R258" i="5"/>
  <c r="Q258" i="5"/>
  <c r="P258" i="5"/>
  <c r="O258" i="5"/>
  <c r="N258" i="5"/>
  <c r="M258" i="5"/>
  <c r="L258" i="5"/>
  <c r="K258" i="5"/>
  <c r="J258" i="5"/>
  <c r="I258" i="5"/>
  <c r="H258" i="5"/>
  <c r="AQ257" i="5"/>
  <c r="AP257" i="5"/>
  <c r="AO257" i="5"/>
  <c r="AN257" i="5"/>
  <c r="AM257" i="5"/>
  <c r="AL257" i="5"/>
  <c r="AK257" i="5"/>
  <c r="AJ257" i="5"/>
  <c r="AI257" i="5"/>
  <c r="AH257" i="5"/>
  <c r="AG257" i="5"/>
  <c r="AF257" i="5"/>
  <c r="AE257" i="5"/>
  <c r="AD257" i="5"/>
  <c r="AC257" i="5"/>
  <c r="AB257" i="5"/>
  <c r="AA257" i="5"/>
  <c r="Z257" i="5"/>
  <c r="Y257" i="5"/>
  <c r="X257" i="5"/>
  <c r="W257" i="5"/>
  <c r="V257" i="5"/>
  <c r="U257" i="5"/>
  <c r="T257" i="5"/>
  <c r="S257" i="5"/>
  <c r="R257" i="5"/>
  <c r="Q257" i="5"/>
  <c r="P257" i="5"/>
  <c r="O257" i="5"/>
  <c r="N257" i="5"/>
  <c r="M257" i="5"/>
  <c r="L257" i="5"/>
  <c r="K257" i="5"/>
  <c r="J257" i="5"/>
  <c r="I257" i="5"/>
  <c r="H257" i="5"/>
  <c r="AQ256" i="5"/>
  <c r="AP256" i="5"/>
  <c r="AO256" i="5"/>
  <c r="AN256" i="5"/>
  <c r="AK256" i="5"/>
  <c r="AJ256" i="5"/>
  <c r="AI256" i="5"/>
  <c r="AH256" i="5"/>
  <c r="AG256" i="5"/>
  <c r="AF256" i="5"/>
  <c r="AE256" i="5"/>
  <c r="AD256" i="5"/>
  <c r="AC256" i="5"/>
  <c r="AB256" i="5"/>
  <c r="AA256" i="5"/>
  <c r="Z256" i="5"/>
  <c r="Y256" i="5"/>
  <c r="X256" i="5"/>
  <c r="W256" i="5"/>
  <c r="V256" i="5"/>
  <c r="U256" i="5"/>
  <c r="T256" i="5"/>
  <c r="S256" i="5"/>
  <c r="R256" i="5"/>
  <c r="Q256" i="5"/>
  <c r="P256" i="5"/>
  <c r="O256" i="5"/>
  <c r="N256" i="5"/>
  <c r="M256" i="5"/>
  <c r="L256" i="5"/>
  <c r="K256" i="5"/>
  <c r="J256" i="5"/>
  <c r="I256" i="5"/>
  <c r="H256" i="5"/>
  <c r="AQ255" i="5"/>
  <c r="AP255" i="5"/>
  <c r="AO255" i="5"/>
  <c r="AN255" i="5"/>
  <c r="AK255" i="5"/>
  <c r="AJ255" i="5"/>
  <c r="AI255" i="5"/>
  <c r="AH255" i="5"/>
  <c r="AG255" i="5"/>
  <c r="AF255" i="5"/>
  <c r="AE255" i="5"/>
  <c r="AD255" i="5"/>
  <c r="AC255" i="5"/>
  <c r="AB255" i="5"/>
  <c r="AA255" i="5"/>
  <c r="Z255" i="5"/>
  <c r="Y255" i="5"/>
  <c r="X255" i="5"/>
  <c r="W255" i="5"/>
  <c r="V255" i="5"/>
  <c r="U255" i="5"/>
  <c r="T255" i="5"/>
  <c r="S255" i="5"/>
  <c r="R255" i="5"/>
  <c r="Q255" i="5"/>
  <c r="P255" i="5"/>
  <c r="O255" i="5"/>
  <c r="N255" i="5"/>
  <c r="M255" i="5"/>
  <c r="L255" i="5"/>
  <c r="K255" i="5"/>
  <c r="J255" i="5"/>
  <c r="I255" i="5"/>
  <c r="H255" i="5"/>
  <c r="AQ254" i="5"/>
  <c r="AP254" i="5"/>
  <c r="AO254" i="5"/>
  <c r="AN254" i="5"/>
  <c r="AK254" i="5"/>
  <c r="AJ254" i="5"/>
  <c r="AI254" i="5"/>
  <c r="AH254" i="5"/>
  <c r="AG254" i="5"/>
  <c r="AF254" i="5"/>
  <c r="AE254" i="5"/>
  <c r="AD254" i="5"/>
  <c r="AC254" i="5"/>
  <c r="AB254" i="5"/>
  <c r="AA254" i="5"/>
  <c r="Z254" i="5"/>
  <c r="Y254" i="5"/>
  <c r="X254" i="5"/>
  <c r="W254" i="5"/>
  <c r="V254" i="5"/>
  <c r="U254" i="5"/>
  <c r="T254" i="5"/>
  <c r="S254" i="5"/>
  <c r="R254" i="5"/>
  <c r="Q254" i="5"/>
  <c r="P254" i="5"/>
  <c r="O254" i="5"/>
  <c r="N254" i="5"/>
  <c r="M254" i="5"/>
  <c r="L254" i="5"/>
  <c r="K254" i="5"/>
  <c r="J254" i="5"/>
  <c r="I254" i="5"/>
  <c r="H254" i="5"/>
  <c r="AQ253" i="5"/>
  <c r="AP253" i="5"/>
  <c r="AO253" i="5"/>
  <c r="AN253" i="5"/>
  <c r="AM253" i="5"/>
  <c r="AL253" i="5"/>
  <c r="AK253" i="5"/>
  <c r="AJ253" i="5"/>
  <c r="AI253" i="5"/>
  <c r="AH253" i="5"/>
  <c r="AG253" i="5"/>
  <c r="AF253" i="5"/>
  <c r="AE253" i="5"/>
  <c r="AD253" i="5"/>
  <c r="AC253" i="5"/>
  <c r="AB253" i="5"/>
  <c r="AA253" i="5"/>
  <c r="Z253" i="5"/>
  <c r="Y253" i="5"/>
  <c r="X253" i="5"/>
  <c r="W253" i="5"/>
  <c r="V253" i="5"/>
  <c r="U253" i="5"/>
  <c r="T253" i="5"/>
  <c r="S253" i="5"/>
  <c r="R253" i="5"/>
  <c r="Q253" i="5"/>
  <c r="P253" i="5"/>
  <c r="O253" i="5"/>
  <c r="N253" i="5"/>
  <c r="M253" i="5"/>
  <c r="L253" i="5"/>
  <c r="K253" i="5"/>
  <c r="J253" i="5"/>
  <c r="I253" i="5"/>
  <c r="H253" i="5"/>
  <c r="AY250" i="5"/>
  <c r="AX250" i="5"/>
  <c r="AW250" i="5"/>
  <c r="AV250" i="5"/>
  <c r="AU250" i="5"/>
  <c r="AT250" i="5"/>
  <c r="AQ250" i="5"/>
  <c r="AP250" i="5"/>
  <c r="AO250" i="5"/>
  <c r="AN250" i="5"/>
  <c r="AJ250" i="5"/>
  <c r="AI250" i="5"/>
  <c r="AH250" i="5"/>
  <c r="AG250" i="5"/>
  <c r="AQ249" i="5"/>
  <c r="AP249" i="5"/>
  <c r="AO249" i="5"/>
  <c r="AN249" i="5"/>
  <c r="AK249" i="5"/>
  <c r="AJ249" i="5"/>
  <c r="AI249" i="5"/>
  <c r="AH249" i="5"/>
  <c r="AG249" i="5"/>
  <c r="AF249" i="5"/>
  <c r="AE249" i="5"/>
  <c r="AD249" i="5"/>
  <c r="AC249" i="5"/>
  <c r="AB249" i="5"/>
  <c r="AA249" i="5"/>
  <c r="Z249" i="5"/>
  <c r="Y249" i="5"/>
  <c r="X249" i="5"/>
  <c r="W249" i="5"/>
  <c r="V249" i="5"/>
  <c r="U249" i="5"/>
  <c r="T249" i="5"/>
  <c r="S249" i="5"/>
  <c r="R249" i="5"/>
  <c r="Q249" i="5"/>
  <c r="P249" i="5"/>
  <c r="O249" i="5"/>
  <c r="N249" i="5"/>
  <c r="M249" i="5"/>
  <c r="L249" i="5"/>
  <c r="K249" i="5"/>
  <c r="J249" i="5"/>
  <c r="I249" i="5"/>
  <c r="H249" i="5"/>
  <c r="AQ248" i="5"/>
  <c r="AP248" i="5"/>
  <c r="AO248" i="5"/>
  <c r="AN248" i="5"/>
  <c r="AM248" i="5"/>
  <c r="AL248" i="5"/>
  <c r="AK248" i="5"/>
  <c r="AJ248" i="5"/>
  <c r="AI248" i="5"/>
  <c r="AH248" i="5"/>
  <c r="AG248" i="5"/>
  <c r="AF248" i="5"/>
  <c r="AE248" i="5"/>
  <c r="AD248" i="5"/>
  <c r="AC248" i="5"/>
  <c r="AB248" i="5"/>
  <c r="AA248" i="5"/>
  <c r="Z248" i="5"/>
  <c r="Y248" i="5"/>
  <c r="X248" i="5"/>
  <c r="W248" i="5"/>
  <c r="V248" i="5"/>
  <c r="U248" i="5"/>
  <c r="T248" i="5"/>
  <c r="S248" i="5"/>
  <c r="R248" i="5"/>
  <c r="Q248" i="5"/>
  <c r="P248" i="5"/>
  <c r="O248" i="5"/>
  <c r="N248" i="5"/>
  <c r="M248" i="5"/>
  <c r="L248" i="5"/>
  <c r="K248" i="5"/>
  <c r="J248" i="5"/>
  <c r="I248" i="5"/>
  <c r="H248" i="5"/>
  <c r="AQ247" i="5"/>
  <c r="AP247" i="5"/>
  <c r="AO247" i="5"/>
  <c r="AN247" i="5"/>
  <c r="AM247" i="5"/>
  <c r="AL247" i="5"/>
  <c r="AK247" i="5"/>
  <c r="AJ247" i="5"/>
  <c r="AI247" i="5"/>
  <c r="AH247" i="5"/>
  <c r="AG247" i="5"/>
  <c r="AF247" i="5"/>
  <c r="AE247" i="5"/>
  <c r="AD247" i="5"/>
  <c r="AC247" i="5"/>
  <c r="AB247" i="5"/>
  <c r="AA247" i="5"/>
  <c r="Z247" i="5"/>
  <c r="Y247" i="5"/>
  <c r="X247" i="5"/>
  <c r="W247" i="5"/>
  <c r="V247" i="5"/>
  <c r="U247" i="5"/>
  <c r="T247" i="5"/>
  <c r="S247" i="5"/>
  <c r="R247" i="5"/>
  <c r="Q247" i="5"/>
  <c r="P247" i="5"/>
  <c r="O247" i="5"/>
  <c r="N247" i="5"/>
  <c r="M247" i="5"/>
  <c r="L247" i="5"/>
  <c r="K247" i="5"/>
  <c r="J247" i="5"/>
  <c r="I247" i="5"/>
  <c r="H247" i="5"/>
  <c r="AQ246" i="5"/>
  <c r="AP246" i="5"/>
  <c r="AO246" i="5"/>
  <c r="AN246" i="5"/>
  <c r="AM246" i="5"/>
  <c r="AL246" i="5"/>
  <c r="AK246" i="5"/>
  <c r="AJ246" i="5"/>
  <c r="AI246" i="5"/>
  <c r="AH246" i="5"/>
  <c r="AG246" i="5"/>
  <c r="AF246" i="5"/>
  <c r="AE246" i="5"/>
  <c r="AD246" i="5"/>
  <c r="AC246" i="5"/>
  <c r="AB246" i="5"/>
  <c r="AA246" i="5"/>
  <c r="Z246" i="5"/>
  <c r="Y246" i="5"/>
  <c r="X246" i="5"/>
  <c r="W246" i="5"/>
  <c r="V246" i="5"/>
  <c r="U246" i="5"/>
  <c r="T246" i="5"/>
  <c r="S246" i="5"/>
  <c r="R246" i="5"/>
  <c r="Q246" i="5"/>
  <c r="P246" i="5"/>
  <c r="O246" i="5"/>
  <c r="N246" i="5"/>
  <c r="M246" i="5"/>
  <c r="L246" i="5"/>
  <c r="K246" i="5"/>
  <c r="J246" i="5"/>
  <c r="I246" i="5"/>
  <c r="H246" i="5"/>
  <c r="AQ245" i="5"/>
  <c r="AP245" i="5"/>
  <c r="AO245" i="5"/>
  <c r="AN245" i="5"/>
  <c r="AM245" i="5"/>
  <c r="AL245" i="5"/>
  <c r="AK245" i="5"/>
  <c r="AJ245" i="5"/>
  <c r="AI245" i="5"/>
  <c r="AH245" i="5"/>
  <c r="AG245" i="5"/>
  <c r="AF245" i="5"/>
  <c r="AE245" i="5"/>
  <c r="AD245" i="5"/>
  <c r="AC245" i="5"/>
  <c r="AB245" i="5"/>
  <c r="AA245" i="5"/>
  <c r="Z245" i="5"/>
  <c r="Y245" i="5"/>
  <c r="X245" i="5"/>
  <c r="W245" i="5"/>
  <c r="V245" i="5"/>
  <c r="U245" i="5"/>
  <c r="T245" i="5"/>
  <c r="S245" i="5"/>
  <c r="R245" i="5"/>
  <c r="Q245" i="5"/>
  <c r="P245" i="5"/>
  <c r="O245" i="5"/>
  <c r="N245" i="5"/>
  <c r="M245" i="5"/>
  <c r="L245" i="5"/>
  <c r="K245" i="5"/>
  <c r="J245" i="5"/>
  <c r="I245" i="5"/>
  <c r="H245" i="5"/>
  <c r="AQ244" i="5"/>
  <c r="AP244" i="5"/>
  <c r="AO244" i="5"/>
  <c r="AN244" i="5"/>
  <c r="AM244" i="5"/>
  <c r="AL244" i="5"/>
  <c r="AK244" i="5"/>
  <c r="AJ244" i="5"/>
  <c r="AI244" i="5"/>
  <c r="AH244" i="5"/>
  <c r="AG244" i="5"/>
  <c r="AF244" i="5"/>
  <c r="AE244" i="5"/>
  <c r="AD244" i="5"/>
  <c r="AC244" i="5"/>
  <c r="AB244" i="5"/>
  <c r="AA244" i="5"/>
  <c r="Z244" i="5"/>
  <c r="Y244" i="5"/>
  <c r="X244" i="5"/>
  <c r="W244" i="5"/>
  <c r="V244" i="5"/>
  <c r="U244" i="5"/>
  <c r="T244" i="5"/>
  <c r="S244" i="5"/>
  <c r="R244" i="5"/>
  <c r="Q244" i="5"/>
  <c r="P244" i="5"/>
  <c r="O244" i="5"/>
  <c r="N244" i="5"/>
  <c r="M244" i="5"/>
  <c r="L244" i="5"/>
  <c r="K244" i="5"/>
  <c r="J244" i="5"/>
  <c r="I244" i="5"/>
  <c r="H244" i="5"/>
  <c r="AQ243" i="5"/>
  <c r="AP243" i="5"/>
  <c r="AO243" i="5"/>
  <c r="AN243" i="5"/>
  <c r="AM243" i="5"/>
  <c r="AL243" i="5"/>
  <c r="AK243" i="5"/>
  <c r="AJ243" i="5"/>
  <c r="AI243" i="5"/>
  <c r="AH243" i="5"/>
  <c r="AG243" i="5"/>
  <c r="AF243" i="5"/>
  <c r="AE243" i="5"/>
  <c r="AD243" i="5"/>
  <c r="AC243" i="5"/>
  <c r="AB243" i="5"/>
  <c r="AA243" i="5"/>
  <c r="Z243" i="5"/>
  <c r="Y243" i="5"/>
  <c r="X243" i="5"/>
  <c r="W243" i="5"/>
  <c r="V243" i="5"/>
  <c r="U243" i="5"/>
  <c r="T243" i="5"/>
  <c r="S243" i="5"/>
  <c r="R243" i="5"/>
  <c r="Q243" i="5"/>
  <c r="P243" i="5"/>
  <c r="O243" i="5"/>
  <c r="N243" i="5"/>
  <c r="M243" i="5"/>
  <c r="L243" i="5"/>
  <c r="K243" i="5"/>
  <c r="J243" i="5"/>
  <c r="I243" i="5"/>
  <c r="H243" i="5"/>
  <c r="AQ242" i="5"/>
  <c r="AP242" i="5"/>
  <c r="AO242" i="5"/>
  <c r="AN242" i="5"/>
  <c r="AK242" i="5"/>
  <c r="AJ242" i="5"/>
  <c r="AI242" i="5"/>
  <c r="AH242" i="5"/>
  <c r="AG242" i="5"/>
  <c r="AF242" i="5"/>
  <c r="AE242" i="5"/>
  <c r="AD242" i="5"/>
  <c r="AC242" i="5"/>
  <c r="AB242" i="5"/>
  <c r="AA242" i="5"/>
  <c r="Z242" i="5"/>
  <c r="Y242" i="5"/>
  <c r="X242" i="5"/>
  <c r="W242" i="5"/>
  <c r="V242" i="5"/>
  <c r="U242" i="5"/>
  <c r="T242" i="5"/>
  <c r="S242" i="5"/>
  <c r="R242" i="5"/>
  <c r="Q242" i="5"/>
  <c r="P242" i="5"/>
  <c r="O242" i="5"/>
  <c r="N242" i="5"/>
  <c r="M242" i="5"/>
  <c r="L242" i="5"/>
  <c r="K242" i="5"/>
  <c r="J242" i="5"/>
  <c r="I242" i="5"/>
  <c r="H242" i="5"/>
  <c r="AQ241" i="5"/>
  <c r="AP241" i="5"/>
  <c r="AO241" i="5"/>
  <c r="AN241" i="5"/>
  <c r="AK241" i="5"/>
  <c r="AJ241" i="5"/>
  <c r="AI241" i="5"/>
  <c r="AH241" i="5"/>
  <c r="AG241" i="5"/>
  <c r="AF241" i="5"/>
  <c r="AE241" i="5"/>
  <c r="AD241" i="5"/>
  <c r="AC241" i="5"/>
  <c r="AB241" i="5"/>
  <c r="AA241" i="5"/>
  <c r="Z241" i="5"/>
  <c r="Y241" i="5"/>
  <c r="X241" i="5"/>
  <c r="W241" i="5"/>
  <c r="V241" i="5"/>
  <c r="U241" i="5"/>
  <c r="T241" i="5"/>
  <c r="S241" i="5"/>
  <c r="R241" i="5"/>
  <c r="Q241" i="5"/>
  <c r="P241" i="5"/>
  <c r="O241" i="5"/>
  <c r="N241" i="5"/>
  <c r="M241" i="5"/>
  <c r="L241" i="5"/>
  <c r="K241" i="5"/>
  <c r="J241" i="5"/>
  <c r="I241" i="5"/>
  <c r="H241" i="5"/>
  <c r="AQ240" i="5"/>
  <c r="AP240" i="5"/>
  <c r="AO240" i="5"/>
  <c r="AN240" i="5"/>
  <c r="AK240" i="5"/>
  <c r="AJ240" i="5"/>
  <c r="AI240" i="5"/>
  <c r="AH240" i="5"/>
  <c r="AG240" i="5"/>
  <c r="AF240" i="5"/>
  <c r="AE240" i="5"/>
  <c r="AD240" i="5"/>
  <c r="AC240" i="5"/>
  <c r="AB240" i="5"/>
  <c r="AA240" i="5"/>
  <c r="Z240" i="5"/>
  <c r="Y240" i="5"/>
  <c r="X240" i="5"/>
  <c r="W240" i="5"/>
  <c r="V240" i="5"/>
  <c r="U240" i="5"/>
  <c r="T240" i="5"/>
  <c r="S240" i="5"/>
  <c r="R240" i="5"/>
  <c r="Q240" i="5"/>
  <c r="P240" i="5"/>
  <c r="O240" i="5"/>
  <c r="N240" i="5"/>
  <c r="M240" i="5"/>
  <c r="L240" i="5"/>
  <c r="K240" i="5"/>
  <c r="J240" i="5"/>
  <c r="I240" i="5"/>
  <c r="H240" i="5"/>
  <c r="AQ237" i="5"/>
  <c r="AP237" i="5"/>
  <c r="AO237" i="5"/>
  <c r="AN237" i="5"/>
  <c r="AK237" i="5"/>
  <c r="AJ237" i="5"/>
  <c r="AI237" i="5"/>
  <c r="AH237" i="5"/>
  <c r="AG237" i="5"/>
  <c r="AF237" i="5"/>
  <c r="AE237" i="5"/>
  <c r="AD237" i="5"/>
  <c r="AC237" i="5"/>
  <c r="AB237" i="5"/>
  <c r="AA237" i="5"/>
  <c r="Z237" i="5"/>
  <c r="Y237" i="5"/>
  <c r="X237" i="5"/>
  <c r="W237" i="5"/>
  <c r="V237" i="5"/>
  <c r="U237" i="5"/>
  <c r="T237" i="5"/>
  <c r="S237" i="5"/>
  <c r="R237" i="5"/>
  <c r="Q237" i="5"/>
  <c r="P237" i="5"/>
  <c r="O237" i="5"/>
  <c r="N237" i="5"/>
  <c r="M237" i="5"/>
  <c r="L237" i="5"/>
  <c r="K237" i="5"/>
  <c r="J237" i="5"/>
  <c r="I237" i="5"/>
  <c r="H237" i="5"/>
  <c r="AQ235" i="5"/>
  <c r="AP235" i="5"/>
  <c r="AO235" i="5"/>
  <c r="AN235" i="5"/>
  <c r="AK235" i="5"/>
  <c r="AJ235" i="5"/>
  <c r="AI235" i="5"/>
  <c r="AH235" i="5"/>
  <c r="AG235" i="5"/>
  <c r="AF235" i="5"/>
  <c r="AE235" i="5"/>
  <c r="AD235" i="5"/>
  <c r="AC235" i="5"/>
  <c r="AB235" i="5"/>
  <c r="AA235" i="5"/>
  <c r="Z235" i="5"/>
  <c r="Y235" i="5"/>
  <c r="X235" i="5"/>
  <c r="W235" i="5"/>
  <c r="V235" i="5"/>
  <c r="U235" i="5"/>
  <c r="T235" i="5"/>
  <c r="S235" i="5"/>
  <c r="R235" i="5"/>
  <c r="Q235" i="5"/>
  <c r="P235" i="5"/>
  <c r="O235" i="5"/>
  <c r="N235" i="5"/>
  <c r="M235" i="5"/>
  <c r="L235" i="5"/>
  <c r="K235" i="5"/>
  <c r="J235" i="5"/>
  <c r="I235" i="5"/>
  <c r="H235" i="5"/>
  <c r="AQ234" i="5"/>
  <c r="AP234" i="5"/>
  <c r="AO234" i="5"/>
  <c r="AN234" i="5"/>
  <c r="AK234" i="5"/>
  <c r="AJ234" i="5"/>
  <c r="AI234" i="5"/>
  <c r="AH234" i="5"/>
  <c r="AG234" i="5"/>
  <c r="AF234" i="5"/>
  <c r="AE234" i="5"/>
  <c r="AD234" i="5"/>
  <c r="AC234" i="5"/>
  <c r="AB234" i="5"/>
  <c r="AA234" i="5"/>
  <c r="Z234" i="5"/>
  <c r="Y234" i="5"/>
  <c r="X234" i="5"/>
  <c r="W234" i="5"/>
  <c r="V234" i="5"/>
  <c r="U234" i="5"/>
  <c r="T234" i="5"/>
  <c r="S234" i="5"/>
  <c r="R234" i="5"/>
  <c r="Q234" i="5"/>
  <c r="P234" i="5"/>
  <c r="O234" i="5"/>
  <c r="N234" i="5"/>
  <c r="M234" i="5"/>
  <c r="L234" i="5"/>
  <c r="K234" i="5"/>
  <c r="J234" i="5"/>
  <c r="I234" i="5"/>
  <c r="H234" i="5"/>
  <c r="AQ233" i="5"/>
  <c r="AP233" i="5"/>
  <c r="AO233" i="5"/>
  <c r="AN233" i="5"/>
  <c r="AK233" i="5"/>
  <c r="AJ233" i="5"/>
  <c r="AI233" i="5"/>
  <c r="AH233" i="5"/>
  <c r="AG233" i="5"/>
  <c r="AF233" i="5"/>
  <c r="AE233" i="5"/>
  <c r="AD233" i="5"/>
  <c r="AC233" i="5"/>
  <c r="AB233" i="5"/>
  <c r="AA233" i="5"/>
  <c r="Z233" i="5"/>
  <c r="Y233" i="5"/>
  <c r="X233" i="5"/>
  <c r="W233" i="5"/>
  <c r="V233" i="5"/>
  <c r="U233" i="5"/>
  <c r="T233" i="5"/>
  <c r="S233" i="5"/>
  <c r="R233" i="5"/>
  <c r="Q233" i="5"/>
  <c r="P233" i="5"/>
  <c r="O233" i="5"/>
  <c r="N233" i="5"/>
  <c r="M233" i="5"/>
  <c r="L233" i="5"/>
  <c r="K233" i="5"/>
  <c r="J233" i="5"/>
  <c r="I233" i="5"/>
  <c r="H233" i="5"/>
  <c r="AQ232" i="5"/>
  <c r="AP232" i="5"/>
  <c r="AO232" i="5"/>
  <c r="AN232" i="5"/>
  <c r="AK232" i="5"/>
  <c r="AJ232" i="5"/>
  <c r="AI232" i="5"/>
  <c r="AH232" i="5"/>
  <c r="AG232" i="5"/>
  <c r="AF232" i="5"/>
  <c r="AE232" i="5"/>
  <c r="AD232" i="5"/>
  <c r="AC232" i="5"/>
  <c r="AB232" i="5"/>
  <c r="AA232" i="5"/>
  <c r="Z232" i="5"/>
  <c r="Y232" i="5"/>
  <c r="X232" i="5"/>
  <c r="W232" i="5"/>
  <c r="V232" i="5"/>
  <c r="U232" i="5"/>
  <c r="T232" i="5"/>
  <c r="S232" i="5"/>
  <c r="R232" i="5"/>
  <c r="Q232" i="5"/>
  <c r="P232" i="5"/>
  <c r="O232" i="5"/>
  <c r="N232" i="5"/>
  <c r="M232" i="5"/>
  <c r="L232" i="5"/>
  <c r="K232" i="5"/>
  <c r="J232" i="5"/>
  <c r="I232" i="5"/>
  <c r="H232" i="5"/>
  <c r="AQ231" i="5"/>
  <c r="AP231" i="5"/>
  <c r="AO231" i="5"/>
  <c r="AN231" i="5"/>
  <c r="AK231" i="5"/>
  <c r="AJ231" i="5"/>
  <c r="AI231" i="5"/>
  <c r="AH231" i="5"/>
  <c r="AG231" i="5"/>
  <c r="AF231" i="5"/>
  <c r="AE231" i="5"/>
  <c r="AD231" i="5"/>
  <c r="AC231" i="5"/>
  <c r="AB231" i="5"/>
  <c r="AA231" i="5"/>
  <c r="Z231" i="5"/>
  <c r="Y231" i="5"/>
  <c r="X231" i="5"/>
  <c r="W231" i="5"/>
  <c r="V231" i="5"/>
  <c r="U231" i="5"/>
  <c r="T231" i="5"/>
  <c r="S231" i="5"/>
  <c r="R231" i="5"/>
  <c r="Q231" i="5"/>
  <c r="P231" i="5"/>
  <c r="O231" i="5"/>
  <c r="N231" i="5"/>
  <c r="M231" i="5"/>
  <c r="L231" i="5"/>
  <c r="K231" i="5"/>
  <c r="J231" i="5"/>
  <c r="I231" i="5"/>
  <c r="H231" i="5"/>
  <c r="AQ230" i="5"/>
  <c r="AP230" i="5"/>
  <c r="AO230" i="5"/>
  <c r="AN230" i="5"/>
  <c r="AK230" i="5"/>
  <c r="AJ230" i="5"/>
  <c r="AI230" i="5"/>
  <c r="AH230" i="5"/>
  <c r="AG230" i="5"/>
  <c r="AF230" i="5"/>
  <c r="AE230" i="5"/>
  <c r="AD230" i="5"/>
  <c r="AC230" i="5"/>
  <c r="AB230" i="5"/>
  <c r="AA230" i="5"/>
  <c r="Z230" i="5"/>
  <c r="Y230" i="5"/>
  <c r="X230" i="5"/>
  <c r="W230" i="5"/>
  <c r="V230" i="5"/>
  <c r="U230" i="5"/>
  <c r="T230" i="5"/>
  <c r="S230" i="5"/>
  <c r="R230" i="5"/>
  <c r="Q230" i="5"/>
  <c r="P230" i="5"/>
  <c r="O230" i="5"/>
  <c r="N230" i="5"/>
  <c r="M230" i="5"/>
  <c r="L230" i="5"/>
  <c r="K230" i="5"/>
  <c r="J230" i="5"/>
  <c r="I230" i="5"/>
  <c r="H230" i="5"/>
  <c r="AQ229" i="5"/>
  <c r="AP229" i="5"/>
  <c r="AO229" i="5"/>
  <c r="AN229" i="5"/>
  <c r="AK229" i="5"/>
  <c r="AJ229" i="5"/>
  <c r="AI229" i="5"/>
  <c r="AH229" i="5"/>
  <c r="AG229" i="5"/>
  <c r="AF229" i="5"/>
  <c r="AE229" i="5"/>
  <c r="AD229" i="5"/>
  <c r="AC229" i="5"/>
  <c r="AB229" i="5"/>
  <c r="AA229" i="5"/>
  <c r="Z229" i="5"/>
  <c r="Y229" i="5"/>
  <c r="X229" i="5"/>
  <c r="W229" i="5"/>
  <c r="V229" i="5"/>
  <c r="U229" i="5"/>
  <c r="T229" i="5"/>
  <c r="S229" i="5"/>
  <c r="R229" i="5"/>
  <c r="Q229" i="5"/>
  <c r="P229" i="5"/>
  <c r="O229" i="5"/>
  <c r="N229" i="5"/>
  <c r="M229" i="5"/>
  <c r="L229" i="5"/>
  <c r="K229" i="5"/>
  <c r="J229" i="5"/>
  <c r="I229" i="5"/>
  <c r="H229" i="5"/>
  <c r="AQ228" i="5"/>
  <c r="AP228" i="5"/>
  <c r="AN228" i="5"/>
  <c r="AK228" i="5"/>
  <c r="AJ228" i="5"/>
  <c r="AI228" i="5"/>
  <c r="AH228" i="5"/>
  <c r="AG228" i="5"/>
  <c r="AF228" i="5"/>
  <c r="AE228" i="5"/>
  <c r="AD228" i="5"/>
  <c r="AC228" i="5"/>
  <c r="AB228" i="5"/>
  <c r="AA228" i="5"/>
  <c r="Z228" i="5"/>
  <c r="Y228" i="5"/>
  <c r="X228" i="5"/>
  <c r="W228" i="5"/>
  <c r="V228" i="5"/>
  <c r="U228" i="5"/>
  <c r="T228" i="5"/>
  <c r="S228" i="5"/>
  <c r="R228" i="5"/>
  <c r="Q228" i="5"/>
  <c r="P228" i="5"/>
  <c r="O228" i="5"/>
  <c r="N228" i="5"/>
  <c r="M228" i="5"/>
  <c r="L228" i="5"/>
  <c r="K228" i="5"/>
  <c r="J228" i="5"/>
  <c r="I228" i="5"/>
  <c r="H228" i="5"/>
  <c r="AQ226" i="5"/>
  <c r="AP226" i="5"/>
  <c r="AO226" i="5"/>
  <c r="AN226" i="5"/>
  <c r="AK226" i="5"/>
  <c r="AJ226" i="5"/>
  <c r="AI226" i="5"/>
  <c r="AH226" i="5"/>
  <c r="AG226" i="5"/>
  <c r="AF226" i="5"/>
  <c r="AE226" i="5"/>
  <c r="AD226" i="5"/>
  <c r="AC226" i="5"/>
  <c r="AB226" i="5"/>
  <c r="AA226" i="5"/>
  <c r="Z226" i="5"/>
  <c r="Y226" i="5"/>
  <c r="X226" i="5"/>
  <c r="W226" i="5"/>
  <c r="V226" i="5"/>
  <c r="U226" i="5"/>
  <c r="T226" i="5"/>
  <c r="S226" i="5"/>
  <c r="R226" i="5"/>
  <c r="Q226" i="5"/>
  <c r="P226" i="5"/>
  <c r="O226" i="5"/>
  <c r="N226" i="5"/>
  <c r="M226" i="5"/>
  <c r="L226" i="5"/>
  <c r="K226" i="5"/>
  <c r="J226" i="5"/>
  <c r="I226" i="5"/>
  <c r="H226" i="5"/>
  <c r="AQ225" i="5"/>
  <c r="AP225" i="5"/>
  <c r="AO225" i="5"/>
  <c r="AN225" i="5"/>
  <c r="AM225" i="5"/>
  <c r="AL225" i="5"/>
  <c r="AK225" i="5"/>
  <c r="AJ225" i="5"/>
  <c r="AI225" i="5"/>
  <c r="AH225" i="5"/>
  <c r="AG225" i="5"/>
  <c r="AF225" i="5"/>
  <c r="AE225" i="5"/>
  <c r="AD225" i="5"/>
  <c r="AC225" i="5"/>
  <c r="AB225" i="5"/>
  <c r="AA225" i="5"/>
  <c r="Z225" i="5"/>
  <c r="Y225" i="5"/>
  <c r="X225" i="5"/>
  <c r="W225" i="5"/>
  <c r="V225" i="5"/>
  <c r="U225" i="5"/>
  <c r="T225" i="5"/>
  <c r="S225" i="5"/>
  <c r="R225" i="5"/>
  <c r="Q225" i="5"/>
  <c r="P225" i="5"/>
  <c r="O225" i="5"/>
  <c r="N225" i="5"/>
  <c r="M225" i="5"/>
  <c r="L225" i="5"/>
  <c r="K225" i="5"/>
  <c r="J225" i="5"/>
  <c r="I225" i="5"/>
  <c r="H225" i="5"/>
  <c r="AQ224" i="5"/>
  <c r="AP224" i="5"/>
  <c r="AO224" i="5"/>
  <c r="AN224" i="5"/>
  <c r="AK224" i="5"/>
  <c r="AJ224" i="5"/>
  <c r="AI224" i="5"/>
  <c r="AH224" i="5"/>
  <c r="AG224" i="5"/>
  <c r="AF224" i="5"/>
  <c r="AE224" i="5"/>
  <c r="AD224" i="5"/>
  <c r="AC224" i="5"/>
  <c r="AB224" i="5"/>
  <c r="AA224" i="5"/>
  <c r="Z224" i="5"/>
  <c r="Y224" i="5"/>
  <c r="X224" i="5"/>
  <c r="W224" i="5"/>
  <c r="V224" i="5"/>
  <c r="U224" i="5"/>
  <c r="T224" i="5"/>
  <c r="S224" i="5"/>
  <c r="R224" i="5"/>
  <c r="Q224" i="5"/>
  <c r="P224" i="5"/>
  <c r="O224" i="5"/>
  <c r="N224" i="5"/>
  <c r="M224" i="5"/>
  <c r="L224" i="5"/>
  <c r="K224" i="5"/>
  <c r="J224" i="5"/>
  <c r="I224" i="5"/>
  <c r="H224" i="5"/>
  <c r="AQ223" i="5"/>
  <c r="AP223" i="5"/>
  <c r="AO223" i="5"/>
  <c r="AN223" i="5"/>
  <c r="AK223" i="5"/>
  <c r="AJ223" i="5"/>
  <c r="AI223" i="5"/>
  <c r="AH223" i="5"/>
  <c r="AG223" i="5"/>
  <c r="AF223" i="5"/>
  <c r="AE223" i="5"/>
  <c r="AD223" i="5"/>
  <c r="AC223" i="5"/>
  <c r="AB223" i="5"/>
  <c r="AA223" i="5"/>
  <c r="Z223" i="5"/>
  <c r="Y223" i="5"/>
  <c r="X223" i="5"/>
  <c r="W223" i="5"/>
  <c r="V223" i="5"/>
  <c r="U223" i="5"/>
  <c r="T223" i="5"/>
  <c r="S223" i="5"/>
  <c r="R223" i="5"/>
  <c r="Q223" i="5"/>
  <c r="P223" i="5"/>
  <c r="O223" i="5"/>
  <c r="N223" i="5"/>
  <c r="M223" i="5"/>
  <c r="L223" i="5"/>
  <c r="K223" i="5"/>
  <c r="J223" i="5"/>
  <c r="I223" i="5"/>
  <c r="H223" i="5"/>
  <c r="AQ222" i="5"/>
  <c r="AP222" i="5"/>
  <c r="AO222" i="5"/>
  <c r="AN222" i="5"/>
  <c r="AM222" i="5"/>
  <c r="AL222" i="5"/>
  <c r="AK222" i="5"/>
  <c r="AJ222" i="5"/>
  <c r="AI222" i="5"/>
  <c r="AH222" i="5"/>
  <c r="AG222" i="5"/>
  <c r="AF222" i="5"/>
  <c r="AE222" i="5"/>
  <c r="AD222" i="5"/>
  <c r="AC222" i="5"/>
  <c r="AB222" i="5"/>
  <c r="AA222" i="5"/>
  <c r="Z222" i="5"/>
  <c r="Y222" i="5"/>
  <c r="X222" i="5"/>
  <c r="W222" i="5"/>
  <c r="V222" i="5"/>
  <c r="U222" i="5"/>
  <c r="T222" i="5"/>
  <c r="S222" i="5"/>
  <c r="R222" i="5"/>
  <c r="Q222" i="5"/>
  <c r="P222" i="5"/>
  <c r="O222" i="5"/>
  <c r="N222" i="5"/>
  <c r="M222" i="5"/>
  <c r="L222" i="5"/>
  <c r="K222" i="5"/>
  <c r="J222" i="5"/>
  <c r="I222" i="5"/>
  <c r="H222" i="5"/>
  <c r="AQ221" i="5"/>
  <c r="AO221" i="5"/>
  <c r="AN221" i="5"/>
  <c r="AK221" i="5"/>
  <c r="AJ221" i="5"/>
  <c r="AI221" i="5"/>
  <c r="AH221" i="5"/>
  <c r="AG221" i="5"/>
  <c r="AF221" i="5"/>
  <c r="AE221" i="5"/>
  <c r="AD221" i="5"/>
  <c r="AC221" i="5"/>
  <c r="AB221" i="5"/>
  <c r="AA221" i="5"/>
  <c r="Z221" i="5"/>
  <c r="Y221" i="5"/>
  <c r="X221" i="5"/>
  <c r="W221" i="5"/>
  <c r="V221" i="5"/>
  <c r="U221" i="5"/>
  <c r="T221" i="5"/>
  <c r="S221" i="5"/>
  <c r="R221" i="5"/>
  <c r="Q221" i="5"/>
  <c r="P221" i="5"/>
  <c r="O221" i="5"/>
  <c r="N221" i="5"/>
  <c r="M221" i="5"/>
  <c r="L221" i="5"/>
  <c r="K221" i="5"/>
  <c r="J221" i="5"/>
  <c r="I221" i="5"/>
  <c r="H221" i="5"/>
  <c r="AQ220" i="5"/>
  <c r="AP220" i="5"/>
  <c r="AO220" i="5"/>
  <c r="AN220" i="5"/>
  <c r="AK220" i="5"/>
  <c r="AJ220" i="5"/>
  <c r="AI220" i="5"/>
  <c r="AH220" i="5"/>
  <c r="AG220" i="5"/>
  <c r="AF220" i="5"/>
  <c r="AE220" i="5"/>
  <c r="AD220" i="5"/>
  <c r="AC220" i="5"/>
  <c r="AB220" i="5"/>
  <c r="AA220" i="5"/>
  <c r="Z220" i="5"/>
  <c r="Y220" i="5"/>
  <c r="X220" i="5"/>
  <c r="W220" i="5"/>
  <c r="V220" i="5"/>
  <c r="U220" i="5"/>
  <c r="T220" i="5"/>
  <c r="S220" i="5"/>
  <c r="R220" i="5"/>
  <c r="Q220" i="5"/>
  <c r="P220" i="5"/>
  <c r="O220" i="5"/>
  <c r="N220" i="5"/>
  <c r="M220" i="5"/>
  <c r="L220" i="5"/>
  <c r="K220" i="5"/>
  <c r="J220" i="5"/>
  <c r="I220" i="5"/>
  <c r="H220" i="5"/>
  <c r="AQ219" i="5"/>
  <c r="AP219" i="5"/>
  <c r="AO219" i="5"/>
  <c r="AN219" i="5"/>
  <c r="AK219" i="5"/>
  <c r="AJ219" i="5"/>
  <c r="AI219" i="5"/>
  <c r="AH219" i="5"/>
  <c r="AG219" i="5"/>
  <c r="AF219" i="5"/>
  <c r="AE219" i="5"/>
  <c r="AD219" i="5"/>
  <c r="AC219" i="5"/>
  <c r="AB219" i="5"/>
  <c r="AA219" i="5"/>
  <c r="Z219" i="5"/>
  <c r="Y219" i="5"/>
  <c r="X219" i="5"/>
  <c r="W219" i="5"/>
  <c r="V219" i="5"/>
  <c r="U219" i="5"/>
  <c r="T219" i="5"/>
  <c r="S219" i="5"/>
  <c r="R219" i="5"/>
  <c r="Q219" i="5"/>
  <c r="P219" i="5"/>
  <c r="O219" i="5"/>
  <c r="N219" i="5"/>
  <c r="M219" i="5"/>
  <c r="L219" i="5"/>
  <c r="K219" i="5"/>
  <c r="J219" i="5"/>
  <c r="I219" i="5"/>
  <c r="H219" i="5"/>
  <c r="AY217" i="5"/>
  <c r="AQ217" i="5"/>
  <c r="AP217" i="5"/>
  <c r="AO217" i="5"/>
  <c r="AN217" i="5"/>
  <c r="AK217" i="5"/>
  <c r="AJ217" i="5"/>
  <c r="AI217" i="5"/>
  <c r="AH217" i="5"/>
  <c r="AG217" i="5"/>
  <c r="AF217" i="5"/>
  <c r="AQ216" i="5"/>
  <c r="AP216" i="5"/>
  <c r="AN216" i="5"/>
  <c r="AK216" i="5"/>
  <c r="AJ216" i="5"/>
  <c r="AI216" i="5"/>
  <c r="AH216" i="5"/>
  <c r="AG216" i="5"/>
  <c r="AF216" i="5"/>
  <c r="AE216" i="5"/>
  <c r="AD216" i="5"/>
  <c r="AC216" i="5"/>
  <c r="AB216" i="5"/>
  <c r="AQ215" i="5"/>
  <c r="AP215" i="5"/>
  <c r="AO215" i="5"/>
  <c r="AN215" i="5"/>
  <c r="AK215" i="5"/>
  <c r="AJ215" i="5"/>
  <c r="AI215" i="5"/>
  <c r="AH215" i="5"/>
  <c r="AG215" i="5"/>
  <c r="AF215" i="5"/>
  <c r="AE215" i="5"/>
  <c r="AD215" i="5"/>
  <c r="AC215" i="5"/>
  <c r="AB215" i="5"/>
  <c r="AA215" i="5"/>
  <c r="Z215" i="5"/>
  <c r="Y215" i="5"/>
  <c r="X215" i="5"/>
  <c r="W215" i="5"/>
  <c r="V215" i="5"/>
  <c r="U215" i="5"/>
  <c r="T215" i="5"/>
  <c r="S215" i="5"/>
  <c r="R215" i="5"/>
  <c r="Q215" i="5"/>
  <c r="P215" i="5"/>
  <c r="O215" i="5"/>
  <c r="N215" i="5"/>
  <c r="M215" i="5"/>
  <c r="L215" i="5"/>
  <c r="K215" i="5"/>
  <c r="J215" i="5"/>
  <c r="I215" i="5"/>
  <c r="H215" i="5"/>
  <c r="AQ214" i="5"/>
  <c r="AP214" i="5"/>
  <c r="AO214" i="5"/>
  <c r="AN214" i="5"/>
  <c r="AK214" i="5"/>
  <c r="AJ214" i="5"/>
  <c r="AI214" i="5"/>
  <c r="AH214" i="5"/>
  <c r="AG214" i="5"/>
  <c r="AF214" i="5"/>
  <c r="AE214" i="5"/>
  <c r="AD214" i="5"/>
  <c r="AC214" i="5"/>
  <c r="AB214" i="5"/>
  <c r="AA214" i="5"/>
  <c r="Z214" i="5"/>
  <c r="Y214" i="5"/>
  <c r="X214" i="5"/>
  <c r="W214" i="5"/>
  <c r="V214" i="5"/>
  <c r="U214" i="5"/>
  <c r="T214" i="5"/>
  <c r="S214" i="5"/>
  <c r="R214" i="5"/>
  <c r="Q214" i="5"/>
  <c r="P214" i="5"/>
  <c r="O214" i="5"/>
  <c r="N214" i="5"/>
  <c r="M214" i="5"/>
  <c r="L214" i="5"/>
  <c r="K214" i="5"/>
  <c r="J214" i="5"/>
  <c r="I214" i="5"/>
  <c r="H214" i="5"/>
  <c r="AQ213" i="5"/>
  <c r="AP213" i="5"/>
  <c r="AO213" i="5"/>
  <c r="AN213" i="5"/>
  <c r="AM213" i="5"/>
  <c r="AL213" i="5"/>
  <c r="AK213" i="5"/>
  <c r="AJ213" i="5"/>
  <c r="AI213" i="5"/>
  <c r="AH213" i="5"/>
  <c r="AG213" i="5"/>
  <c r="AF213" i="5"/>
  <c r="AE213" i="5"/>
  <c r="AD213" i="5"/>
  <c r="AC213" i="5"/>
  <c r="AB213" i="5"/>
  <c r="AA213" i="5"/>
  <c r="Z213" i="5"/>
  <c r="Y213" i="5"/>
  <c r="X213" i="5"/>
  <c r="W213" i="5"/>
  <c r="V213" i="5"/>
  <c r="U213" i="5"/>
  <c r="T213" i="5"/>
  <c r="S213" i="5"/>
  <c r="R213" i="5"/>
  <c r="Q213" i="5"/>
  <c r="P213" i="5"/>
  <c r="O213" i="5"/>
  <c r="N213" i="5"/>
  <c r="M213" i="5"/>
  <c r="L213" i="5"/>
  <c r="K213" i="5"/>
  <c r="J213" i="5"/>
  <c r="I213" i="5"/>
  <c r="H213" i="5"/>
  <c r="AQ212" i="5"/>
  <c r="AP212" i="5"/>
  <c r="AO212" i="5"/>
  <c r="AN212" i="5"/>
  <c r="AM212" i="5"/>
  <c r="AL212" i="5"/>
  <c r="AK212" i="5"/>
  <c r="AJ212" i="5"/>
  <c r="AI212" i="5"/>
  <c r="AH212" i="5"/>
  <c r="AG212" i="5"/>
  <c r="AF212" i="5"/>
  <c r="AE212" i="5"/>
  <c r="AD212" i="5"/>
  <c r="AC212" i="5"/>
  <c r="AB212" i="5"/>
  <c r="AA212" i="5"/>
  <c r="Z212" i="5"/>
  <c r="Y212" i="5"/>
  <c r="X212" i="5"/>
  <c r="W212" i="5"/>
  <c r="V212" i="5"/>
  <c r="U212" i="5"/>
  <c r="T212" i="5"/>
  <c r="S212" i="5"/>
  <c r="R212" i="5"/>
  <c r="Q212" i="5"/>
  <c r="P212" i="5"/>
  <c r="O212" i="5"/>
  <c r="N212" i="5"/>
  <c r="M212" i="5"/>
  <c r="L212" i="5"/>
  <c r="K212" i="5"/>
  <c r="J212" i="5"/>
  <c r="I212" i="5"/>
  <c r="H212" i="5"/>
  <c r="AQ211" i="5"/>
  <c r="AP211" i="5"/>
  <c r="AO211" i="5"/>
  <c r="AN211" i="5"/>
  <c r="AK211" i="5"/>
  <c r="AJ211" i="5"/>
  <c r="AI211" i="5"/>
  <c r="AH211" i="5"/>
  <c r="AG211" i="5"/>
  <c r="AF211" i="5"/>
  <c r="AE211" i="5"/>
  <c r="AD211" i="5"/>
  <c r="AC211" i="5"/>
  <c r="AB211" i="5"/>
  <c r="AA211" i="5"/>
  <c r="Z211" i="5"/>
  <c r="Y211" i="5"/>
  <c r="X211" i="5"/>
  <c r="W211" i="5"/>
  <c r="V211" i="5"/>
  <c r="U211" i="5"/>
  <c r="T211" i="5"/>
  <c r="S211" i="5"/>
  <c r="R211" i="5"/>
  <c r="Q211" i="5"/>
  <c r="P211" i="5"/>
  <c r="O211" i="5"/>
  <c r="N211" i="5"/>
  <c r="M211" i="5"/>
  <c r="L211" i="5"/>
  <c r="K211" i="5"/>
  <c r="J211" i="5"/>
  <c r="I211" i="5"/>
  <c r="H211" i="5"/>
  <c r="AQ210" i="5"/>
  <c r="AP210" i="5"/>
  <c r="AO210" i="5"/>
  <c r="AN210" i="5"/>
  <c r="AK210" i="5"/>
  <c r="AJ210" i="5"/>
  <c r="AI210" i="5"/>
  <c r="AH210" i="5"/>
  <c r="AG210" i="5"/>
  <c r="AF210" i="5"/>
  <c r="AE210" i="5"/>
  <c r="AD210" i="5"/>
  <c r="AC210" i="5"/>
  <c r="AB210" i="5"/>
  <c r="AA210" i="5"/>
  <c r="Z210" i="5"/>
  <c r="Y210" i="5"/>
  <c r="X210" i="5"/>
  <c r="W210" i="5"/>
  <c r="V210" i="5"/>
  <c r="U210" i="5"/>
  <c r="T210" i="5"/>
  <c r="S210" i="5"/>
  <c r="R210" i="5"/>
  <c r="Q210" i="5"/>
  <c r="P210" i="5"/>
  <c r="O210" i="5"/>
  <c r="N210" i="5"/>
  <c r="M210" i="5"/>
  <c r="L210" i="5"/>
  <c r="K210" i="5"/>
  <c r="J210" i="5"/>
  <c r="I210" i="5"/>
  <c r="H210" i="5"/>
  <c r="AQ209" i="5"/>
  <c r="AP209" i="5"/>
  <c r="AO209" i="5"/>
  <c r="AN209" i="5"/>
  <c r="AM209" i="5"/>
  <c r="AL209" i="5"/>
  <c r="AK209" i="5"/>
  <c r="AJ209" i="5"/>
  <c r="AI209" i="5"/>
  <c r="AH209" i="5"/>
  <c r="AG209" i="5"/>
  <c r="AF209" i="5"/>
  <c r="AE209" i="5"/>
  <c r="AD209" i="5"/>
  <c r="AC209" i="5"/>
  <c r="AB209" i="5"/>
  <c r="AA209" i="5"/>
  <c r="Z209" i="5"/>
  <c r="Y209" i="5"/>
  <c r="X209" i="5"/>
  <c r="W209" i="5"/>
  <c r="V209" i="5"/>
  <c r="U209" i="5"/>
  <c r="T209" i="5"/>
  <c r="S209" i="5"/>
  <c r="R209" i="5"/>
  <c r="Q209" i="5"/>
  <c r="P209" i="5"/>
  <c r="O209" i="5"/>
  <c r="N209" i="5"/>
  <c r="M209" i="5"/>
  <c r="L209" i="5"/>
  <c r="K209" i="5"/>
  <c r="J209" i="5"/>
  <c r="I209" i="5"/>
  <c r="H209" i="5"/>
  <c r="AQ208" i="5"/>
  <c r="AP208" i="5"/>
  <c r="AO208" i="5"/>
  <c r="AN208" i="5"/>
  <c r="AM208" i="5"/>
  <c r="AK208" i="5"/>
  <c r="AJ208" i="5"/>
  <c r="AI208" i="5"/>
  <c r="AH208" i="5"/>
  <c r="AG208" i="5"/>
  <c r="AF208" i="5"/>
  <c r="AE208" i="5"/>
  <c r="AD208" i="5"/>
  <c r="AC208" i="5"/>
  <c r="AB208" i="5"/>
  <c r="AA208" i="5"/>
  <c r="Z208" i="5"/>
  <c r="Y208" i="5"/>
  <c r="X208" i="5"/>
  <c r="W208" i="5"/>
  <c r="V208" i="5"/>
  <c r="U208" i="5"/>
  <c r="T208" i="5"/>
  <c r="S208" i="5"/>
  <c r="R208" i="5"/>
  <c r="Q208" i="5"/>
  <c r="P208" i="5"/>
  <c r="O208" i="5"/>
  <c r="N208" i="5"/>
  <c r="M208" i="5"/>
  <c r="L208" i="5"/>
  <c r="K208" i="5"/>
  <c r="J208" i="5"/>
  <c r="I208" i="5"/>
  <c r="H208" i="5"/>
  <c r="AQ207" i="5"/>
  <c r="AP207" i="5"/>
  <c r="AO207" i="5"/>
  <c r="AN207" i="5"/>
  <c r="AM207" i="5"/>
  <c r="AK207" i="5"/>
  <c r="AJ207" i="5"/>
  <c r="AI207" i="5"/>
  <c r="AH207" i="5"/>
  <c r="AG207" i="5"/>
  <c r="AF207" i="5"/>
  <c r="AE207" i="5"/>
  <c r="AD207" i="5"/>
  <c r="AC207" i="5"/>
  <c r="AB207" i="5"/>
  <c r="AA207" i="5"/>
  <c r="Z207" i="5"/>
  <c r="Y207" i="5"/>
  <c r="X207" i="5"/>
  <c r="W207" i="5"/>
  <c r="V207" i="5"/>
  <c r="U207" i="5"/>
  <c r="T207" i="5"/>
  <c r="S207" i="5"/>
  <c r="R207" i="5"/>
  <c r="Q207" i="5"/>
  <c r="P207" i="5"/>
  <c r="O207" i="5"/>
  <c r="N207" i="5"/>
  <c r="M207" i="5"/>
  <c r="L207" i="5"/>
  <c r="K207" i="5"/>
  <c r="J207" i="5"/>
  <c r="I207" i="5"/>
  <c r="H207" i="5"/>
  <c r="AQ206" i="5"/>
  <c r="AP206" i="5"/>
  <c r="AO206" i="5"/>
  <c r="AN206" i="5"/>
  <c r="AM206" i="5"/>
  <c r="AL206" i="5"/>
  <c r="AK206" i="5"/>
  <c r="AJ206" i="5"/>
  <c r="AI206" i="5"/>
  <c r="AH206" i="5"/>
  <c r="AG206" i="5"/>
  <c r="AF206" i="5"/>
  <c r="AE206" i="5"/>
  <c r="AD206" i="5"/>
  <c r="AC206" i="5"/>
  <c r="AB206" i="5"/>
  <c r="AA206" i="5"/>
  <c r="Z206" i="5"/>
  <c r="Y206" i="5"/>
  <c r="X206" i="5"/>
  <c r="W206" i="5"/>
  <c r="V206" i="5"/>
  <c r="U206" i="5"/>
  <c r="T206" i="5"/>
  <c r="S206" i="5"/>
  <c r="R206" i="5"/>
  <c r="Q206" i="5"/>
  <c r="P206" i="5"/>
  <c r="O206" i="5"/>
  <c r="N206" i="5"/>
  <c r="M206" i="5"/>
  <c r="L206" i="5"/>
  <c r="K206" i="5"/>
  <c r="J206" i="5"/>
  <c r="I206" i="5"/>
  <c r="H206" i="5"/>
  <c r="AQ205" i="5"/>
  <c r="AP205" i="5"/>
  <c r="AO205" i="5"/>
  <c r="AN205" i="5"/>
  <c r="AM205" i="5"/>
  <c r="AL205" i="5"/>
  <c r="AK205" i="5"/>
  <c r="AJ205" i="5"/>
  <c r="AI205" i="5"/>
  <c r="AH205" i="5"/>
  <c r="AG205" i="5"/>
  <c r="AF205" i="5"/>
  <c r="AE205" i="5"/>
  <c r="AD205" i="5"/>
  <c r="AC205" i="5"/>
  <c r="AB205" i="5"/>
  <c r="AA205" i="5"/>
  <c r="Z205" i="5"/>
  <c r="Y205" i="5"/>
  <c r="X205" i="5"/>
  <c r="W205" i="5"/>
  <c r="V205" i="5"/>
  <c r="U205" i="5"/>
  <c r="T205" i="5"/>
  <c r="S205" i="5"/>
  <c r="R205" i="5"/>
  <c r="Q205" i="5"/>
  <c r="P205" i="5"/>
  <c r="O205" i="5"/>
  <c r="N205" i="5"/>
  <c r="M205" i="5"/>
  <c r="L205" i="5"/>
  <c r="K205" i="5"/>
  <c r="J205" i="5"/>
  <c r="I205" i="5"/>
  <c r="H205" i="5"/>
  <c r="AQ204" i="5"/>
  <c r="AP204" i="5"/>
  <c r="AO204" i="5"/>
  <c r="AN204" i="5"/>
  <c r="AK204" i="5"/>
  <c r="AJ204" i="5"/>
  <c r="AI204" i="5"/>
  <c r="AH204" i="5"/>
  <c r="AG204" i="5"/>
  <c r="AF204" i="5"/>
  <c r="AE204" i="5"/>
  <c r="AD204" i="5"/>
  <c r="AC204" i="5"/>
  <c r="AB204" i="5"/>
  <c r="AA204" i="5"/>
  <c r="Z204" i="5"/>
  <c r="Y204" i="5"/>
  <c r="X204" i="5"/>
  <c r="W204" i="5"/>
  <c r="V204" i="5"/>
  <c r="U204" i="5"/>
  <c r="T204" i="5"/>
  <c r="S204" i="5"/>
  <c r="R204" i="5"/>
  <c r="Q204" i="5"/>
  <c r="P204" i="5"/>
  <c r="O204" i="5"/>
  <c r="N204" i="5"/>
  <c r="M204" i="5"/>
  <c r="L204" i="5"/>
  <c r="K204" i="5"/>
  <c r="J204" i="5"/>
  <c r="I204" i="5"/>
  <c r="H204" i="5"/>
  <c r="AQ203" i="5"/>
  <c r="AP203" i="5"/>
  <c r="AO203" i="5"/>
  <c r="AN203" i="5"/>
  <c r="AK203" i="5"/>
  <c r="AJ203" i="5"/>
  <c r="AI203" i="5"/>
  <c r="AH203" i="5"/>
  <c r="AG203" i="5"/>
  <c r="AF203" i="5"/>
  <c r="AE203" i="5"/>
  <c r="AD203" i="5"/>
  <c r="AC203" i="5"/>
  <c r="AB203" i="5"/>
  <c r="AA203" i="5"/>
  <c r="Z203" i="5"/>
  <c r="Y203" i="5"/>
  <c r="X203" i="5"/>
  <c r="W203" i="5"/>
  <c r="V203" i="5"/>
  <c r="U203" i="5"/>
  <c r="T203" i="5"/>
  <c r="S203" i="5"/>
  <c r="R203" i="5"/>
  <c r="Q203" i="5"/>
  <c r="P203" i="5"/>
  <c r="O203" i="5"/>
  <c r="N203" i="5"/>
  <c r="M203" i="5"/>
  <c r="L203" i="5"/>
  <c r="K203" i="5"/>
  <c r="J203" i="5"/>
  <c r="I203" i="5"/>
  <c r="H203" i="5"/>
  <c r="AQ202" i="5"/>
  <c r="AP202" i="5"/>
  <c r="AO202" i="5"/>
  <c r="AN202" i="5"/>
  <c r="AK202" i="5"/>
  <c r="AJ202" i="5"/>
  <c r="AI202" i="5"/>
  <c r="AH202" i="5"/>
  <c r="AG202" i="5"/>
  <c r="AF202" i="5"/>
  <c r="AE202" i="5"/>
  <c r="AD202" i="5"/>
  <c r="AC202" i="5"/>
  <c r="AB202" i="5"/>
  <c r="AA202" i="5"/>
  <c r="Z202" i="5"/>
  <c r="Y202" i="5"/>
  <c r="X202" i="5"/>
  <c r="W202" i="5"/>
  <c r="V202" i="5"/>
  <c r="U202" i="5"/>
  <c r="T202" i="5"/>
  <c r="S202" i="5"/>
  <c r="R202" i="5"/>
  <c r="Q202" i="5"/>
  <c r="P202" i="5"/>
  <c r="O202" i="5"/>
  <c r="N202" i="5"/>
  <c r="M202" i="5"/>
  <c r="L202" i="5"/>
  <c r="K202" i="5"/>
  <c r="J202" i="5"/>
  <c r="I202" i="5"/>
  <c r="H202" i="5"/>
  <c r="AQ201" i="5"/>
  <c r="AP201" i="5"/>
  <c r="AO201" i="5"/>
  <c r="AN201" i="5"/>
  <c r="AK201" i="5"/>
  <c r="AJ201" i="5"/>
  <c r="AI201" i="5"/>
  <c r="AH201" i="5"/>
  <c r="AG201" i="5"/>
  <c r="AF201" i="5"/>
  <c r="AE201" i="5"/>
  <c r="AD201" i="5"/>
  <c r="AC201" i="5"/>
  <c r="AB201" i="5"/>
  <c r="AA201" i="5"/>
  <c r="Z201" i="5"/>
  <c r="Y201" i="5"/>
  <c r="X201" i="5"/>
  <c r="W201" i="5"/>
  <c r="V201" i="5"/>
  <c r="U201" i="5"/>
  <c r="T201" i="5"/>
  <c r="S201" i="5"/>
  <c r="R201" i="5"/>
  <c r="Q201" i="5"/>
  <c r="P201" i="5"/>
  <c r="O201" i="5"/>
  <c r="N201" i="5"/>
  <c r="M201" i="5"/>
  <c r="L201" i="5"/>
  <c r="K201" i="5"/>
  <c r="J201" i="5"/>
  <c r="I201" i="5"/>
  <c r="H201" i="5"/>
  <c r="AQ200" i="5"/>
  <c r="AP200" i="5"/>
  <c r="AO200" i="5"/>
  <c r="AN200" i="5"/>
  <c r="AK200" i="5"/>
  <c r="AJ200" i="5"/>
  <c r="AI200" i="5"/>
  <c r="AH200" i="5"/>
  <c r="AG200" i="5"/>
  <c r="AF200" i="5"/>
  <c r="AE200" i="5"/>
  <c r="AD200" i="5"/>
  <c r="AC200" i="5"/>
  <c r="AB200" i="5"/>
  <c r="AA200" i="5"/>
  <c r="Z200" i="5"/>
  <c r="Y200" i="5"/>
  <c r="X200" i="5"/>
  <c r="W200" i="5"/>
  <c r="V200" i="5"/>
  <c r="U200" i="5"/>
  <c r="T200" i="5"/>
  <c r="S200" i="5"/>
  <c r="R200" i="5"/>
  <c r="Q200" i="5"/>
  <c r="P200" i="5"/>
  <c r="O200" i="5"/>
  <c r="N200" i="5"/>
  <c r="M200" i="5"/>
  <c r="L200" i="5"/>
  <c r="K200" i="5"/>
  <c r="J200" i="5"/>
  <c r="I200" i="5"/>
  <c r="H200" i="5"/>
  <c r="AQ199" i="5"/>
  <c r="AP199" i="5"/>
  <c r="AO199" i="5"/>
  <c r="AN199" i="5"/>
  <c r="AM199" i="5"/>
  <c r="AK199" i="5"/>
  <c r="AJ199" i="5"/>
  <c r="AI199" i="5"/>
  <c r="AH199" i="5"/>
  <c r="AG199" i="5"/>
  <c r="AF199" i="5"/>
  <c r="AE199" i="5"/>
  <c r="AD199" i="5"/>
  <c r="AC199" i="5"/>
  <c r="AB199" i="5"/>
  <c r="AA199" i="5"/>
  <c r="Z199" i="5"/>
  <c r="Y199" i="5"/>
  <c r="X199" i="5"/>
  <c r="W199" i="5"/>
  <c r="V199" i="5"/>
  <c r="U199" i="5"/>
  <c r="T199" i="5"/>
  <c r="S199" i="5"/>
  <c r="R199" i="5"/>
  <c r="Q199" i="5"/>
  <c r="P199" i="5"/>
  <c r="O199" i="5"/>
  <c r="N199" i="5"/>
  <c r="M199" i="5"/>
  <c r="L199" i="5"/>
  <c r="K199" i="5"/>
  <c r="J199" i="5"/>
  <c r="I199" i="5"/>
  <c r="H199" i="5"/>
  <c r="AQ198" i="5"/>
  <c r="AP198" i="5"/>
  <c r="AO198" i="5"/>
  <c r="AN198" i="5"/>
  <c r="AM198" i="5"/>
  <c r="AK198" i="5"/>
  <c r="AJ198" i="5"/>
  <c r="AI198" i="5"/>
  <c r="AH198" i="5"/>
  <c r="AG198" i="5"/>
  <c r="AF198" i="5"/>
  <c r="AE198" i="5"/>
  <c r="AD198" i="5"/>
  <c r="AC198" i="5"/>
  <c r="AB198" i="5"/>
  <c r="AA198" i="5"/>
  <c r="Z198" i="5"/>
  <c r="Y198" i="5"/>
  <c r="X198" i="5"/>
  <c r="W198" i="5"/>
  <c r="V198" i="5"/>
  <c r="U198" i="5"/>
  <c r="T198" i="5"/>
  <c r="S198" i="5"/>
  <c r="R198" i="5"/>
  <c r="Q198" i="5"/>
  <c r="P198" i="5"/>
  <c r="O198" i="5"/>
  <c r="N198" i="5"/>
  <c r="M198" i="5"/>
  <c r="L198" i="5"/>
  <c r="K198" i="5"/>
  <c r="J198" i="5"/>
  <c r="I198" i="5"/>
  <c r="H198" i="5"/>
  <c r="AQ197" i="5"/>
  <c r="AP197" i="5"/>
  <c r="AO197" i="5"/>
  <c r="AN197" i="5"/>
  <c r="AM197" i="5"/>
  <c r="AK197" i="5"/>
  <c r="AJ197" i="5"/>
  <c r="AI197" i="5"/>
  <c r="AH197" i="5"/>
  <c r="AG197" i="5"/>
  <c r="AF197" i="5"/>
  <c r="AE197" i="5"/>
  <c r="AD197" i="5"/>
  <c r="AC197" i="5"/>
  <c r="AB197" i="5"/>
  <c r="AA197" i="5"/>
  <c r="Z197" i="5"/>
  <c r="Y197" i="5"/>
  <c r="X197" i="5"/>
  <c r="W197" i="5"/>
  <c r="V197" i="5"/>
  <c r="U197" i="5"/>
  <c r="T197" i="5"/>
  <c r="S197" i="5"/>
  <c r="R197" i="5"/>
  <c r="Q197" i="5"/>
  <c r="P197" i="5"/>
  <c r="O197" i="5"/>
  <c r="N197" i="5"/>
  <c r="M197" i="5"/>
  <c r="L197" i="5"/>
  <c r="K197" i="5"/>
  <c r="J197" i="5"/>
  <c r="I197" i="5"/>
  <c r="H197" i="5"/>
  <c r="AQ196" i="5"/>
  <c r="AP196" i="5"/>
  <c r="AO196" i="5"/>
  <c r="AN196" i="5"/>
  <c r="AM196" i="5"/>
  <c r="AL196" i="5"/>
  <c r="AK196" i="5"/>
  <c r="AJ196" i="5"/>
  <c r="AI196" i="5"/>
  <c r="AH196" i="5"/>
  <c r="AG196" i="5"/>
  <c r="AF196" i="5"/>
  <c r="AE196" i="5"/>
  <c r="AD196" i="5"/>
  <c r="AC196" i="5"/>
  <c r="AB196" i="5"/>
  <c r="AA196" i="5"/>
  <c r="Z196" i="5"/>
  <c r="Y196" i="5"/>
  <c r="X196" i="5"/>
  <c r="W196" i="5"/>
  <c r="V196" i="5"/>
  <c r="U196" i="5"/>
  <c r="T196" i="5"/>
  <c r="S196" i="5"/>
  <c r="R196" i="5"/>
  <c r="Q196" i="5"/>
  <c r="P196" i="5"/>
  <c r="O196" i="5"/>
  <c r="N196" i="5"/>
  <c r="M196" i="5"/>
  <c r="L196" i="5"/>
  <c r="K196" i="5"/>
  <c r="J196" i="5"/>
  <c r="I196" i="5"/>
  <c r="H196" i="5"/>
  <c r="AQ195" i="5"/>
  <c r="AP195" i="5"/>
  <c r="AO195" i="5"/>
  <c r="AN195" i="5"/>
  <c r="AM195" i="5"/>
  <c r="AL195" i="5"/>
  <c r="AK195" i="5"/>
  <c r="AJ195" i="5"/>
  <c r="AI195" i="5"/>
  <c r="AH195" i="5"/>
  <c r="AG195" i="5"/>
  <c r="AF195" i="5"/>
  <c r="AE195" i="5"/>
  <c r="AD195" i="5"/>
  <c r="AC195" i="5"/>
  <c r="AB195" i="5"/>
  <c r="AA195" i="5"/>
  <c r="Z195" i="5"/>
  <c r="Y195" i="5"/>
  <c r="X195" i="5"/>
  <c r="W195" i="5"/>
  <c r="V195" i="5"/>
  <c r="U195" i="5"/>
  <c r="T195" i="5"/>
  <c r="S195" i="5"/>
  <c r="R195" i="5"/>
  <c r="Q195" i="5"/>
  <c r="P195" i="5"/>
  <c r="O195" i="5"/>
  <c r="N195" i="5"/>
  <c r="M195" i="5"/>
  <c r="L195" i="5"/>
  <c r="K195" i="5"/>
  <c r="J195" i="5"/>
  <c r="I195" i="5"/>
  <c r="H195" i="5"/>
  <c r="AQ194" i="5"/>
  <c r="AP194" i="5"/>
  <c r="AO194" i="5"/>
  <c r="AN194" i="5"/>
  <c r="AK194" i="5"/>
  <c r="AJ194" i="5"/>
  <c r="AI194" i="5"/>
  <c r="AH194" i="5"/>
  <c r="AG194" i="5"/>
  <c r="AF194" i="5"/>
  <c r="AE194" i="5"/>
  <c r="AD194" i="5"/>
  <c r="AC194" i="5"/>
  <c r="AB194" i="5"/>
  <c r="AA194" i="5"/>
  <c r="Z194" i="5"/>
  <c r="Y194" i="5"/>
  <c r="X194" i="5"/>
  <c r="W194" i="5"/>
  <c r="V194" i="5"/>
  <c r="U194" i="5"/>
  <c r="T194" i="5"/>
  <c r="S194" i="5"/>
  <c r="R194" i="5"/>
  <c r="Q194" i="5"/>
  <c r="P194" i="5"/>
  <c r="O194" i="5"/>
  <c r="N194" i="5"/>
  <c r="M194" i="5"/>
  <c r="L194" i="5"/>
  <c r="K194" i="5"/>
  <c r="J194" i="5"/>
  <c r="I194" i="5"/>
  <c r="H194" i="5"/>
  <c r="AQ193" i="5"/>
  <c r="AP193" i="5"/>
  <c r="AO193" i="5"/>
  <c r="AN193" i="5"/>
  <c r="AK193" i="5"/>
  <c r="AJ193" i="5"/>
  <c r="AI193" i="5"/>
  <c r="AH193" i="5"/>
  <c r="AG193" i="5"/>
  <c r="AF193" i="5"/>
  <c r="AE193" i="5"/>
  <c r="AD193" i="5"/>
  <c r="AC193" i="5"/>
  <c r="AB193" i="5"/>
  <c r="AA193" i="5"/>
  <c r="Z193" i="5"/>
  <c r="Y193" i="5"/>
  <c r="X193" i="5"/>
  <c r="W193" i="5"/>
  <c r="V193" i="5"/>
  <c r="U193" i="5"/>
  <c r="T193" i="5"/>
  <c r="S193" i="5"/>
  <c r="R193" i="5"/>
  <c r="Q193" i="5"/>
  <c r="P193" i="5"/>
  <c r="O193" i="5"/>
  <c r="N193" i="5"/>
  <c r="M193" i="5"/>
  <c r="L193" i="5"/>
  <c r="K193" i="5"/>
  <c r="J193" i="5"/>
  <c r="I193" i="5"/>
  <c r="H193" i="5"/>
  <c r="AQ192" i="5"/>
  <c r="AP192" i="5"/>
  <c r="AO192" i="5"/>
  <c r="AN192" i="5"/>
  <c r="AM192" i="5"/>
  <c r="AL192" i="5"/>
  <c r="AK192" i="5"/>
  <c r="AJ192" i="5"/>
  <c r="AI192" i="5"/>
  <c r="AH192" i="5"/>
  <c r="AG192" i="5"/>
  <c r="AF192" i="5"/>
  <c r="AE192" i="5"/>
  <c r="AD192" i="5"/>
  <c r="AC192" i="5"/>
  <c r="AB192" i="5"/>
  <c r="AA192" i="5"/>
  <c r="Z192" i="5"/>
  <c r="Y192" i="5"/>
  <c r="X192" i="5"/>
  <c r="W192" i="5"/>
  <c r="V192" i="5"/>
  <c r="U192" i="5"/>
  <c r="T192" i="5"/>
  <c r="S192" i="5"/>
  <c r="R192" i="5"/>
  <c r="Q192" i="5"/>
  <c r="P192" i="5"/>
  <c r="O192" i="5"/>
  <c r="N192" i="5"/>
  <c r="M192" i="5"/>
  <c r="L192" i="5"/>
  <c r="K192" i="5"/>
  <c r="J192" i="5"/>
  <c r="I192" i="5"/>
  <c r="H192" i="5"/>
  <c r="AQ191" i="5"/>
  <c r="AP191" i="5"/>
  <c r="AO191" i="5"/>
  <c r="AN191" i="5"/>
  <c r="AK191" i="5"/>
  <c r="AJ191" i="5"/>
  <c r="AI191" i="5"/>
  <c r="AH191" i="5"/>
  <c r="AG191" i="5"/>
  <c r="AF191" i="5"/>
  <c r="AE191" i="5"/>
  <c r="AD191" i="5"/>
  <c r="AC191" i="5"/>
  <c r="AB191" i="5"/>
  <c r="AA191" i="5"/>
  <c r="Z191" i="5"/>
  <c r="Y191" i="5"/>
  <c r="X191" i="5"/>
  <c r="W191" i="5"/>
  <c r="V191" i="5"/>
  <c r="U191" i="5"/>
  <c r="T191" i="5"/>
  <c r="S191" i="5"/>
  <c r="R191" i="5"/>
  <c r="Q191" i="5"/>
  <c r="P191" i="5"/>
  <c r="O191" i="5"/>
  <c r="N191" i="5"/>
  <c r="M191" i="5"/>
  <c r="L191" i="5"/>
  <c r="K191" i="5"/>
  <c r="J191" i="5"/>
  <c r="I191" i="5"/>
  <c r="H191" i="5"/>
  <c r="AQ190" i="5"/>
  <c r="AP190" i="5"/>
  <c r="AO190" i="5"/>
  <c r="AN190" i="5"/>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AQ189" i="5"/>
  <c r="AP189" i="5"/>
  <c r="AO189" i="5"/>
  <c r="AN189" i="5"/>
  <c r="AK189" i="5"/>
  <c r="AJ189" i="5"/>
  <c r="AI189" i="5"/>
  <c r="AH189" i="5"/>
  <c r="AG189" i="5"/>
  <c r="AF189" i="5"/>
  <c r="AE189" i="5"/>
  <c r="AD189" i="5"/>
  <c r="AC189" i="5"/>
  <c r="AB189" i="5"/>
  <c r="AA189" i="5"/>
  <c r="Z189" i="5"/>
  <c r="Y189" i="5"/>
  <c r="X189" i="5"/>
  <c r="W189" i="5"/>
  <c r="V189" i="5"/>
  <c r="U189" i="5"/>
  <c r="T189" i="5"/>
  <c r="S189" i="5"/>
  <c r="R189" i="5"/>
  <c r="Q189" i="5"/>
  <c r="P189" i="5"/>
  <c r="O189" i="5"/>
  <c r="N189" i="5"/>
  <c r="M189" i="5"/>
  <c r="L189" i="5"/>
  <c r="K189" i="5"/>
  <c r="J189" i="5"/>
  <c r="I189" i="5"/>
  <c r="H189" i="5"/>
  <c r="AQ188" i="5"/>
  <c r="AP188" i="5"/>
  <c r="AO188" i="5"/>
  <c r="AN188" i="5"/>
  <c r="AM188" i="5"/>
  <c r="AL188" i="5"/>
  <c r="AK188" i="5"/>
  <c r="AJ188" i="5"/>
  <c r="AI188" i="5"/>
  <c r="AH188" i="5"/>
  <c r="AG188" i="5"/>
  <c r="AQ187" i="5"/>
  <c r="AP187" i="5"/>
  <c r="AO187" i="5"/>
  <c r="AN187" i="5"/>
  <c r="AM187" i="5"/>
  <c r="AL187" i="5"/>
  <c r="AK187" i="5"/>
  <c r="AJ187" i="5"/>
  <c r="AI187" i="5"/>
  <c r="AH187" i="5"/>
  <c r="AG187" i="5"/>
  <c r="AQ186" i="5"/>
  <c r="AP186" i="5"/>
  <c r="AO186" i="5"/>
  <c r="AN186" i="5"/>
  <c r="AM186" i="5"/>
  <c r="AL186" i="5"/>
  <c r="AK186" i="5"/>
  <c r="AJ186" i="5"/>
  <c r="AI186" i="5"/>
  <c r="AH186" i="5"/>
  <c r="AQ185" i="5"/>
  <c r="AP185" i="5"/>
  <c r="AO185" i="5"/>
  <c r="AN185" i="5"/>
  <c r="AK185" i="5"/>
  <c r="AJ185" i="5"/>
  <c r="AI185" i="5"/>
  <c r="AH185" i="5"/>
  <c r="AG185" i="5"/>
  <c r="AF185" i="5"/>
  <c r="AE185" i="5"/>
  <c r="AD185" i="5"/>
  <c r="AC185" i="5"/>
  <c r="AB185" i="5"/>
  <c r="AA185" i="5"/>
  <c r="Z185" i="5"/>
  <c r="Y185" i="5"/>
  <c r="X185" i="5"/>
  <c r="W185" i="5"/>
  <c r="V185" i="5"/>
  <c r="U185" i="5"/>
  <c r="T185" i="5"/>
  <c r="S185" i="5"/>
  <c r="R185" i="5"/>
  <c r="Q185" i="5"/>
  <c r="P185" i="5"/>
  <c r="O185" i="5"/>
  <c r="N185" i="5"/>
  <c r="M185" i="5"/>
  <c r="L185" i="5"/>
  <c r="K185" i="5"/>
  <c r="J185" i="5"/>
  <c r="I185" i="5"/>
  <c r="H185" i="5"/>
  <c r="AQ184" i="5"/>
  <c r="AP184" i="5"/>
  <c r="AO184" i="5"/>
  <c r="AN184" i="5"/>
  <c r="AK184" i="5"/>
  <c r="AJ184" i="5"/>
  <c r="AI184" i="5"/>
  <c r="AH184" i="5"/>
  <c r="AG184" i="5"/>
  <c r="AF184" i="5"/>
  <c r="AE184" i="5"/>
  <c r="AD184" i="5"/>
  <c r="AC184" i="5"/>
  <c r="AB184" i="5"/>
  <c r="AA184" i="5"/>
  <c r="Z184" i="5"/>
  <c r="Y184" i="5"/>
  <c r="X184" i="5"/>
  <c r="W184" i="5"/>
  <c r="V184" i="5"/>
  <c r="U184" i="5"/>
  <c r="T184" i="5"/>
  <c r="S184" i="5"/>
  <c r="R184" i="5"/>
  <c r="Q184" i="5"/>
  <c r="P184" i="5"/>
  <c r="O184" i="5"/>
  <c r="N184" i="5"/>
  <c r="M184" i="5"/>
  <c r="L184" i="5"/>
  <c r="K184" i="5"/>
  <c r="J184" i="5"/>
  <c r="I184" i="5"/>
  <c r="H184" i="5"/>
  <c r="P181" i="5"/>
  <c r="AQ177" i="5"/>
  <c r="BB177" i="5" s="1"/>
  <c r="AP177" i="5"/>
  <c r="AO177" i="5"/>
  <c r="AN177" i="5"/>
  <c r="AM177" i="5"/>
  <c r="BA177" i="5" s="1"/>
  <c r="AL177" i="5"/>
  <c r="AJ177" i="5"/>
  <c r="AI177" i="5"/>
  <c r="AZ177" i="5" s="1"/>
  <c r="AH177" i="5"/>
  <c r="AH167" i="5" s="1"/>
  <c r="AG177" i="5"/>
  <c r="AG167" i="5" s="1"/>
  <c r="AF177" i="5"/>
  <c r="AE177" i="5"/>
  <c r="AY177" i="5" s="1"/>
  <c r="AD177" i="5"/>
  <c r="AC177" i="5"/>
  <c r="AB177" i="5"/>
  <c r="AA177" i="5"/>
  <c r="AX177" i="5" s="1"/>
  <c r="Z177" i="5"/>
  <c r="Y177" i="5"/>
  <c r="X177" i="5"/>
  <c r="W177" i="5"/>
  <c r="AW177" i="5" s="1"/>
  <c r="V177" i="5"/>
  <c r="U177" i="5"/>
  <c r="T177" i="5"/>
  <c r="S177" i="5"/>
  <c r="AV177" i="5" s="1"/>
  <c r="R177" i="5"/>
  <c r="Q177" i="5"/>
  <c r="P177" i="5"/>
  <c r="O177" i="5"/>
  <c r="AU177" i="5" s="1"/>
  <c r="N177" i="5"/>
  <c r="M177" i="5"/>
  <c r="L177" i="5"/>
  <c r="K177" i="5"/>
  <c r="AT177" i="5" s="1"/>
  <c r="J177" i="5"/>
  <c r="I177" i="5"/>
  <c r="H177" i="5"/>
  <c r="AQ175" i="5"/>
  <c r="BB175" i="5" s="1"/>
  <c r="AP175" i="5"/>
  <c r="AO175" i="5"/>
  <c r="AN175" i="5"/>
  <c r="AM175" i="5"/>
  <c r="BA175" i="5" s="1"/>
  <c r="AL175" i="5"/>
  <c r="AK175" i="5"/>
  <c r="AJ175" i="5"/>
  <c r="AI175" i="5"/>
  <c r="AZ175" i="5" s="1"/>
  <c r="AH175" i="5"/>
  <c r="AG175" i="5"/>
  <c r="AF175" i="5"/>
  <c r="AE175" i="5"/>
  <c r="AY175" i="5" s="1"/>
  <c r="AD175" i="5"/>
  <c r="AC175" i="5"/>
  <c r="AB175" i="5"/>
  <c r="AA175" i="5"/>
  <c r="AX175" i="5" s="1"/>
  <c r="Z175" i="5"/>
  <c r="Y175" i="5"/>
  <c r="X175" i="5"/>
  <c r="W175" i="5"/>
  <c r="AW175" i="5" s="1"/>
  <c r="V175" i="5"/>
  <c r="U175" i="5"/>
  <c r="T175" i="5"/>
  <c r="S175" i="5"/>
  <c r="AV175" i="5" s="1"/>
  <c r="R175" i="5"/>
  <c r="Q175" i="5"/>
  <c r="P175" i="5"/>
  <c r="O175" i="5"/>
  <c r="AU175" i="5" s="1"/>
  <c r="N175" i="5"/>
  <c r="M175" i="5"/>
  <c r="L175" i="5"/>
  <c r="K175" i="5"/>
  <c r="AT175" i="5" s="1"/>
  <c r="J175" i="5"/>
  <c r="I175" i="5"/>
  <c r="H175" i="5"/>
  <c r="AQ174" i="5"/>
  <c r="BB174" i="5" s="1"/>
  <c r="AP174" i="5"/>
  <c r="AO174" i="5"/>
  <c r="AN174" i="5"/>
  <c r="AM174" i="5"/>
  <c r="BA174" i="5" s="1"/>
  <c r="AL174" i="5"/>
  <c r="AK174" i="5"/>
  <c r="AJ174" i="5"/>
  <c r="AI174" i="5"/>
  <c r="AZ174" i="5" s="1"/>
  <c r="AH174" i="5"/>
  <c r="AG174" i="5"/>
  <c r="AF174" i="5"/>
  <c r="AE174" i="5"/>
  <c r="AY174" i="5" s="1"/>
  <c r="AD174" i="5"/>
  <c r="AC174" i="5"/>
  <c r="AB174" i="5"/>
  <c r="AA174" i="5"/>
  <c r="AX174" i="5" s="1"/>
  <c r="Z174" i="5"/>
  <c r="Y174" i="5"/>
  <c r="X174" i="5"/>
  <c r="W174" i="5"/>
  <c r="AW174" i="5" s="1"/>
  <c r="V174" i="5"/>
  <c r="U174" i="5"/>
  <c r="T174" i="5"/>
  <c r="S174" i="5"/>
  <c r="AV174" i="5" s="1"/>
  <c r="R174" i="5"/>
  <c r="Q174" i="5"/>
  <c r="P174" i="5"/>
  <c r="O174" i="5"/>
  <c r="AU174" i="5" s="1"/>
  <c r="N174" i="5"/>
  <c r="M174" i="5"/>
  <c r="L174" i="5"/>
  <c r="K174" i="5"/>
  <c r="AT174" i="5" s="1"/>
  <c r="J174" i="5"/>
  <c r="I174" i="5"/>
  <c r="H174" i="5"/>
  <c r="AQ173" i="5"/>
  <c r="BB173" i="5" s="1"/>
  <c r="AP173" i="5"/>
  <c r="AO173" i="5"/>
  <c r="AN173" i="5"/>
  <c r="AM173" i="5"/>
  <c r="BA173" i="5" s="1"/>
  <c r="AL173" i="5"/>
  <c r="AK173" i="5"/>
  <c r="AJ173" i="5"/>
  <c r="AI173" i="5"/>
  <c r="AZ173" i="5" s="1"/>
  <c r="AH173" i="5"/>
  <c r="AG173" i="5"/>
  <c r="AF173" i="5"/>
  <c r="AE173" i="5"/>
  <c r="AY173" i="5" s="1"/>
  <c r="AD173" i="5"/>
  <c r="AC173" i="5"/>
  <c r="AB173" i="5"/>
  <c r="AA173" i="5"/>
  <c r="AX173" i="5" s="1"/>
  <c r="Z173" i="5"/>
  <c r="Y173" i="5"/>
  <c r="X173" i="5"/>
  <c r="W173" i="5"/>
  <c r="AW173" i="5" s="1"/>
  <c r="V173" i="5"/>
  <c r="U173" i="5"/>
  <c r="T173" i="5"/>
  <c r="S173" i="5"/>
  <c r="AV173" i="5" s="1"/>
  <c r="R173" i="5"/>
  <c r="Q173" i="5"/>
  <c r="P173" i="5"/>
  <c r="O173" i="5"/>
  <c r="AU173" i="5" s="1"/>
  <c r="N173" i="5"/>
  <c r="M173" i="5"/>
  <c r="L173" i="5"/>
  <c r="K173" i="5"/>
  <c r="AT173" i="5" s="1"/>
  <c r="J173" i="5"/>
  <c r="I173" i="5"/>
  <c r="H173" i="5"/>
  <c r="AQ172" i="5"/>
  <c r="BB172" i="5" s="1"/>
  <c r="AP172" i="5"/>
  <c r="AO172" i="5"/>
  <c r="AN172" i="5"/>
  <c r="AM172" i="5"/>
  <c r="BA172" i="5" s="1"/>
  <c r="AL172" i="5"/>
  <c r="AK172" i="5"/>
  <c r="AJ172" i="5"/>
  <c r="AI172" i="5"/>
  <c r="AZ172" i="5" s="1"/>
  <c r="AH172" i="5"/>
  <c r="AG172" i="5"/>
  <c r="AF172" i="5"/>
  <c r="AE172" i="5"/>
  <c r="AY172" i="5" s="1"/>
  <c r="AD172" i="5"/>
  <c r="AC172" i="5"/>
  <c r="AB172" i="5"/>
  <c r="AA172" i="5"/>
  <c r="AX172" i="5" s="1"/>
  <c r="Z172" i="5"/>
  <c r="Y172" i="5"/>
  <c r="X172" i="5"/>
  <c r="W172" i="5"/>
  <c r="AW172" i="5" s="1"/>
  <c r="V172" i="5"/>
  <c r="U172" i="5"/>
  <c r="T172" i="5"/>
  <c r="S172" i="5"/>
  <c r="AV172" i="5" s="1"/>
  <c r="R172" i="5"/>
  <c r="Q172" i="5"/>
  <c r="P172" i="5"/>
  <c r="O172" i="5"/>
  <c r="AU172" i="5" s="1"/>
  <c r="N172" i="5"/>
  <c r="M172" i="5"/>
  <c r="L172" i="5"/>
  <c r="K172" i="5"/>
  <c r="AT172" i="5" s="1"/>
  <c r="J172" i="5"/>
  <c r="I172" i="5"/>
  <c r="H172" i="5"/>
  <c r="AQ171" i="5"/>
  <c r="BB171" i="5" s="1"/>
  <c r="AP171" i="5"/>
  <c r="AO171" i="5"/>
  <c r="AN171" i="5"/>
  <c r="AM171" i="5"/>
  <c r="BA171" i="5" s="1"/>
  <c r="AL171" i="5"/>
  <c r="AK171" i="5"/>
  <c r="AJ171" i="5"/>
  <c r="AI171" i="5"/>
  <c r="AZ171" i="5" s="1"/>
  <c r="AH171" i="5"/>
  <c r="AG171" i="5"/>
  <c r="AF171" i="5"/>
  <c r="AE171" i="5"/>
  <c r="AY171" i="5" s="1"/>
  <c r="AD171" i="5"/>
  <c r="AC171" i="5"/>
  <c r="AB171" i="5"/>
  <c r="AA171" i="5"/>
  <c r="AX171" i="5" s="1"/>
  <c r="Z171" i="5"/>
  <c r="Y171" i="5"/>
  <c r="X171" i="5"/>
  <c r="W171" i="5"/>
  <c r="AW171" i="5" s="1"/>
  <c r="V171" i="5"/>
  <c r="U171" i="5"/>
  <c r="T171" i="5"/>
  <c r="S171" i="5"/>
  <c r="AV171" i="5" s="1"/>
  <c r="R171" i="5"/>
  <c r="Q171" i="5"/>
  <c r="P171" i="5"/>
  <c r="O171" i="5"/>
  <c r="AU171" i="5" s="1"/>
  <c r="N171" i="5"/>
  <c r="M171" i="5"/>
  <c r="L171" i="5"/>
  <c r="K171" i="5"/>
  <c r="AT171" i="5" s="1"/>
  <c r="J171" i="5"/>
  <c r="I171" i="5"/>
  <c r="H171" i="5"/>
  <c r="AQ170" i="5"/>
  <c r="BB170" i="5" s="1"/>
  <c r="AP170" i="5"/>
  <c r="AO170" i="5"/>
  <c r="AN170" i="5"/>
  <c r="AM170" i="5"/>
  <c r="BA170" i="5" s="1"/>
  <c r="AL170" i="5"/>
  <c r="AK170" i="5"/>
  <c r="AJ170" i="5"/>
  <c r="AI170" i="5"/>
  <c r="AZ170" i="5" s="1"/>
  <c r="AH170" i="5"/>
  <c r="AG170" i="5"/>
  <c r="AF170" i="5"/>
  <c r="AE170" i="5"/>
  <c r="AY170" i="5" s="1"/>
  <c r="AD170" i="5"/>
  <c r="AC170" i="5"/>
  <c r="AB170" i="5"/>
  <c r="AA170" i="5"/>
  <c r="AX170" i="5" s="1"/>
  <c r="Z170" i="5"/>
  <c r="Y170" i="5"/>
  <c r="X170" i="5"/>
  <c r="W170" i="5"/>
  <c r="AW170" i="5" s="1"/>
  <c r="V170" i="5"/>
  <c r="U170" i="5"/>
  <c r="T170" i="5"/>
  <c r="S170" i="5"/>
  <c r="AV170" i="5" s="1"/>
  <c r="R170" i="5"/>
  <c r="Q170" i="5"/>
  <c r="P170" i="5"/>
  <c r="O170" i="5"/>
  <c r="AU170" i="5" s="1"/>
  <c r="N170" i="5"/>
  <c r="M170" i="5"/>
  <c r="L170" i="5"/>
  <c r="K170" i="5"/>
  <c r="AT170" i="5" s="1"/>
  <c r="J170" i="5"/>
  <c r="I170" i="5"/>
  <c r="H170" i="5"/>
  <c r="AQ169" i="5"/>
  <c r="BB169" i="5" s="1"/>
  <c r="AP169" i="5"/>
  <c r="AO169" i="5"/>
  <c r="AN169" i="5"/>
  <c r="AM169" i="5"/>
  <c r="BA169" i="5" s="1"/>
  <c r="AL169" i="5"/>
  <c r="AK169" i="5"/>
  <c r="AJ169" i="5"/>
  <c r="AI169" i="5"/>
  <c r="AZ169" i="5" s="1"/>
  <c r="AH169" i="5"/>
  <c r="AG169" i="5"/>
  <c r="AF169" i="5"/>
  <c r="AE169" i="5"/>
  <c r="AY169" i="5" s="1"/>
  <c r="AD169" i="5"/>
  <c r="AC169" i="5"/>
  <c r="AB169" i="5"/>
  <c r="AA169" i="5"/>
  <c r="AX169" i="5" s="1"/>
  <c r="Z169" i="5"/>
  <c r="Y169" i="5"/>
  <c r="X169" i="5"/>
  <c r="W169" i="5"/>
  <c r="AW169" i="5" s="1"/>
  <c r="V169" i="5"/>
  <c r="U169" i="5"/>
  <c r="T169" i="5"/>
  <c r="S169" i="5"/>
  <c r="AV169" i="5" s="1"/>
  <c r="R169" i="5"/>
  <c r="Q169" i="5"/>
  <c r="P169" i="5"/>
  <c r="O169" i="5"/>
  <c r="AU169" i="5" s="1"/>
  <c r="N169" i="5"/>
  <c r="M169" i="5"/>
  <c r="L169" i="5"/>
  <c r="K169" i="5"/>
  <c r="AT169" i="5" s="1"/>
  <c r="J169" i="5"/>
  <c r="I169" i="5"/>
  <c r="H169" i="5"/>
  <c r="AQ168" i="5"/>
  <c r="BB168" i="5" s="1"/>
  <c r="AP168" i="5"/>
  <c r="AO168" i="5"/>
  <c r="AN168" i="5"/>
  <c r="AM168" i="5"/>
  <c r="BA168" i="5" s="1"/>
  <c r="AL168" i="5"/>
  <c r="AK168" i="5"/>
  <c r="AJ168" i="5"/>
  <c r="AI168" i="5"/>
  <c r="AZ168" i="5" s="1"/>
  <c r="AH168" i="5"/>
  <c r="AG168" i="5"/>
  <c r="AF168" i="5"/>
  <c r="AE168" i="5"/>
  <c r="AD168" i="5"/>
  <c r="AC168" i="5"/>
  <c r="AB168" i="5"/>
  <c r="AA168" i="5"/>
  <c r="AX168" i="5" s="1"/>
  <c r="Z168" i="5"/>
  <c r="Y168" i="5"/>
  <c r="X168" i="5"/>
  <c r="W168" i="5"/>
  <c r="V168" i="5"/>
  <c r="U168" i="5"/>
  <c r="T168" i="5"/>
  <c r="S168" i="5"/>
  <c r="AV168" i="5" s="1"/>
  <c r="R168" i="5"/>
  <c r="Q168" i="5"/>
  <c r="P168" i="5"/>
  <c r="O168" i="5"/>
  <c r="AU168" i="5" s="1"/>
  <c r="N168" i="5"/>
  <c r="M168" i="5"/>
  <c r="L168" i="5"/>
  <c r="K168" i="5"/>
  <c r="AT168" i="5" s="1"/>
  <c r="J168" i="5"/>
  <c r="I168" i="5"/>
  <c r="H168" i="5"/>
  <c r="AQ166" i="5"/>
  <c r="BB166" i="5" s="1"/>
  <c r="AP166" i="5"/>
  <c r="AO166" i="5"/>
  <c r="AN166" i="5"/>
  <c r="AM166" i="5"/>
  <c r="BA166" i="5" s="1"/>
  <c r="AL166" i="5"/>
  <c r="AK166" i="5"/>
  <c r="AJ166" i="5"/>
  <c r="AI166" i="5"/>
  <c r="AZ166" i="5" s="1"/>
  <c r="AH166" i="5"/>
  <c r="AG166" i="5"/>
  <c r="AF166" i="5"/>
  <c r="AE166" i="5"/>
  <c r="AY166" i="5" s="1"/>
  <c r="AD166" i="5"/>
  <c r="AC166" i="5"/>
  <c r="AB166" i="5"/>
  <c r="AA166" i="5"/>
  <c r="AX166" i="5" s="1"/>
  <c r="Z166" i="5"/>
  <c r="Y166" i="5"/>
  <c r="X166" i="5"/>
  <c r="W166" i="5"/>
  <c r="AW166" i="5" s="1"/>
  <c r="V166" i="5"/>
  <c r="U166" i="5"/>
  <c r="T166" i="5"/>
  <c r="S166" i="5"/>
  <c r="AV166" i="5" s="1"/>
  <c r="R166" i="5"/>
  <c r="Q166" i="5"/>
  <c r="P166" i="5"/>
  <c r="O166" i="5"/>
  <c r="AU166" i="5" s="1"/>
  <c r="N166" i="5"/>
  <c r="M166" i="5"/>
  <c r="L166" i="5"/>
  <c r="K166" i="5"/>
  <c r="AT166" i="5" s="1"/>
  <c r="J166" i="5"/>
  <c r="I166" i="5"/>
  <c r="H166" i="5"/>
  <c r="AQ165" i="5"/>
  <c r="BB165" i="5" s="1"/>
  <c r="AP165" i="5"/>
  <c r="AO165" i="5"/>
  <c r="AN165" i="5"/>
  <c r="AM165" i="5"/>
  <c r="BA165" i="5" s="1"/>
  <c r="AL165" i="5"/>
  <c r="AK165" i="5"/>
  <c r="AJ165" i="5"/>
  <c r="AI165" i="5"/>
  <c r="AZ165" i="5" s="1"/>
  <c r="AH165" i="5"/>
  <c r="AG165" i="5"/>
  <c r="AF165" i="5"/>
  <c r="AE165" i="5"/>
  <c r="AY165" i="5" s="1"/>
  <c r="AD165" i="5"/>
  <c r="AC165" i="5"/>
  <c r="AB165" i="5"/>
  <c r="AA165" i="5"/>
  <c r="AX165" i="5" s="1"/>
  <c r="Z165" i="5"/>
  <c r="Y165" i="5"/>
  <c r="X165" i="5"/>
  <c r="W165" i="5"/>
  <c r="AW165" i="5" s="1"/>
  <c r="V165" i="5"/>
  <c r="U165" i="5"/>
  <c r="T165" i="5"/>
  <c r="S165" i="5"/>
  <c r="AV165" i="5" s="1"/>
  <c r="R165" i="5"/>
  <c r="Q165" i="5"/>
  <c r="P165" i="5"/>
  <c r="O165" i="5"/>
  <c r="AU165" i="5" s="1"/>
  <c r="N165" i="5"/>
  <c r="M165" i="5"/>
  <c r="L165" i="5"/>
  <c r="K165" i="5"/>
  <c r="AT165" i="5" s="1"/>
  <c r="J165" i="5"/>
  <c r="I165" i="5"/>
  <c r="H165" i="5"/>
  <c r="AQ164" i="5"/>
  <c r="BB164" i="5" s="1"/>
  <c r="AP164" i="5"/>
  <c r="AO164" i="5"/>
  <c r="AN164" i="5"/>
  <c r="AM164" i="5"/>
  <c r="AL164" i="5"/>
  <c r="AK164" i="5"/>
  <c r="AJ164" i="5"/>
  <c r="AI164" i="5"/>
  <c r="AZ164" i="5" s="1"/>
  <c r="AH164" i="5"/>
  <c r="AG164" i="5"/>
  <c r="AF164" i="5"/>
  <c r="AE164" i="5"/>
  <c r="AD164" i="5"/>
  <c r="AC164" i="5"/>
  <c r="AB164" i="5"/>
  <c r="AA164" i="5"/>
  <c r="AX164" i="5" s="1"/>
  <c r="Z164" i="5"/>
  <c r="Y164" i="5"/>
  <c r="X164" i="5"/>
  <c r="W164" i="5"/>
  <c r="AW164" i="5" s="1"/>
  <c r="V164" i="5"/>
  <c r="U164" i="5"/>
  <c r="T164" i="5"/>
  <c r="S164" i="5"/>
  <c r="AV164" i="5" s="1"/>
  <c r="R164" i="5"/>
  <c r="Q164" i="5"/>
  <c r="P164" i="5"/>
  <c r="O164" i="5"/>
  <c r="N164" i="5"/>
  <c r="M164" i="5"/>
  <c r="L164" i="5"/>
  <c r="K164" i="5"/>
  <c r="AT164" i="5" s="1"/>
  <c r="J164" i="5"/>
  <c r="I164" i="5"/>
  <c r="H164" i="5"/>
  <c r="AQ163" i="5"/>
  <c r="BB163" i="5" s="1"/>
  <c r="AP163" i="5"/>
  <c r="AO163" i="5"/>
  <c r="AN163" i="5"/>
  <c r="AM163" i="5"/>
  <c r="BA163" i="5" s="1"/>
  <c r="AL163" i="5"/>
  <c r="AK163" i="5"/>
  <c r="AJ163" i="5"/>
  <c r="AI163" i="5"/>
  <c r="AZ163" i="5" s="1"/>
  <c r="AH163" i="5"/>
  <c r="AG163" i="5"/>
  <c r="AF163" i="5"/>
  <c r="AE163" i="5"/>
  <c r="AY163" i="5" s="1"/>
  <c r="AD163" i="5"/>
  <c r="AC163" i="5"/>
  <c r="AB163" i="5"/>
  <c r="AA163" i="5"/>
  <c r="AX163" i="5" s="1"/>
  <c r="Z163" i="5"/>
  <c r="Y163" i="5"/>
  <c r="X163" i="5"/>
  <c r="W163" i="5"/>
  <c r="AW163" i="5" s="1"/>
  <c r="V163" i="5"/>
  <c r="U163" i="5"/>
  <c r="T163" i="5"/>
  <c r="S163" i="5"/>
  <c r="AV163" i="5" s="1"/>
  <c r="R163" i="5"/>
  <c r="Q163" i="5"/>
  <c r="P163" i="5"/>
  <c r="O163" i="5"/>
  <c r="AU163" i="5" s="1"/>
  <c r="N163" i="5"/>
  <c r="M163" i="5"/>
  <c r="L163" i="5"/>
  <c r="K163" i="5"/>
  <c r="AT163" i="5" s="1"/>
  <c r="J163" i="5"/>
  <c r="I163" i="5"/>
  <c r="H163" i="5"/>
  <c r="AQ162" i="5"/>
  <c r="BB162" i="5" s="1"/>
  <c r="AP162" i="5"/>
  <c r="AO162" i="5"/>
  <c r="AN162" i="5"/>
  <c r="AM162" i="5"/>
  <c r="BA162" i="5" s="1"/>
  <c r="AL162" i="5"/>
  <c r="AK162" i="5"/>
  <c r="AJ162" i="5"/>
  <c r="AI162" i="5"/>
  <c r="AZ162" i="5" s="1"/>
  <c r="AH162" i="5"/>
  <c r="AG162" i="5"/>
  <c r="AF162" i="5"/>
  <c r="AE162" i="5"/>
  <c r="AY162" i="5" s="1"/>
  <c r="AD162" i="5"/>
  <c r="AC162" i="5"/>
  <c r="AB162" i="5"/>
  <c r="AA162" i="5"/>
  <c r="AX162" i="5" s="1"/>
  <c r="Z162" i="5"/>
  <c r="Y162" i="5"/>
  <c r="X162" i="5"/>
  <c r="W162" i="5"/>
  <c r="AW162" i="5" s="1"/>
  <c r="V162" i="5"/>
  <c r="U162" i="5"/>
  <c r="T162" i="5"/>
  <c r="S162" i="5"/>
  <c r="AV162" i="5" s="1"/>
  <c r="R162" i="5"/>
  <c r="Q162" i="5"/>
  <c r="P162" i="5"/>
  <c r="O162" i="5"/>
  <c r="AU162" i="5" s="1"/>
  <c r="N162" i="5"/>
  <c r="M162" i="5"/>
  <c r="L162" i="5"/>
  <c r="K162" i="5"/>
  <c r="AT162" i="5" s="1"/>
  <c r="J162" i="5"/>
  <c r="I162" i="5"/>
  <c r="H162" i="5"/>
  <c r="AQ161" i="5"/>
  <c r="BB161" i="5" s="1"/>
  <c r="AP161" i="5"/>
  <c r="AO161" i="5"/>
  <c r="AN161" i="5"/>
  <c r="AM161" i="5"/>
  <c r="BA161" i="5" s="1"/>
  <c r="AL161" i="5"/>
  <c r="AK161" i="5"/>
  <c r="AJ161" i="5"/>
  <c r="AI161" i="5"/>
  <c r="AZ161" i="5" s="1"/>
  <c r="AH161" i="5"/>
  <c r="AG161" i="5"/>
  <c r="AF161" i="5"/>
  <c r="AE161" i="5"/>
  <c r="AY161" i="5" s="1"/>
  <c r="AD161" i="5"/>
  <c r="AC161" i="5"/>
  <c r="AB161" i="5"/>
  <c r="AA161" i="5"/>
  <c r="AX161" i="5" s="1"/>
  <c r="Z161" i="5"/>
  <c r="Y161" i="5"/>
  <c r="X161" i="5"/>
  <c r="W161" i="5"/>
  <c r="AW161" i="5" s="1"/>
  <c r="V161" i="5"/>
  <c r="U161" i="5"/>
  <c r="T161" i="5"/>
  <c r="S161" i="5"/>
  <c r="AV161" i="5" s="1"/>
  <c r="R161" i="5"/>
  <c r="Q161" i="5"/>
  <c r="P161" i="5"/>
  <c r="O161" i="5"/>
  <c r="AU161" i="5" s="1"/>
  <c r="N161" i="5"/>
  <c r="M161" i="5"/>
  <c r="L161" i="5"/>
  <c r="K161" i="5"/>
  <c r="AT161" i="5" s="1"/>
  <c r="J161" i="5"/>
  <c r="I161" i="5"/>
  <c r="H161" i="5"/>
  <c r="AQ160" i="5"/>
  <c r="BB160" i="5" s="1"/>
  <c r="AP160" i="5"/>
  <c r="AO160" i="5"/>
  <c r="AN160" i="5"/>
  <c r="AM160" i="5"/>
  <c r="BA160" i="5" s="1"/>
  <c r="AL160" i="5"/>
  <c r="AK160" i="5"/>
  <c r="AJ160" i="5"/>
  <c r="AI160" i="5"/>
  <c r="AZ160" i="5" s="1"/>
  <c r="AH160" i="5"/>
  <c r="AG160" i="5"/>
  <c r="AF160" i="5"/>
  <c r="AE160" i="5"/>
  <c r="AY160" i="5" s="1"/>
  <c r="AD160" i="5"/>
  <c r="AC160" i="5"/>
  <c r="AB160" i="5"/>
  <c r="AA160" i="5"/>
  <c r="AX160" i="5" s="1"/>
  <c r="Z160" i="5"/>
  <c r="Y160" i="5"/>
  <c r="X160" i="5"/>
  <c r="W160" i="5"/>
  <c r="AW160" i="5" s="1"/>
  <c r="V160" i="5"/>
  <c r="U160" i="5"/>
  <c r="T160" i="5"/>
  <c r="S160" i="5"/>
  <c r="AV160" i="5" s="1"/>
  <c r="R160" i="5"/>
  <c r="Q160" i="5"/>
  <c r="P160" i="5"/>
  <c r="O160" i="5"/>
  <c r="AU160" i="5" s="1"/>
  <c r="N160" i="5"/>
  <c r="M160" i="5"/>
  <c r="L160" i="5"/>
  <c r="K160" i="5"/>
  <c r="AT160" i="5" s="1"/>
  <c r="J160" i="5"/>
  <c r="I160" i="5"/>
  <c r="H160" i="5"/>
  <c r="AQ159" i="5"/>
  <c r="BB159" i="5" s="1"/>
  <c r="AP159" i="5"/>
  <c r="AO159" i="5"/>
  <c r="AN159" i="5"/>
  <c r="AM159" i="5"/>
  <c r="BA159" i="5" s="1"/>
  <c r="AL159" i="5"/>
  <c r="AK159" i="5"/>
  <c r="AJ159" i="5"/>
  <c r="AI159" i="5"/>
  <c r="AZ159" i="5" s="1"/>
  <c r="AH159" i="5"/>
  <c r="AG159" i="5"/>
  <c r="AF159" i="5"/>
  <c r="AE159" i="5"/>
  <c r="AY159" i="5" s="1"/>
  <c r="AD159" i="5"/>
  <c r="AC159" i="5"/>
  <c r="AB159" i="5"/>
  <c r="AA159" i="5"/>
  <c r="AX159" i="5" s="1"/>
  <c r="Z159" i="5"/>
  <c r="Y159" i="5"/>
  <c r="X159" i="5"/>
  <c r="W159" i="5"/>
  <c r="AW159" i="5" s="1"/>
  <c r="V159" i="5"/>
  <c r="U159" i="5"/>
  <c r="T159" i="5"/>
  <c r="S159" i="5"/>
  <c r="AV159" i="5" s="1"/>
  <c r="R159" i="5"/>
  <c r="Q159" i="5"/>
  <c r="P159" i="5"/>
  <c r="O159" i="5"/>
  <c r="AU159" i="5" s="1"/>
  <c r="N159" i="5"/>
  <c r="M159" i="5"/>
  <c r="L159" i="5"/>
  <c r="K159" i="5"/>
  <c r="AT159" i="5" s="1"/>
  <c r="J159" i="5"/>
  <c r="I159" i="5"/>
  <c r="H159" i="5"/>
  <c r="AQ158" i="5"/>
  <c r="BB158" i="5" s="1"/>
  <c r="AP158" i="5"/>
  <c r="AO158" i="5"/>
  <c r="AN158" i="5"/>
  <c r="AM158" i="5"/>
  <c r="BA158" i="5" s="1"/>
  <c r="AL158" i="5"/>
  <c r="AK158" i="5"/>
  <c r="AJ158" i="5"/>
  <c r="AI158" i="5"/>
  <c r="AZ158" i="5" s="1"/>
  <c r="AH158" i="5"/>
  <c r="AG158" i="5"/>
  <c r="AF158" i="5"/>
  <c r="AE158" i="5"/>
  <c r="AY158" i="5" s="1"/>
  <c r="AD158" i="5"/>
  <c r="AC158" i="5"/>
  <c r="AB158" i="5"/>
  <c r="AA158" i="5"/>
  <c r="AX158" i="5" s="1"/>
  <c r="Z158" i="5"/>
  <c r="Y158" i="5"/>
  <c r="X158" i="5"/>
  <c r="W158" i="5"/>
  <c r="AW158" i="5" s="1"/>
  <c r="V158" i="5"/>
  <c r="U158" i="5"/>
  <c r="T158" i="5"/>
  <c r="S158" i="5"/>
  <c r="AV158" i="5" s="1"/>
  <c r="R158" i="5"/>
  <c r="Q158" i="5"/>
  <c r="P158" i="5"/>
  <c r="O158" i="5"/>
  <c r="AU158" i="5" s="1"/>
  <c r="N158" i="5"/>
  <c r="M158" i="5"/>
  <c r="L158" i="5"/>
  <c r="K158" i="5"/>
  <c r="AT158" i="5" s="1"/>
  <c r="J158" i="5"/>
  <c r="I158" i="5"/>
  <c r="H158" i="5"/>
  <c r="AQ157" i="5"/>
  <c r="BB157" i="5" s="1"/>
  <c r="AP157" i="5"/>
  <c r="AO157" i="5"/>
  <c r="AN157" i="5"/>
  <c r="AM157" i="5"/>
  <c r="BA157" i="5" s="1"/>
  <c r="AL157" i="5"/>
  <c r="AK157" i="5"/>
  <c r="AJ157" i="5"/>
  <c r="AI157" i="5"/>
  <c r="AZ157" i="5" s="1"/>
  <c r="AH157" i="5"/>
  <c r="AG157" i="5"/>
  <c r="AF157" i="5"/>
  <c r="AE157" i="5"/>
  <c r="AY157" i="5" s="1"/>
  <c r="AD157" i="5"/>
  <c r="AC157" i="5"/>
  <c r="AB157" i="5"/>
  <c r="AA157" i="5"/>
  <c r="AX157" i="5" s="1"/>
  <c r="Z157" i="5"/>
  <c r="Y157" i="5"/>
  <c r="X157" i="5"/>
  <c r="W157" i="5"/>
  <c r="AW157" i="5" s="1"/>
  <c r="V157" i="5"/>
  <c r="U157" i="5"/>
  <c r="T157" i="5"/>
  <c r="S157" i="5"/>
  <c r="AV157" i="5" s="1"/>
  <c r="R157" i="5"/>
  <c r="Q157" i="5"/>
  <c r="P157" i="5"/>
  <c r="O157" i="5"/>
  <c r="AU157" i="5" s="1"/>
  <c r="N157" i="5"/>
  <c r="M157" i="5"/>
  <c r="L157" i="5"/>
  <c r="K157" i="5"/>
  <c r="AT157" i="5" s="1"/>
  <c r="J157" i="5"/>
  <c r="I157" i="5"/>
  <c r="H157" i="5"/>
  <c r="AQ156" i="5"/>
  <c r="BB156" i="5" s="1"/>
  <c r="AP156" i="5"/>
  <c r="AO156" i="5"/>
  <c r="AN156" i="5"/>
  <c r="AM156" i="5"/>
  <c r="BA156" i="5" s="1"/>
  <c r="AL156" i="5"/>
  <c r="AK156" i="5"/>
  <c r="AJ156" i="5"/>
  <c r="AI156" i="5"/>
  <c r="AZ156" i="5" s="1"/>
  <c r="AH156" i="5"/>
  <c r="AG156" i="5"/>
  <c r="AF156" i="5"/>
  <c r="AE156" i="5"/>
  <c r="AY156" i="5" s="1"/>
  <c r="AD156" i="5"/>
  <c r="AC156" i="5"/>
  <c r="AB156" i="5"/>
  <c r="AA156" i="5"/>
  <c r="AX156" i="5" s="1"/>
  <c r="Z156" i="5"/>
  <c r="Y156" i="5"/>
  <c r="X156" i="5"/>
  <c r="W156" i="5"/>
  <c r="AW156" i="5" s="1"/>
  <c r="V156" i="5"/>
  <c r="U156" i="5"/>
  <c r="T156" i="5"/>
  <c r="S156" i="5"/>
  <c r="R156" i="5"/>
  <c r="Q156" i="5"/>
  <c r="P156" i="5"/>
  <c r="O156" i="5"/>
  <c r="AU156" i="5" s="1"/>
  <c r="N156" i="5"/>
  <c r="M156" i="5"/>
  <c r="L156" i="5"/>
  <c r="K156" i="5"/>
  <c r="J156" i="5"/>
  <c r="I156" i="5"/>
  <c r="H156" i="5"/>
  <c r="AQ154" i="5"/>
  <c r="BB154" i="5" s="1"/>
  <c r="AP154" i="5"/>
  <c r="AO154" i="5"/>
  <c r="AN154" i="5"/>
  <c r="AM154" i="5"/>
  <c r="BA154" i="5" s="1"/>
  <c r="AL154" i="5"/>
  <c r="AK154" i="5"/>
  <c r="AJ154" i="5"/>
  <c r="AI154" i="5"/>
  <c r="AZ154" i="5" s="1"/>
  <c r="AH154" i="5"/>
  <c r="AG154" i="5"/>
  <c r="AF154" i="5"/>
  <c r="AE154" i="5"/>
  <c r="AY154" i="5" s="1"/>
  <c r="AD154" i="5"/>
  <c r="AC154" i="5"/>
  <c r="AB154" i="5"/>
  <c r="AA154" i="5"/>
  <c r="AX154" i="5" s="1"/>
  <c r="Z154" i="5"/>
  <c r="Y154" i="5"/>
  <c r="X154" i="5"/>
  <c r="W154" i="5"/>
  <c r="AW154" i="5" s="1"/>
  <c r="V154" i="5"/>
  <c r="U154" i="5"/>
  <c r="T154" i="5"/>
  <c r="S154" i="5"/>
  <c r="AV154" i="5" s="1"/>
  <c r="R154" i="5"/>
  <c r="Q154" i="5"/>
  <c r="P154" i="5"/>
  <c r="O154" i="5"/>
  <c r="AU154" i="5" s="1"/>
  <c r="N154" i="5"/>
  <c r="M154" i="5"/>
  <c r="L154" i="5"/>
  <c r="K154" i="5"/>
  <c r="AT154" i="5" s="1"/>
  <c r="J154" i="5"/>
  <c r="I154" i="5"/>
  <c r="H154" i="5"/>
  <c r="AQ153" i="5"/>
  <c r="BB153" i="5" s="1"/>
  <c r="AP153" i="5"/>
  <c r="AO153" i="5"/>
  <c r="AN153" i="5"/>
  <c r="AM153" i="5"/>
  <c r="BA153" i="5" s="1"/>
  <c r="AL153" i="5"/>
  <c r="AK153" i="5"/>
  <c r="AJ153" i="5"/>
  <c r="AI153" i="5"/>
  <c r="AZ153" i="5" s="1"/>
  <c r="AH153" i="5"/>
  <c r="AG153" i="5"/>
  <c r="AF153" i="5"/>
  <c r="AE153" i="5"/>
  <c r="AY153" i="5" s="1"/>
  <c r="AD153" i="5"/>
  <c r="AC153" i="5"/>
  <c r="AB153" i="5"/>
  <c r="AA153" i="5"/>
  <c r="AX153" i="5" s="1"/>
  <c r="Z153" i="5"/>
  <c r="Y153" i="5"/>
  <c r="X153" i="5"/>
  <c r="W153" i="5"/>
  <c r="AW153" i="5" s="1"/>
  <c r="V153" i="5"/>
  <c r="U153" i="5"/>
  <c r="T153" i="5"/>
  <c r="S153" i="5"/>
  <c r="AV153" i="5" s="1"/>
  <c r="R153" i="5"/>
  <c r="Q153" i="5"/>
  <c r="P153" i="5"/>
  <c r="O153" i="5"/>
  <c r="AU153" i="5" s="1"/>
  <c r="N153" i="5"/>
  <c r="M153" i="5"/>
  <c r="L153" i="5"/>
  <c r="K153" i="5"/>
  <c r="AT153" i="5" s="1"/>
  <c r="J153" i="5"/>
  <c r="I153" i="5"/>
  <c r="H153" i="5"/>
  <c r="AQ152" i="5"/>
  <c r="BB152" i="5" s="1"/>
  <c r="AP152" i="5"/>
  <c r="AO152" i="5"/>
  <c r="AN152" i="5"/>
  <c r="AM152" i="5"/>
  <c r="BA152" i="5" s="1"/>
  <c r="AL152" i="5"/>
  <c r="AK152" i="5"/>
  <c r="AJ152" i="5"/>
  <c r="AI152" i="5"/>
  <c r="AZ152" i="5" s="1"/>
  <c r="AH152" i="5"/>
  <c r="AG152" i="5"/>
  <c r="AF152" i="5"/>
  <c r="AE152" i="5"/>
  <c r="AY152" i="5" s="1"/>
  <c r="AD152" i="5"/>
  <c r="AC152" i="5"/>
  <c r="AB152" i="5"/>
  <c r="AA152" i="5"/>
  <c r="Z152" i="5"/>
  <c r="Y152" i="5"/>
  <c r="X152" i="5"/>
  <c r="W152" i="5"/>
  <c r="V152" i="5"/>
  <c r="U152" i="5"/>
  <c r="T152" i="5"/>
  <c r="S152" i="5"/>
  <c r="R152" i="5"/>
  <c r="Q152" i="5"/>
  <c r="P152" i="5"/>
  <c r="O152" i="5"/>
  <c r="AX152" i="5" s="1"/>
  <c r="N152" i="5"/>
  <c r="AW152" i="5" s="1"/>
  <c r="M152" i="5"/>
  <c r="AV152" i="5" s="1"/>
  <c r="L152" i="5"/>
  <c r="AU152" i="5" s="1"/>
  <c r="K152" i="5"/>
  <c r="AT152" i="5" s="1"/>
  <c r="J152" i="5"/>
  <c r="I152" i="5"/>
  <c r="H152" i="5"/>
  <c r="AQ151" i="5"/>
  <c r="BB151" i="5" s="1"/>
  <c r="AP151" i="5"/>
  <c r="AO151" i="5"/>
  <c r="AN151" i="5"/>
  <c r="AM151" i="5"/>
  <c r="BA151" i="5" s="1"/>
  <c r="AL151" i="5"/>
  <c r="AK151" i="5"/>
  <c r="AJ151" i="5"/>
  <c r="AI151" i="5"/>
  <c r="AZ151" i="5" s="1"/>
  <c r="AH151" i="5"/>
  <c r="AG151" i="5"/>
  <c r="AF151" i="5"/>
  <c r="AE151" i="5"/>
  <c r="AY151" i="5" s="1"/>
  <c r="AD151" i="5"/>
  <c r="AC151" i="5"/>
  <c r="AB151" i="5"/>
  <c r="AA151" i="5"/>
  <c r="AX151" i="5" s="1"/>
  <c r="Z151" i="5"/>
  <c r="Y151" i="5"/>
  <c r="X151" i="5"/>
  <c r="W151" i="5"/>
  <c r="AW151" i="5" s="1"/>
  <c r="V151" i="5"/>
  <c r="U151" i="5"/>
  <c r="T151" i="5"/>
  <c r="S151" i="5"/>
  <c r="AV151" i="5" s="1"/>
  <c r="R151" i="5"/>
  <c r="Q151" i="5"/>
  <c r="P151" i="5"/>
  <c r="O151" i="5"/>
  <c r="AU151" i="5" s="1"/>
  <c r="N151" i="5"/>
  <c r="M151" i="5"/>
  <c r="L151" i="5"/>
  <c r="K151" i="5"/>
  <c r="AT151" i="5" s="1"/>
  <c r="J151" i="5"/>
  <c r="I151" i="5"/>
  <c r="H151" i="5"/>
  <c r="AQ150" i="5"/>
  <c r="BB150" i="5" s="1"/>
  <c r="AP150" i="5"/>
  <c r="AO150" i="5"/>
  <c r="AN150" i="5"/>
  <c r="AM150" i="5"/>
  <c r="BA150" i="5" s="1"/>
  <c r="AL150" i="5"/>
  <c r="AK150" i="5"/>
  <c r="AJ150" i="5"/>
  <c r="AI150" i="5"/>
  <c r="AZ150" i="5" s="1"/>
  <c r="AH150" i="5"/>
  <c r="AG150" i="5"/>
  <c r="AF150" i="5"/>
  <c r="AE150" i="5"/>
  <c r="AY150" i="5" s="1"/>
  <c r="AD150" i="5"/>
  <c r="AC150" i="5"/>
  <c r="AB150" i="5"/>
  <c r="AA150" i="5"/>
  <c r="AX150" i="5" s="1"/>
  <c r="Z150" i="5"/>
  <c r="Y150" i="5"/>
  <c r="X150" i="5"/>
  <c r="W150" i="5"/>
  <c r="AW150" i="5" s="1"/>
  <c r="V150" i="5"/>
  <c r="U150" i="5"/>
  <c r="T150" i="5"/>
  <c r="S150" i="5"/>
  <c r="AV150" i="5" s="1"/>
  <c r="R150" i="5"/>
  <c r="Q150" i="5"/>
  <c r="P150" i="5"/>
  <c r="O150" i="5"/>
  <c r="AU150" i="5" s="1"/>
  <c r="N150" i="5"/>
  <c r="M150" i="5"/>
  <c r="L150" i="5"/>
  <c r="K150" i="5"/>
  <c r="AT150" i="5" s="1"/>
  <c r="J150" i="5"/>
  <c r="I150" i="5"/>
  <c r="H150" i="5"/>
  <c r="AQ149" i="5"/>
  <c r="BB149" i="5" s="1"/>
  <c r="AP149" i="5"/>
  <c r="AO149" i="5"/>
  <c r="AN149" i="5"/>
  <c r="AM149" i="5"/>
  <c r="BA149" i="5" s="1"/>
  <c r="AL149" i="5"/>
  <c r="AK149" i="5"/>
  <c r="AJ149" i="5"/>
  <c r="AI149" i="5"/>
  <c r="AZ149" i="5" s="1"/>
  <c r="AH149" i="5"/>
  <c r="AG149" i="5"/>
  <c r="AF149" i="5"/>
  <c r="AE149" i="5"/>
  <c r="AY149" i="5" s="1"/>
  <c r="AD149" i="5"/>
  <c r="AC149" i="5"/>
  <c r="AB149" i="5"/>
  <c r="AA149" i="5"/>
  <c r="AX149" i="5" s="1"/>
  <c r="Z149" i="5"/>
  <c r="Y149" i="5"/>
  <c r="X149" i="5"/>
  <c r="W149" i="5"/>
  <c r="AW149" i="5" s="1"/>
  <c r="V149" i="5"/>
  <c r="U149" i="5"/>
  <c r="T149" i="5"/>
  <c r="S149" i="5"/>
  <c r="AV149" i="5" s="1"/>
  <c r="R149" i="5"/>
  <c r="Q149" i="5"/>
  <c r="P149" i="5"/>
  <c r="O149" i="5"/>
  <c r="AU149" i="5" s="1"/>
  <c r="N149" i="5"/>
  <c r="M149" i="5"/>
  <c r="L149" i="5"/>
  <c r="K149" i="5"/>
  <c r="AT149" i="5" s="1"/>
  <c r="J149" i="5"/>
  <c r="I149" i="5"/>
  <c r="H149" i="5"/>
  <c r="AQ148" i="5"/>
  <c r="BB148" i="5" s="1"/>
  <c r="AP148" i="5"/>
  <c r="AO148" i="5"/>
  <c r="AN148" i="5"/>
  <c r="AM148" i="5"/>
  <c r="BA148" i="5" s="1"/>
  <c r="AL148" i="5"/>
  <c r="AK148" i="5"/>
  <c r="AJ148" i="5"/>
  <c r="AI148" i="5"/>
  <c r="AZ148" i="5" s="1"/>
  <c r="AH148" i="5"/>
  <c r="AG148" i="5"/>
  <c r="AF148" i="5"/>
  <c r="AE148" i="5"/>
  <c r="AY148" i="5" s="1"/>
  <c r="AD148" i="5"/>
  <c r="AC148" i="5"/>
  <c r="AB148" i="5"/>
  <c r="AA148" i="5"/>
  <c r="AX148" i="5" s="1"/>
  <c r="Z148" i="5"/>
  <c r="Y148" i="5"/>
  <c r="X148" i="5"/>
  <c r="W148" i="5"/>
  <c r="AW148" i="5" s="1"/>
  <c r="V148" i="5"/>
  <c r="U148" i="5"/>
  <c r="T148" i="5"/>
  <c r="S148" i="5"/>
  <c r="AV148" i="5" s="1"/>
  <c r="R148" i="5"/>
  <c r="Q148" i="5"/>
  <c r="P148" i="5"/>
  <c r="O148" i="5"/>
  <c r="AU148" i="5" s="1"/>
  <c r="N148" i="5"/>
  <c r="M148" i="5"/>
  <c r="L148" i="5"/>
  <c r="K148" i="5"/>
  <c r="AT148" i="5" s="1"/>
  <c r="J148" i="5"/>
  <c r="I148" i="5"/>
  <c r="H148" i="5"/>
  <c r="AQ147" i="5"/>
  <c r="BB147" i="5" s="1"/>
  <c r="AP147" i="5"/>
  <c r="AO147" i="5"/>
  <c r="AN147" i="5"/>
  <c r="AM147" i="5"/>
  <c r="BA147" i="5" s="1"/>
  <c r="AL147" i="5"/>
  <c r="AK147" i="5"/>
  <c r="AJ147" i="5"/>
  <c r="AI147" i="5"/>
  <c r="AZ147" i="5" s="1"/>
  <c r="AH147" i="5"/>
  <c r="AG147" i="5"/>
  <c r="AF147" i="5"/>
  <c r="AE147" i="5"/>
  <c r="AY147" i="5" s="1"/>
  <c r="AD147" i="5"/>
  <c r="AC147" i="5"/>
  <c r="AB147" i="5"/>
  <c r="AA147" i="5"/>
  <c r="AX147" i="5" s="1"/>
  <c r="Z147" i="5"/>
  <c r="Y147" i="5"/>
  <c r="X147" i="5"/>
  <c r="W147" i="5"/>
  <c r="AW147" i="5" s="1"/>
  <c r="V147" i="5"/>
  <c r="U147" i="5"/>
  <c r="T147" i="5"/>
  <c r="S147" i="5"/>
  <c r="AV147" i="5" s="1"/>
  <c r="R147" i="5"/>
  <c r="Q147" i="5"/>
  <c r="P147" i="5"/>
  <c r="O147" i="5"/>
  <c r="AU147" i="5" s="1"/>
  <c r="N147" i="5"/>
  <c r="M147" i="5"/>
  <c r="L147" i="5"/>
  <c r="K147" i="5"/>
  <c r="AT147" i="5" s="1"/>
  <c r="J147" i="5"/>
  <c r="I147" i="5"/>
  <c r="H147" i="5"/>
  <c r="AQ146" i="5"/>
  <c r="BB146" i="5" s="1"/>
  <c r="AP146" i="5"/>
  <c r="AO146" i="5"/>
  <c r="AN146" i="5"/>
  <c r="AM146" i="5"/>
  <c r="BA146" i="5" s="1"/>
  <c r="AL146" i="5"/>
  <c r="AK146" i="5"/>
  <c r="AJ146" i="5"/>
  <c r="AI146" i="5"/>
  <c r="AZ146" i="5" s="1"/>
  <c r="AH146" i="5"/>
  <c r="AG146" i="5"/>
  <c r="AF146" i="5"/>
  <c r="AE146" i="5"/>
  <c r="AY146" i="5" s="1"/>
  <c r="AD146" i="5"/>
  <c r="AC146" i="5"/>
  <c r="AB146" i="5"/>
  <c r="AA146" i="5"/>
  <c r="AX146" i="5" s="1"/>
  <c r="Z146" i="5"/>
  <c r="Y146" i="5"/>
  <c r="X146" i="5"/>
  <c r="W146" i="5"/>
  <c r="AW146" i="5" s="1"/>
  <c r="V146" i="5"/>
  <c r="U146" i="5"/>
  <c r="T146" i="5"/>
  <c r="S146" i="5"/>
  <c r="AV146" i="5" s="1"/>
  <c r="R146" i="5"/>
  <c r="Q146" i="5"/>
  <c r="P146" i="5"/>
  <c r="O146" i="5"/>
  <c r="AU146" i="5" s="1"/>
  <c r="N146" i="5"/>
  <c r="M146" i="5"/>
  <c r="L146" i="5"/>
  <c r="K146" i="5"/>
  <c r="AT146" i="5" s="1"/>
  <c r="J146" i="5"/>
  <c r="I146" i="5"/>
  <c r="H146" i="5"/>
  <c r="AQ145" i="5"/>
  <c r="BB145" i="5" s="1"/>
  <c r="AP145" i="5"/>
  <c r="AO145" i="5"/>
  <c r="AN145" i="5"/>
  <c r="AM145" i="5"/>
  <c r="BA145" i="5" s="1"/>
  <c r="AL145" i="5"/>
  <c r="AK145" i="5"/>
  <c r="AJ145" i="5"/>
  <c r="AI145" i="5"/>
  <c r="AZ145" i="5" s="1"/>
  <c r="AH145" i="5"/>
  <c r="AG145" i="5"/>
  <c r="AF145" i="5"/>
  <c r="AE145" i="5"/>
  <c r="AY145" i="5" s="1"/>
  <c r="AD145" i="5"/>
  <c r="AC145" i="5"/>
  <c r="AB145" i="5"/>
  <c r="AA145" i="5"/>
  <c r="AX145" i="5" s="1"/>
  <c r="Z145" i="5"/>
  <c r="Y145" i="5"/>
  <c r="X145" i="5"/>
  <c r="W145" i="5"/>
  <c r="AW145" i="5" s="1"/>
  <c r="V145" i="5"/>
  <c r="U145" i="5"/>
  <c r="T145" i="5"/>
  <c r="S145" i="5"/>
  <c r="AV145" i="5" s="1"/>
  <c r="R145" i="5"/>
  <c r="Q145" i="5"/>
  <c r="P145" i="5"/>
  <c r="O145" i="5"/>
  <c r="AU145" i="5" s="1"/>
  <c r="K145" i="5"/>
  <c r="AT145" i="5" s="1"/>
  <c r="I145" i="5"/>
  <c r="H145" i="5"/>
  <c r="AQ144" i="5"/>
  <c r="BB144" i="5" s="1"/>
  <c r="AP144" i="5"/>
  <c r="AO144" i="5"/>
  <c r="AN144" i="5"/>
  <c r="AM144" i="5"/>
  <c r="BA144" i="5" s="1"/>
  <c r="AL144" i="5"/>
  <c r="AK144" i="5"/>
  <c r="AJ144" i="5"/>
  <c r="AI144" i="5"/>
  <c r="AZ144" i="5" s="1"/>
  <c r="AH144" i="5"/>
  <c r="AG144" i="5"/>
  <c r="AF144" i="5"/>
  <c r="AE144" i="5"/>
  <c r="AY144" i="5" s="1"/>
  <c r="AD144" i="5"/>
  <c r="AC144" i="5"/>
  <c r="AB144" i="5"/>
  <c r="AA144" i="5"/>
  <c r="AX144" i="5" s="1"/>
  <c r="Z144" i="5"/>
  <c r="Y144" i="5"/>
  <c r="X144" i="5"/>
  <c r="W144" i="5"/>
  <c r="AW144" i="5" s="1"/>
  <c r="V144" i="5"/>
  <c r="U144" i="5"/>
  <c r="T144" i="5"/>
  <c r="S144" i="5"/>
  <c r="AV144" i="5" s="1"/>
  <c r="R144" i="5"/>
  <c r="Q144" i="5"/>
  <c r="P144" i="5"/>
  <c r="O144" i="5"/>
  <c r="AU144" i="5" s="1"/>
  <c r="N144" i="5"/>
  <c r="M144" i="5"/>
  <c r="L144" i="5"/>
  <c r="K144" i="5"/>
  <c r="AT144" i="5" s="1"/>
  <c r="J144" i="5"/>
  <c r="I144" i="5"/>
  <c r="H144" i="5"/>
  <c r="AQ143" i="5"/>
  <c r="AP143" i="5"/>
  <c r="AO143" i="5"/>
  <c r="AN143" i="5"/>
  <c r="AM143" i="5"/>
  <c r="BA143" i="5" s="1"/>
  <c r="AL143" i="5"/>
  <c r="AK143" i="5"/>
  <c r="AJ143" i="5"/>
  <c r="AI143" i="5"/>
  <c r="AH143" i="5"/>
  <c r="AG143" i="5"/>
  <c r="AF143" i="5"/>
  <c r="AE143" i="5"/>
  <c r="AY143" i="5" s="1"/>
  <c r="AD143" i="5"/>
  <c r="AC143" i="5"/>
  <c r="AB143" i="5"/>
  <c r="AA143" i="5"/>
  <c r="Z143" i="5"/>
  <c r="Y143" i="5"/>
  <c r="X143" i="5"/>
  <c r="W143" i="5"/>
  <c r="V143" i="5"/>
  <c r="U143" i="5"/>
  <c r="T143" i="5"/>
  <c r="S143" i="5"/>
  <c r="R143" i="5"/>
  <c r="Q143" i="5"/>
  <c r="P143" i="5"/>
  <c r="O143" i="5"/>
  <c r="N143" i="5"/>
  <c r="M143" i="5"/>
  <c r="L143" i="5"/>
  <c r="K143" i="5"/>
  <c r="J143" i="5"/>
  <c r="I143" i="5"/>
  <c r="H143" i="5"/>
  <c r="AQ140" i="5"/>
  <c r="BB140" i="5" s="1"/>
  <c r="AP140" i="5"/>
  <c r="AO140" i="5"/>
  <c r="AN140" i="5"/>
  <c r="AM140" i="5"/>
  <c r="BA140" i="5" s="1"/>
  <c r="AL140" i="5"/>
  <c r="AK140" i="5"/>
  <c r="AJ140" i="5"/>
  <c r="AI140" i="5"/>
  <c r="AZ140" i="5" s="1"/>
  <c r="AH140" i="5"/>
  <c r="AG140" i="5"/>
  <c r="AF140" i="5"/>
  <c r="AE140" i="5"/>
  <c r="AY140" i="5" s="1"/>
  <c r="AD140" i="5"/>
  <c r="AC140" i="5"/>
  <c r="AB140" i="5"/>
  <c r="AA140" i="5"/>
  <c r="AX140" i="5" s="1"/>
  <c r="Z140" i="5"/>
  <c r="Y140" i="5"/>
  <c r="X140" i="5"/>
  <c r="W140" i="5"/>
  <c r="AW140" i="5" s="1"/>
  <c r="V140" i="5"/>
  <c r="U140" i="5"/>
  <c r="T140" i="5"/>
  <c r="S140" i="5"/>
  <c r="AV140" i="5" s="1"/>
  <c r="R140" i="5"/>
  <c r="Q140" i="5"/>
  <c r="P140" i="5"/>
  <c r="O140" i="5"/>
  <c r="AU140" i="5" s="1"/>
  <c r="N140" i="5"/>
  <c r="M140" i="5"/>
  <c r="L140" i="5"/>
  <c r="K140" i="5"/>
  <c r="AT140" i="5" s="1"/>
  <c r="J140" i="5"/>
  <c r="I140" i="5"/>
  <c r="H140" i="5"/>
  <c r="AQ139" i="5"/>
  <c r="BB139" i="5" s="1"/>
  <c r="AP139" i="5"/>
  <c r="AO139" i="5"/>
  <c r="AN139" i="5"/>
  <c r="AM139" i="5"/>
  <c r="BA139" i="5" s="1"/>
  <c r="AL139" i="5"/>
  <c r="AK139" i="5"/>
  <c r="AJ139" i="5"/>
  <c r="AI139" i="5"/>
  <c r="AZ139" i="5" s="1"/>
  <c r="AH139" i="5"/>
  <c r="AG139" i="5"/>
  <c r="AF139" i="5"/>
  <c r="AE139" i="5"/>
  <c r="AY139" i="5" s="1"/>
  <c r="AD139" i="5"/>
  <c r="AC139" i="5"/>
  <c r="AB139" i="5"/>
  <c r="AA139" i="5"/>
  <c r="AX139" i="5" s="1"/>
  <c r="Z139" i="5"/>
  <c r="Y139" i="5"/>
  <c r="X139" i="5"/>
  <c r="W139" i="5"/>
  <c r="AW139" i="5" s="1"/>
  <c r="V139" i="5"/>
  <c r="U139" i="5"/>
  <c r="T139" i="5"/>
  <c r="S139" i="5"/>
  <c r="AV139" i="5" s="1"/>
  <c r="R139" i="5"/>
  <c r="Q139" i="5"/>
  <c r="P139" i="5"/>
  <c r="O139" i="5"/>
  <c r="AU139" i="5" s="1"/>
  <c r="N139" i="5"/>
  <c r="M139" i="5"/>
  <c r="L139" i="5"/>
  <c r="K139" i="5"/>
  <c r="AT139" i="5" s="1"/>
  <c r="J139" i="5"/>
  <c r="I139" i="5"/>
  <c r="H139" i="5"/>
  <c r="AQ138" i="5"/>
  <c r="BB138" i="5" s="1"/>
  <c r="AP138" i="5"/>
  <c r="AO138" i="5"/>
  <c r="AN138" i="5"/>
  <c r="AM138" i="5"/>
  <c r="BA138" i="5" s="1"/>
  <c r="AL138" i="5"/>
  <c r="AK138" i="5"/>
  <c r="AJ138" i="5"/>
  <c r="AI138" i="5"/>
  <c r="AZ138" i="5" s="1"/>
  <c r="AH138" i="5"/>
  <c r="AG138" i="5"/>
  <c r="AF138" i="5"/>
  <c r="AE138" i="5"/>
  <c r="AY138" i="5" s="1"/>
  <c r="AD138" i="5"/>
  <c r="AC138" i="5"/>
  <c r="AB138" i="5"/>
  <c r="AA138" i="5"/>
  <c r="AX138" i="5" s="1"/>
  <c r="Z138" i="5"/>
  <c r="Y138" i="5"/>
  <c r="X138" i="5"/>
  <c r="W138" i="5"/>
  <c r="AW138" i="5" s="1"/>
  <c r="V138" i="5"/>
  <c r="U138" i="5"/>
  <c r="T138" i="5"/>
  <c r="S138" i="5"/>
  <c r="AV138" i="5" s="1"/>
  <c r="R138" i="5"/>
  <c r="Q138" i="5"/>
  <c r="P138" i="5"/>
  <c r="O138" i="5"/>
  <c r="AU138" i="5" s="1"/>
  <c r="N138" i="5"/>
  <c r="M138" i="5"/>
  <c r="L138" i="5"/>
  <c r="K138" i="5"/>
  <c r="AT138" i="5" s="1"/>
  <c r="J138" i="5"/>
  <c r="I138" i="5"/>
  <c r="H138" i="5"/>
  <c r="AQ137" i="5"/>
  <c r="BB137" i="5" s="1"/>
  <c r="AP137" i="5"/>
  <c r="AO137" i="5"/>
  <c r="AN137" i="5"/>
  <c r="AM137" i="5"/>
  <c r="BA137" i="5" s="1"/>
  <c r="AL137" i="5"/>
  <c r="AK137" i="5"/>
  <c r="AJ137" i="5"/>
  <c r="AI137" i="5"/>
  <c r="AZ137" i="5" s="1"/>
  <c r="AH137" i="5"/>
  <c r="AG137" i="5"/>
  <c r="AF137" i="5"/>
  <c r="AE137" i="5"/>
  <c r="AY137" i="5" s="1"/>
  <c r="AD137" i="5"/>
  <c r="AC137" i="5"/>
  <c r="AB137" i="5"/>
  <c r="AA137" i="5"/>
  <c r="AX137" i="5" s="1"/>
  <c r="Z137" i="5"/>
  <c r="Y137" i="5"/>
  <c r="X137" i="5"/>
  <c r="W137" i="5"/>
  <c r="AW137" i="5" s="1"/>
  <c r="V137" i="5"/>
  <c r="U137" i="5"/>
  <c r="T137" i="5"/>
  <c r="S137" i="5"/>
  <c r="AV137" i="5" s="1"/>
  <c r="R137" i="5"/>
  <c r="Q137" i="5"/>
  <c r="P137" i="5"/>
  <c r="O137" i="5"/>
  <c r="AU137" i="5" s="1"/>
  <c r="N137" i="5"/>
  <c r="M137" i="5"/>
  <c r="L137" i="5"/>
  <c r="K137" i="5"/>
  <c r="AT137" i="5" s="1"/>
  <c r="J137" i="5"/>
  <c r="I137" i="5"/>
  <c r="H137" i="5"/>
  <c r="AQ136" i="5"/>
  <c r="BB136" i="5" s="1"/>
  <c r="AP136" i="5"/>
  <c r="AO136" i="5"/>
  <c r="AN136" i="5"/>
  <c r="AM136" i="5"/>
  <c r="BA136" i="5" s="1"/>
  <c r="AL136" i="5"/>
  <c r="AK136" i="5"/>
  <c r="AJ136" i="5"/>
  <c r="AI136" i="5"/>
  <c r="AZ136" i="5" s="1"/>
  <c r="AH136" i="5"/>
  <c r="AG136" i="5"/>
  <c r="AF136" i="5"/>
  <c r="AE136" i="5"/>
  <c r="AY136" i="5" s="1"/>
  <c r="AD136" i="5"/>
  <c r="AC136" i="5"/>
  <c r="AB136" i="5"/>
  <c r="AA136" i="5"/>
  <c r="AX136" i="5" s="1"/>
  <c r="Z136" i="5"/>
  <c r="Y136" i="5"/>
  <c r="X136" i="5"/>
  <c r="W136" i="5"/>
  <c r="AW136" i="5" s="1"/>
  <c r="V136" i="5"/>
  <c r="U136" i="5"/>
  <c r="T136" i="5"/>
  <c r="S136" i="5"/>
  <c r="AV136" i="5" s="1"/>
  <c r="R136" i="5"/>
  <c r="Q136" i="5"/>
  <c r="P136" i="5"/>
  <c r="O136" i="5"/>
  <c r="AU136" i="5" s="1"/>
  <c r="N136" i="5"/>
  <c r="M136" i="5"/>
  <c r="L136" i="5"/>
  <c r="K136" i="5"/>
  <c r="AT136" i="5" s="1"/>
  <c r="J136" i="5"/>
  <c r="I136" i="5"/>
  <c r="H136" i="5"/>
  <c r="AQ135" i="5"/>
  <c r="BB135" i="5" s="1"/>
  <c r="AP135" i="5"/>
  <c r="AO135" i="5"/>
  <c r="AN135" i="5"/>
  <c r="AM135" i="5"/>
  <c r="BA135" i="5" s="1"/>
  <c r="AL135" i="5"/>
  <c r="AK135" i="5"/>
  <c r="AJ135" i="5"/>
  <c r="AI135" i="5"/>
  <c r="AZ135" i="5" s="1"/>
  <c r="AH135" i="5"/>
  <c r="AG135" i="5"/>
  <c r="AF135" i="5"/>
  <c r="AE135" i="5"/>
  <c r="AY135" i="5" s="1"/>
  <c r="AD135" i="5"/>
  <c r="AC135" i="5"/>
  <c r="AB135" i="5"/>
  <c r="AA135" i="5"/>
  <c r="AX135" i="5" s="1"/>
  <c r="Z135" i="5"/>
  <c r="Y135" i="5"/>
  <c r="X135" i="5"/>
  <c r="W135" i="5"/>
  <c r="AW135" i="5" s="1"/>
  <c r="V135" i="5"/>
  <c r="U135" i="5"/>
  <c r="T135" i="5"/>
  <c r="S135" i="5"/>
  <c r="AV135" i="5" s="1"/>
  <c r="R135" i="5"/>
  <c r="Q135" i="5"/>
  <c r="P135" i="5"/>
  <c r="O135" i="5"/>
  <c r="AU135" i="5" s="1"/>
  <c r="N135" i="5"/>
  <c r="M135" i="5"/>
  <c r="L135" i="5"/>
  <c r="K135" i="5"/>
  <c r="AT135" i="5" s="1"/>
  <c r="J135" i="5"/>
  <c r="I135" i="5"/>
  <c r="H135" i="5"/>
  <c r="AQ134" i="5"/>
  <c r="BB134" i="5" s="1"/>
  <c r="AP134" i="5"/>
  <c r="AO134" i="5"/>
  <c r="AN134" i="5"/>
  <c r="AM134" i="5"/>
  <c r="BA134" i="5" s="1"/>
  <c r="AL134" i="5"/>
  <c r="AK134" i="5"/>
  <c r="AJ134" i="5"/>
  <c r="AI134" i="5"/>
  <c r="AZ134" i="5" s="1"/>
  <c r="AH134" i="5"/>
  <c r="AG134" i="5"/>
  <c r="AF134" i="5"/>
  <c r="AE134" i="5"/>
  <c r="AY134" i="5" s="1"/>
  <c r="AD134" i="5"/>
  <c r="AC134" i="5"/>
  <c r="AB134" i="5"/>
  <c r="AA134" i="5"/>
  <c r="AX134" i="5" s="1"/>
  <c r="Z134" i="5"/>
  <c r="Y134" i="5"/>
  <c r="X134" i="5"/>
  <c r="W134" i="5"/>
  <c r="AW134" i="5" s="1"/>
  <c r="V134" i="5"/>
  <c r="U134" i="5"/>
  <c r="T134" i="5"/>
  <c r="S134" i="5"/>
  <c r="AV134" i="5" s="1"/>
  <c r="R134" i="5"/>
  <c r="Q134" i="5"/>
  <c r="P134" i="5"/>
  <c r="O134" i="5"/>
  <c r="AU134" i="5" s="1"/>
  <c r="N134" i="5"/>
  <c r="M134" i="5"/>
  <c r="L134" i="5"/>
  <c r="K134" i="5"/>
  <c r="AT134" i="5" s="1"/>
  <c r="J134" i="5"/>
  <c r="I134" i="5"/>
  <c r="H134" i="5"/>
  <c r="AQ133" i="5"/>
  <c r="BB133" i="5" s="1"/>
  <c r="AP133" i="5"/>
  <c r="AO133" i="5"/>
  <c r="AN133" i="5"/>
  <c r="AM133" i="5"/>
  <c r="BA133" i="5" s="1"/>
  <c r="AL133" i="5"/>
  <c r="AK133" i="5"/>
  <c r="AJ133" i="5"/>
  <c r="AI133" i="5"/>
  <c r="AZ133" i="5" s="1"/>
  <c r="AH133" i="5"/>
  <c r="AG133" i="5"/>
  <c r="AF133" i="5"/>
  <c r="AE133" i="5"/>
  <c r="AY133" i="5" s="1"/>
  <c r="AD133" i="5"/>
  <c r="AC133" i="5"/>
  <c r="AB133" i="5"/>
  <c r="AA133" i="5"/>
  <c r="AX133" i="5" s="1"/>
  <c r="Z133" i="5"/>
  <c r="Y133" i="5"/>
  <c r="X133" i="5"/>
  <c r="W133" i="5"/>
  <c r="AW133" i="5" s="1"/>
  <c r="V133" i="5"/>
  <c r="U133" i="5"/>
  <c r="T133" i="5"/>
  <c r="S133" i="5"/>
  <c r="AV133" i="5" s="1"/>
  <c r="R133" i="5"/>
  <c r="Q133" i="5"/>
  <c r="P133" i="5"/>
  <c r="O133" i="5"/>
  <c r="AU133" i="5" s="1"/>
  <c r="N133" i="5"/>
  <c r="M133" i="5"/>
  <c r="L133" i="5"/>
  <c r="K133" i="5"/>
  <c r="AT133" i="5" s="1"/>
  <c r="J133" i="5"/>
  <c r="I133" i="5"/>
  <c r="H133" i="5"/>
  <c r="AQ132" i="5"/>
  <c r="BB132" i="5" s="1"/>
  <c r="AP132" i="5"/>
  <c r="AO132" i="5"/>
  <c r="AN132" i="5"/>
  <c r="AM132" i="5"/>
  <c r="BA132" i="5" s="1"/>
  <c r="AL132" i="5"/>
  <c r="AK132" i="5"/>
  <c r="AJ132" i="5"/>
  <c r="AI132" i="5"/>
  <c r="AZ132" i="5" s="1"/>
  <c r="AH132" i="5"/>
  <c r="AG132" i="5"/>
  <c r="AF132" i="5"/>
  <c r="AE132" i="5"/>
  <c r="AY132" i="5" s="1"/>
  <c r="AD132" i="5"/>
  <c r="AC132" i="5"/>
  <c r="AB132" i="5"/>
  <c r="AA132" i="5"/>
  <c r="AX132" i="5" s="1"/>
  <c r="Z132" i="5"/>
  <c r="Y132" i="5"/>
  <c r="X132" i="5"/>
  <c r="W132" i="5"/>
  <c r="AW132" i="5" s="1"/>
  <c r="V132" i="5"/>
  <c r="U132" i="5"/>
  <c r="T132" i="5"/>
  <c r="S132" i="5"/>
  <c r="AV132" i="5" s="1"/>
  <c r="R132" i="5"/>
  <c r="Q132" i="5"/>
  <c r="P132" i="5"/>
  <c r="O132" i="5"/>
  <c r="AU132" i="5" s="1"/>
  <c r="N132" i="5"/>
  <c r="M132" i="5"/>
  <c r="L132" i="5"/>
  <c r="K132" i="5"/>
  <c r="AT132" i="5" s="1"/>
  <c r="J132" i="5"/>
  <c r="I132" i="5"/>
  <c r="H132" i="5"/>
  <c r="AQ131" i="5"/>
  <c r="AP131" i="5"/>
  <c r="AO131" i="5"/>
  <c r="AN131" i="5"/>
  <c r="AM131" i="5"/>
  <c r="AL131" i="5"/>
  <c r="AK131" i="5"/>
  <c r="AJ131" i="5"/>
  <c r="AI131" i="5"/>
  <c r="AZ131" i="5" s="1"/>
  <c r="AH131" i="5"/>
  <c r="AG131" i="5"/>
  <c r="AF131" i="5"/>
  <c r="AE131" i="5"/>
  <c r="AY131" i="5" s="1"/>
  <c r="AD131" i="5"/>
  <c r="AC131" i="5"/>
  <c r="AB131" i="5"/>
  <c r="AA131" i="5"/>
  <c r="AX131" i="5" s="1"/>
  <c r="Z131" i="5"/>
  <c r="Y131" i="5"/>
  <c r="X131" i="5"/>
  <c r="W131" i="5"/>
  <c r="V131" i="5"/>
  <c r="U131" i="5"/>
  <c r="T131" i="5"/>
  <c r="S131" i="5"/>
  <c r="AV131" i="5" s="1"/>
  <c r="R131" i="5"/>
  <c r="Q131" i="5"/>
  <c r="P131" i="5"/>
  <c r="O131" i="5"/>
  <c r="N131" i="5"/>
  <c r="M131" i="5"/>
  <c r="L131" i="5"/>
  <c r="K131" i="5"/>
  <c r="AT131" i="5" s="1"/>
  <c r="J131" i="5"/>
  <c r="I131" i="5"/>
  <c r="H131" i="5"/>
  <c r="AQ130" i="5"/>
  <c r="BB130" i="5" s="1"/>
  <c r="AP130" i="5"/>
  <c r="AO130" i="5"/>
  <c r="AN130" i="5"/>
  <c r="AM130" i="5"/>
  <c r="BA130" i="5" s="1"/>
  <c r="AL130" i="5"/>
  <c r="AK130" i="5"/>
  <c r="AJ130" i="5"/>
  <c r="AI130" i="5"/>
  <c r="AH130" i="5"/>
  <c r="AG130" i="5"/>
  <c r="AF130" i="5"/>
  <c r="AE130" i="5"/>
  <c r="AY130" i="5" s="1"/>
  <c r="AD130" i="5"/>
  <c r="AC130" i="5"/>
  <c r="AB130" i="5"/>
  <c r="AA130" i="5"/>
  <c r="Z130" i="5"/>
  <c r="Y130" i="5"/>
  <c r="X130" i="5"/>
  <c r="W130" i="5"/>
  <c r="AW130" i="5" s="1"/>
  <c r="V130" i="5"/>
  <c r="U130" i="5"/>
  <c r="T130" i="5"/>
  <c r="S130" i="5"/>
  <c r="R130" i="5"/>
  <c r="Q130" i="5"/>
  <c r="P130" i="5"/>
  <c r="O130" i="5"/>
  <c r="AU130" i="5" s="1"/>
  <c r="N130" i="5"/>
  <c r="M130" i="5"/>
  <c r="L130" i="5"/>
  <c r="K130" i="5"/>
  <c r="J130" i="5"/>
  <c r="I130" i="5"/>
  <c r="H130" i="5"/>
  <c r="AQ128" i="5"/>
  <c r="BB128" i="5" s="1"/>
  <c r="AP128" i="5"/>
  <c r="AO128" i="5"/>
  <c r="AN128" i="5"/>
  <c r="AM128" i="5"/>
  <c r="BA128" i="5" s="1"/>
  <c r="AL128" i="5"/>
  <c r="AK128" i="5"/>
  <c r="AJ128" i="5"/>
  <c r="AI128" i="5"/>
  <c r="AZ128" i="5" s="1"/>
  <c r="AH128" i="5"/>
  <c r="AG128" i="5"/>
  <c r="AQ127" i="5"/>
  <c r="BB127" i="5" s="1"/>
  <c r="AP127" i="5"/>
  <c r="AO127" i="5"/>
  <c r="AN127" i="5"/>
  <c r="AM127" i="5"/>
  <c r="BA127" i="5" s="1"/>
  <c r="AL127" i="5"/>
  <c r="AK127" i="5"/>
  <c r="AJ127" i="5"/>
  <c r="AI127" i="5"/>
  <c r="AZ127" i="5" s="1"/>
  <c r="AH127" i="5"/>
  <c r="AG127" i="5"/>
  <c r="AF127" i="5"/>
  <c r="AE127" i="5"/>
  <c r="AY127" i="5" s="1"/>
  <c r="AD127" i="5"/>
  <c r="AC127" i="5"/>
  <c r="AB127" i="5"/>
  <c r="AA127" i="5"/>
  <c r="AX127" i="5" s="1"/>
  <c r="Z127" i="5"/>
  <c r="Y127" i="5"/>
  <c r="X127" i="5"/>
  <c r="W127" i="5"/>
  <c r="AW127" i="5" s="1"/>
  <c r="V127" i="5"/>
  <c r="U127" i="5"/>
  <c r="T127" i="5"/>
  <c r="S127" i="5"/>
  <c r="AV127" i="5" s="1"/>
  <c r="R127" i="5"/>
  <c r="Q127" i="5"/>
  <c r="P127" i="5"/>
  <c r="O127" i="5"/>
  <c r="AU127" i="5" s="1"/>
  <c r="N127" i="5"/>
  <c r="M127" i="5"/>
  <c r="L127" i="5"/>
  <c r="K127" i="5"/>
  <c r="AT127" i="5" s="1"/>
  <c r="J127" i="5"/>
  <c r="I127" i="5"/>
  <c r="H127" i="5"/>
  <c r="AQ126" i="5"/>
  <c r="BB126" i="5" s="1"/>
  <c r="AP126" i="5"/>
  <c r="AO126" i="5"/>
  <c r="AN126" i="5"/>
  <c r="AM126" i="5"/>
  <c r="BA126" i="5" s="1"/>
  <c r="AL126" i="5"/>
  <c r="AK126" i="5"/>
  <c r="AJ126" i="5"/>
  <c r="AI126" i="5"/>
  <c r="AZ126" i="5" s="1"/>
  <c r="AH126" i="5"/>
  <c r="AG126" i="5"/>
  <c r="AF126" i="5"/>
  <c r="AE126" i="5"/>
  <c r="AY126" i="5" s="1"/>
  <c r="AD126" i="5"/>
  <c r="AC126" i="5"/>
  <c r="AB126" i="5"/>
  <c r="AA126" i="5"/>
  <c r="AX126" i="5" s="1"/>
  <c r="Z126" i="5"/>
  <c r="Y126" i="5"/>
  <c r="X126" i="5"/>
  <c r="W126" i="5"/>
  <c r="AW126" i="5" s="1"/>
  <c r="V126" i="5"/>
  <c r="U126" i="5"/>
  <c r="T126" i="5"/>
  <c r="S126" i="5"/>
  <c r="AV126" i="5" s="1"/>
  <c r="R126" i="5"/>
  <c r="Q126" i="5"/>
  <c r="P126" i="5"/>
  <c r="O126" i="5"/>
  <c r="AU126" i="5" s="1"/>
  <c r="N126" i="5"/>
  <c r="M126" i="5"/>
  <c r="L126" i="5"/>
  <c r="K126" i="5"/>
  <c r="AT126" i="5" s="1"/>
  <c r="J126" i="5"/>
  <c r="I126" i="5"/>
  <c r="H126" i="5"/>
  <c r="AQ125" i="5"/>
  <c r="BB125" i="5" s="1"/>
  <c r="AP125" i="5"/>
  <c r="AO125" i="5"/>
  <c r="AN125" i="5"/>
  <c r="AM125" i="5"/>
  <c r="BA125" i="5" s="1"/>
  <c r="AL125" i="5"/>
  <c r="AK125" i="5"/>
  <c r="AJ125" i="5"/>
  <c r="AI125" i="5"/>
  <c r="AZ125" i="5" s="1"/>
  <c r="AH125" i="5"/>
  <c r="AG125" i="5"/>
  <c r="AF125" i="5"/>
  <c r="AE125" i="5"/>
  <c r="AY125" i="5" s="1"/>
  <c r="AD125" i="5"/>
  <c r="AC125" i="5"/>
  <c r="AB125" i="5"/>
  <c r="AA125" i="5"/>
  <c r="AX125" i="5" s="1"/>
  <c r="Z125" i="5"/>
  <c r="Y125" i="5"/>
  <c r="X125" i="5"/>
  <c r="W125" i="5"/>
  <c r="AW125" i="5" s="1"/>
  <c r="V125" i="5"/>
  <c r="U125" i="5"/>
  <c r="T125" i="5"/>
  <c r="S125" i="5"/>
  <c r="AV125" i="5" s="1"/>
  <c r="R125" i="5"/>
  <c r="Q125" i="5"/>
  <c r="P125" i="5"/>
  <c r="O125" i="5"/>
  <c r="AU125" i="5" s="1"/>
  <c r="N125" i="5"/>
  <c r="M125" i="5"/>
  <c r="L125" i="5"/>
  <c r="K125" i="5"/>
  <c r="AT125" i="5" s="1"/>
  <c r="J125" i="5"/>
  <c r="I125" i="5"/>
  <c r="H125" i="5"/>
  <c r="AQ124" i="5"/>
  <c r="BB124" i="5" s="1"/>
  <c r="AP124" i="5"/>
  <c r="AO124" i="5"/>
  <c r="AN124" i="5"/>
  <c r="AM124" i="5"/>
  <c r="BA124" i="5" s="1"/>
  <c r="AL124" i="5"/>
  <c r="AK124" i="5"/>
  <c r="AJ124" i="5"/>
  <c r="AI124" i="5"/>
  <c r="AZ124" i="5" s="1"/>
  <c r="AH124" i="5"/>
  <c r="AG124" i="5"/>
  <c r="AF124" i="5"/>
  <c r="AE124" i="5"/>
  <c r="AY124" i="5" s="1"/>
  <c r="AD124" i="5"/>
  <c r="AC124" i="5"/>
  <c r="AB124" i="5"/>
  <c r="AA124" i="5"/>
  <c r="AX124" i="5" s="1"/>
  <c r="Z124" i="5"/>
  <c r="Y124" i="5"/>
  <c r="X124" i="5"/>
  <c r="W124" i="5"/>
  <c r="AW124" i="5" s="1"/>
  <c r="V124" i="5"/>
  <c r="U124" i="5"/>
  <c r="T124" i="5"/>
  <c r="S124" i="5"/>
  <c r="AV124" i="5" s="1"/>
  <c r="R124" i="5"/>
  <c r="Q124" i="5"/>
  <c r="P124" i="5"/>
  <c r="O124" i="5"/>
  <c r="AU124" i="5" s="1"/>
  <c r="N124" i="5"/>
  <c r="M124" i="5"/>
  <c r="L124" i="5"/>
  <c r="K124" i="5"/>
  <c r="AT124" i="5" s="1"/>
  <c r="J124" i="5"/>
  <c r="I124" i="5"/>
  <c r="H124" i="5"/>
  <c r="AQ123" i="5"/>
  <c r="BB123" i="5" s="1"/>
  <c r="AP123" i="5"/>
  <c r="AO123" i="5"/>
  <c r="AN123" i="5"/>
  <c r="AM123" i="5"/>
  <c r="BA123" i="5" s="1"/>
  <c r="AL123" i="5"/>
  <c r="AK123" i="5"/>
  <c r="AJ123" i="5"/>
  <c r="AI123" i="5"/>
  <c r="AZ123" i="5" s="1"/>
  <c r="AH123" i="5"/>
  <c r="AG123" i="5"/>
  <c r="AF123" i="5"/>
  <c r="AE123" i="5"/>
  <c r="AY123" i="5" s="1"/>
  <c r="AD123" i="5"/>
  <c r="AC123" i="5"/>
  <c r="AB123" i="5"/>
  <c r="AA123" i="5"/>
  <c r="AX123" i="5" s="1"/>
  <c r="Z123" i="5"/>
  <c r="Y123" i="5"/>
  <c r="X123" i="5"/>
  <c r="W123" i="5"/>
  <c r="AW123" i="5" s="1"/>
  <c r="V123" i="5"/>
  <c r="U123" i="5"/>
  <c r="T123" i="5"/>
  <c r="S123" i="5"/>
  <c r="AV123" i="5" s="1"/>
  <c r="R123" i="5"/>
  <c r="Q123" i="5"/>
  <c r="P123" i="5"/>
  <c r="O123" i="5"/>
  <c r="AU123" i="5" s="1"/>
  <c r="N123" i="5"/>
  <c r="M123" i="5"/>
  <c r="L123" i="5"/>
  <c r="K123" i="5"/>
  <c r="AT123" i="5" s="1"/>
  <c r="J123" i="5"/>
  <c r="I123" i="5"/>
  <c r="H123" i="5"/>
  <c r="AQ122" i="5"/>
  <c r="BB122" i="5" s="1"/>
  <c r="AP122" i="5"/>
  <c r="AO122" i="5"/>
  <c r="AN122" i="5"/>
  <c r="AM122" i="5"/>
  <c r="BA122" i="5" s="1"/>
  <c r="AL122" i="5"/>
  <c r="AK122" i="5"/>
  <c r="AJ122" i="5"/>
  <c r="AI122" i="5"/>
  <c r="AZ122" i="5" s="1"/>
  <c r="AH122" i="5"/>
  <c r="AG122" i="5"/>
  <c r="AF122" i="5"/>
  <c r="AE122" i="5"/>
  <c r="AY122" i="5" s="1"/>
  <c r="AD122" i="5"/>
  <c r="AC122" i="5"/>
  <c r="AB122" i="5"/>
  <c r="AA122" i="5"/>
  <c r="AX122" i="5" s="1"/>
  <c r="Z122" i="5"/>
  <c r="Y122" i="5"/>
  <c r="X122" i="5"/>
  <c r="W122" i="5"/>
  <c r="AW122" i="5" s="1"/>
  <c r="V122" i="5"/>
  <c r="U122" i="5"/>
  <c r="T122" i="5"/>
  <c r="S122" i="5"/>
  <c r="AV122" i="5" s="1"/>
  <c r="R122" i="5"/>
  <c r="Q122" i="5"/>
  <c r="P122" i="5"/>
  <c r="O122" i="5"/>
  <c r="AU122" i="5" s="1"/>
  <c r="N122" i="5"/>
  <c r="M122" i="5"/>
  <c r="L122" i="5"/>
  <c r="K122" i="5"/>
  <c r="AT122" i="5" s="1"/>
  <c r="J122" i="5"/>
  <c r="I122" i="5"/>
  <c r="H122" i="5"/>
  <c r="AQ121" i="5"/>
  <c r="BB121" i="5" s="1"/>
  <c r="AP121" i="5"/>
  <c r="AO121" i="5"/>
  <c r="AN121" i="5"/>
  <c r="AM121" i="5"/>
  <c r="BA121" i="5" s="1"/>
  <c r="AL121" i="5"/>
  <c r="AK121" i="5"/>
  <c r="AJ121" i="5"/>
  <c r="AI121" i="5"/>
  <c r="AZ121" i="5" s="1"/>
  <c r="AH121" i="5"/>
  <c r="AG121" i="5"/>
  <c r="AF121" i="5"/>
  <c r="AE121" i="5"/>
  <c r="AY121" i="5" s="1"/>
  <c r="AD121" i="5"/>
  <c r="AC121" i="5"/>
  <c r="AB121" i="5"/>
  <c r="AA121" i="5"/>
  <c r="AX121" i="5" s="1"/>
  <c r="Z121" i="5"/>
  <c r="Y121" i="5"/>
  <c r="X121" i="5"/>
  <c r="W121" i="5"/>
  <c r="AW121" i="5" s="1"/>
  <c r="V121" i="5"/>
  <c r="U121" i="5"/>
  <c r="T121" i="5"/>
  <c r="S121" i="5"/>
  <c r="AV121" i="5" s="1"/>
  <c r="R121" i="5"/>
  <c r="Q121" i="5"/>
  <c r="P121" i="5"/>
  <c r="O121" i="5"/>
  <c r="AU121" i="5" s="1"/>
  <c r="N121" i="5"/>
  <c r="M121" i="5"/>
  <c r="L121" i="5"/>
  <c r="K121" i="5"/>
  <c r="AT121" i="5" s="1"/>
  <c r="J121" i="5"/>
  <c r="I121" i="5"/>
  <c r="H121" i="5"/>
  <c r="AQ120" i="5"/>
  <c r="BB120" i="5" s="1"/>
  <c r="AP120" i="5"/>
  <c r="AO120" i="5"/>
  <c r="AN120" i="5"/>
  <c r="AM120" i="5"/>
  <c r="BA120" i="5" s="1"/>
  <c r="AL120" i="5"/>
  <c r="AK120" i="5"/>
  <c r="AJ120" i="5"/>
  <c r="AI120" i="5"/>
  <c r="AZ120" i="5" s="1"/>
  <c r="AH120" i="5"/>
  <c r="AG120" i="5"/>
  <c r="AF120" i="5"/>
  <c r="AE120" i="5"/>
  <c r="AY120" i="5" s="1"/>
  <c r="AD120" i="5"/>
  <c r="AC120" i="5"/>
  <c r="AB120" i="5"/>
  <c r="AA120" i="5"/>
  <c r="AX120" i="5" s="1"/>
  <c r="Z120" i="5"/>
  <c r="Y120" i="5"/>
  <c r="X120" i="5"/>
  <c r="W120" i="5"/>
  <c r="AW120" i="5" s="1"/>
  <c r="V120" i="5"/>
  <c r="U120" i="5"/>
  <c r="T120" i="5"/>
  <c r="S120" i="5"/>
  <c r="AV120" i="5" s="1"/>
  <c r="R120" i="5"/>
  <c r="Q120" i="5"/>
  <c r="P120" i="5"/>
  <c r="O120" i="5"/>
  <c r="AU120" i="5" s="1"/>
  <c r="N120" i="5"/>
  <c r="M120" i="5"/>
  <c r="L120" i="5"/>
  <c r="K120" i="5"/>
  <c r="AT120" i="5" s="1"/>
  <c r="J120" i="5"/>
  <c r="I120" i="5"/>
  <c r="H120" i="5"/>
  <c r="AQ119" i="5"/>
  <c r="BB119" i="5" s="1"/>
  <c r="AP119" i="5"/>
  <c r="AO119" i="5"/>
  <c r="AN119" i="5"/>
  <c r="AM119" i="5"/>
  <c r="BA119" i="5" s="1"/>
  <c r="AL119" i="5"/>
  <c r="AK119" i="5"/>
  <c r="AJ119" i="5"/>
  <c r="AI119" i="5"/>
  <c r="AZ119" i="5" s="1"/>
  <c r="AH119" i="5"/>
  <c r="AG119" i="5"/>
  <c r="AF119" i="5"/>
  <c r="AE119" i="5"/>
  <c r="AY119" i="5" s="1"/>
  <c r="AD119" i="5"/>
  <c r="AC119" i="5"/>
  <c r="AB119" i="5"/>
  <c r="AA119" i="5"/>
  <c r="AX119" i="5" s="1"/>
  <c r="Z119" i="5"/>
  <c r="Y119" i="5"/>
  <c r="X119" i="5"/>
  <c r="W119" i="5"/>
  <c r="AW119" i="5" s="1"/>
  <c r="V119" i="5"/>
  <c r="U119" i="5"/>
  <c r="T119" i="5"/>
  <c r="S119" i="5"/>
  <c r="AV119" i="5" s="1"/>
  <c r="R119" i="5"/>
  <c r="Q119" i="5"/>
  <c r="P119" i="5"/>
  <c r="O119" i="5"/>
  <c r="AU119" i="5" s="1"/>
  <c r="N119" i="5"/>
  <c r="M119" i="5"/>
  <c r="L119" i="5"/>
  <c r="K119" i="5"/>
  <c r="AT119" i="5" s="1"/>
  <c r="J119" i="5"/>
  <c r="I119" i="5"/>
  <c r="H119" i="5"/>
  <c r="AQ118" i="5"/>
  <c r="AP118" i="5"/>
  <c r="AP275" i="5" s="1"/>
  <c r="AO118" i="5"/>
  <c r="AO275" i="5" s="1"/>
  <c r="AN118" i="5"/>
  <c r="AM118" i="5"/>
  <c r="AM275" i="5" s="1"/>
  <c r="AL118" i="5"/>
  <c r="AL275" i="5" s="1"/>
  <c r="AK118" i="5"/>
  <c r="AK275" i="5" s="1"/>
  <c r="AJ118" i="5"/>
  <c r="AI118" i="5"/>
  <c r="AH118" i="5"/>
  <c r="AH275" i="5" s="1"/>
  <c r="AG118" i="5"/>
  <c r="AG275" i="5" s="1"/>
  <c r="AF118" i="5"/>
  <c r="AE118" i="5"/>
  <c r="AE275" i="5" s="1"/>
  <c r="AD118" i="5"/>
  <c r="AD275" i="5" s="1"/>
  <c r="AC118" i="5"/>
  <c r="AC275" i="5" s="1"/>
  <c r="AB118" i="5"/>
  <c r="AA118" i="5"/>
  <c r="Z118" i="5"/>
  <c r="Z275" i="5" s="1"/>
  <c r="Y118" i="5"/>
  <c r="Y275" i="5" s="1"/>
  <c r="X118" i="5"/>
  <c r="X275" i="5" s="1"/>
  <c r="W118" i="5"/>
  <c r="W275" i="5" s="1"/>
  <c r="V118" i="5"/>
  <c r="V275" i="5" s="1"/>
  <c r="U118" i="5"/>
  <c r="U275" i="5" s="1"/>
  <c r="T118" i="5"/>
  <c r="S118" i="5"/>
  <c r="R118" i="5"/>
  <c r="R275" i="5" s="1"/>
  <c r="Q118" i="5"/>
  <c r="Q275" i="5" s="1"/>
  <c r="P118" i="5"/>
  <c r="P275" i="5" s="1"/>
  <c r="O118" i="5"/>
  <c r="O275" i="5" s="1"/>
  <c r="N118" i="5"/>
  <c r="N275" i="5" s="1"/>
  <c r="M118" i="5"/>
  <c r="M275" i="5" s="1"/>
  <c r="L118" i="5"/>
  <c r="K118" i="5"/>
  <c r="J118" i="5"/>
  <c r="J275" i="5" s="1"/>
  <c r="I118" i="5"/>
  <c r="H118" i="5"/>
  <c r="P115" i="5"/>
  <c r="AQ108" i="5"/>
  <c r="AP108" i="5"/>
  <c r="AO108" i="5"/>
  <c r="AN108" i="5"/>
  <c r="AM108" i="5"/>
  <c r="AL108" i="5"/>
  <c r="AK108" i="5"/>
  <c r="AJ108" i="5"/>
  <c r="AI108" i="5"/>
  <c r="AH108" i="5"/>
  <c r="AG108" i="5"/>
  <c r="AF108" i="5"/>
  <c r="AE108" i="5"/>
  <c r="AD108" i="5"/>
  <c r="AC108" i="5"/>
  <c r="AB108" i="5"/>
  <c r="AA108" i="5"/>
  <c r="Z108" i="5"/>
  <c r="Y108" i="5"/>
  <c r="X108" i="5"/>
  <c r="W108" i="5"/>
  <c r="V108" i="5"/>
  <c r="U108" i="5"/>
  <c r="T108" i="5"/>
  <c r="S108" i="5"/>
  <c r="R108" i="5"/>
  <c r="Q108" i="5"/>
  <c r="P108" i="5"/>
  <c r="O108" i="5"/>
  <c r="N108" i="5"/>
  <c r="M108" i="5"/>
  <c r="L108" i="5"/>
  <c r="K108" i="5"/>
  <c r="J108" i="5"/>
  <c r="I108" i="5"/>
  <c r="H108" i="5"/>
  <c r="AQ102" i="5"/>
  <c r="AP102" i="5"/>
  <c r="AO102" i="5"/>
  <c r="AN102" i="5"/>
  <c r="AM102" i="5"/>
  <c r="AL102" i="5"/>
  <c r="AL106" i="5" s="1"/>
  <c r="AK102" i="5"/>
  <c r="AK106" i="5" s="1"/>
  <c r="AJ102" i="5"/>
  <c r="AI102" i="5"/>
  <c r="AH102" i="5"/>
  <c r="AG102" i="5"/>
  <c r="AF102" i="5"/>
  <c r="AE102" i="5"/>
  <c r="AD102" i="5"/>
  <c r="AC102" i="5"/>
  <c r="AB102" i="5"/>
  <c r="AA102" i="5"/>
  <c r="Z102" i="5"/>
  <c r="Y102" i="5"/>
  <c r="X102" i="5"/>
  <c r="W102" i="5"/>
  <c r="V102" i="5"/>
  <c r="U102" i="5"/>
  <c r="T102" i="5"/>
  <c r="S102" i="5"/>
  <c r="R102" i="5"/>
  <c r="Q102" i="5"/>
  <c r="P102" i="5"/>
  <c r="O102" i="5"/>
  <c r="N102" i="5"/>
  <c r="M102" i="5"/>
  <c r="L102" i="5"/>
  <c r="K102" i="5"/>
  <c r="J102" i="5"/>
  <c r="I102" i="5"/>
  <c r="H102" i="5"/>
  <c r="W101" i="5"/>
  <c r="W106" i="5" s="1"/>
  <c r="V101" i="5"/>
  <c r="V106" i="5" s="1"/>
  <c r="U101" i="5"/>
  <c r="U106" i="5" s="1"/>
  <c r="T101" i="5"/>
  <c r="T106" i="5" s="1"/>
  <c r="S101" i="5"/>
  <c r="S106" i="5" s="1"/>
  <c r="R101" i="5"/>
  <c r="R106" i="5" s="1"/>
  <c r="Q101" i="5"/>
  <c r="Q106" i="5" s="1"/>
  <c r="P101" i="5"/>
  <c r="P106" i="5" s="1"/>
  <c r="O101" i="5"/>
  <c r="O106" i="5" s="1"/>
  <c r="N101" i="5"/>
  <c r="N106" i="5" s="1"/>
  <c r="M101" i="5"/>
  <c r="M106" i="5" s="1"/>
  <c r="L101" i="5"/>
  <c r="L106" i="5" s="1"/>
  <c r="K101" i="5"/>
  <c r="K106" i="5" s="1"/>
  <c r="J101" i="5"/>
  <c r="J106" i="5" s="1"/>
  <c r="I101" i="5"/>
  <c r="I106" i="5" s="1"/>
  <c r="H101" i="5"/>
  <c r="H106" i="5" s="1"/>
  <c r="P97" i="5"/>
  <c r="AQ92" i="5"/>
  <c r="AP92" i="5"/>
  <c r="AO92" i="5"/>
  <c r="AN92" i="5"/>
  <c r="AM92" i="5"/>
  <c r="AL92" i="5"/>
  <c r="AK92" i="5"/>
  <c r="AJ92" i="5"/>
  <c r="AI92" i="5"/>
  <c r="AH92" i="5"/>
  <c r="AG92" i="5"/>
  <c r="AF92" i="5"/>
  <c r="AE92" i="5"/>
  <c r="AD92" i="5"/>
  <c r="AC92" i="5"/>
  <c r="AB92" i="5"/>
  <c r="AA92" i="5"/>
  <c r="Z92" i="5"/>
  <c r="Y92" i="5"/>
  <c r="X92" i="5"/>
  <c r="W92" i="5"/>
  <c r="V92" i="5"/>
  <c r="U92" i="5"/>
  <c r="T92" i="5"/>
  <c r="S92" i="5"/>
  <c r="R92" i="5"/>
  <c r="Q92" i="5"/>
  <c r="P92" i="5"/>
  <c r="O92" i="5"/>
  <c r="N92" i="5"/>
  <c r="M92" i="5"/>
  <c r="L92" i="5"/>
  <c r="K92" i="5"/>
  <c r="J92" i="5"/>
  <c r="I92" i="5"/>
  <c r="H92" i="5"/>
  <c r="AQ89" i="5"/>
  <c r="AP89" i="5"/>
  <c r="AO89" i="5"/>
  <c r="AN89" i="5"/>
  <c r="AM89" i="5"/>
  <c r="AL89" i="5"/>
  <c r="AK89" i="5"/>
  <c r="AJ89" i="5"/>
  <c r="AI89" i="5"/>
  <c r="AH89" i="5"/>
  <c r="AG89" i="5"/>
  <c r="AF89" i="5"/>
  <c r="AE89" i="5"/>
  <c r="AD89" i="5"/>
  <c r="AC89" i="5"/>
  <c r="AB89" i="5"/>
  <c r="AA89" i="5"/>
  <c r="Z89" i="5"/>
  <c r="Y89" i="5"/>
  <c r="X89" i="5"/>
  <c r="W89" i="5"/>
  <c r="V89" i="5"/>
  <c r="U89" i="5"/>
  <c r="T89" i="5"/>
  <c r="S89" i="5"/>
  <c r="R89" i="5"/>
  <c r="Q89" i="5"/>
  <c r="P89" i="5"/>
  <c r="O89" i="5"/>
  <c r="N89" i="5"/>
  <c r="M89" i="5"/>
  <c r="L89" i="5"/>
  <c r="K89" i="5"/>
  <c r="J89" i="5"/>
  <c r="I89" i="5"/>
  <c r="H89" i="5"/>
  <c r="AQ88" i="5"/>
  <c r="AP88" i="5"/>
  <c r="AO88" i="5"/>
  <c r="AN88" i="5"/>
  <c r="AM88" i="5"/>
  <c r="AL88" i="5"/>
  <c r="AK88" i="5"/>
  <c r="AJ88" i="5"/>
  <c r="AI88" i="5"/>
  <c r="AH88" i="5"/>
  <c r="AG88" i="5"/>
  <c r="AF88" i="5"/>
  <c r="AE88" i="5"/>
  <c r="AD88" i="5"/>
  <c r="AC88" i="5"/>
  <c r="AB88" i="5"/>
  <c r="AA88" i="5"/>
  <c r="Z88" i="5"/>
  <c r="Y88" i="5"/>
  <c r="X88" i="5"/>
  <c r="W88" i="5"/>
  <c r="V88" i="5"/>
  <c r="U88" i="5"/>
  <c r="T88" i="5"/>
  <c r="S88" i="5"/>
  <c r="R88" i="5"/>
  <c r="Q88" i="5"/>
  <c r="P88" i="5"/>
  <c r="O88" i="5"/>
  <c r="N88" i="5"/>
  <c r="M88" i="5"/>
  <c r="L88" i="5"/>
  <c r="K88" i="5"/>
  <c r="J88" i="5"/>
  <c r="I88" i="5"/>
  <c r="H88" i="5"/>
  <c r="AQ85" i="5"/>
  <c r="AP85" i="5"/>
  <c r="AO85" i="5"/>
  <c r="AN85" i="5"/>
  <c r="AL85" i="5"/>
  <c r="AK85" i="5"/>
  <c r="AJ85" i="5"/>
  <c r="AI85" i="5"/>
  <c r="AH85" i="5"/>
  <c r="AG85" i="5"/>
  <c r="AF85" i="5"/>
  <c r="AE85" i="5"/>
  <c r="AD85" i="5"/>
  <c r="AC85" i="5"/>
  <c r="AB85" i="5"/>
  <c r="AA85" i="5"/>
  <c r="Z85" i="5"/>
  <c r="Y85" i="5"/>
  <c r="X85" i="5"/>
  <c r="W85" i="5"/>
  <c r="V85" i="5"/>
  <c r="U85" i="5"/>
  <c r="T85" i="5"/>
  <c r="S85" i="5"/>
  <c r="R85" i="5"/>
  <c r="Q85" i="5"/>
  <c r="P85" i="5"/>
  <c r="O85" i="5"/>
  <c r="N85" i="5"/>
  <c r="M85" i="5"/>
  <c r="L85" i="5"/>
  <c r="K85" i="5"/>
  <c r="J85" i="5"/>
  <c r="I85" i="5"/>
  <c r="H85" i="5"/>
  <c r="AQ84" i="5"/>
  <c r="AP84" i="5"/>
  <c r="AO84" i="5"/>
  <c r="AN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AQ81" i="5"/>
  <c r="AP81" i="5"/>
  <c r="AO81" i="5"/>
  <c r="AN81" i="5"/>
  <c r="AM81" i="5"/>
  <c r="AL81" i="5"/>
  <c r="AK81" i="5"/>
  <c r="AJ81" i="5"/>
  <c r="AI81" i="5"/>
  <c r="AH81" i="5"/>
  <c r="AG81" i="5"/>
  <c r="AF81" i="5"/>
  <c r="AE81" i="5"/>
  <c r="AD81" i="5"/>
  <c r="AC81" i="5"/>
  <c r="AB81" i="5"/>
  <c r="AA81" i="5"/>
  <c r="Z81" i="5"/>
  <c r="Y81" i="5"/>
  <c r="X81" i="5"/>
  <c r="W81" i="5"/>
  <c r="V81" i="5"/>
  <c r="U81" i="5"/>
  <c r="T81" i="5"/>
  <c r="S81" i="5"/>
  <c r="R81" i="5"/>
  <c r="Q81" i="5"/>
  <c r="P81" i="5"/>
  <c r="O81" i="5"/>
  <c r="N81" i="5"/>
  <c r="M81" i="5"/>
  <c r="L81" i="5"/>
  <c r="K81" i="5"/>
  <c r="J81" i="5"/>
  <c r="I81" i="5"/>
  <c r="H81" i="5"/>
  <c r="AQ80" i="5"/>
  <c r="AP80" i="5"/>
  <c r="AO80" i="5"/>
  <c r="AN80" i="5"/>
  <c r="AM80" i="5"/>
  <c r="AL80" i="5"/>
  <c r="AK80" i="5"/>
  <c r="AJ80" i="5"/>
  <c r="AI80" i="5"/>
  <c r="AH80" i="5"/>
  <c r="AG80" i="5"/>
  <c r="AF80" i="5"/>
  <c r="AE80" i="5"/>
  <c r="AD80" i="5"/>
  <c r="AC80" i="5"/>
  <c r="AB80" i="5"/>
  <c r="AA80" i="5"/>
  <c r="Z80" i="5"/>
  <c r="Y80" i="5"/>
  <c r="X80" i="5"/>
  <c r="W80" i="5"/>
  <c r="V80" i="5"/>
  <c r="U80" i="5"/>
  <c r="T80" i="5"/>
  <c r="S80" i="5"/>
  <c r="R80" i="5"/>
  <c r="Q80" i="5"/>
  <c r="P80" i="5"/>
  <c r="O80" i="5"/>
  <c r="N80" i="5"/>
  <c r="M80" i="5"/>
  <c r="L80" i="5"/>
  <c r="K80" i="5"/>
  <c r="J80" i="5"/>
  <c r="I80" i="5"/>
  <c r="H80" i="5"/>
  <c r="AQ79" i="5"/>
  <c r="AP79" i="5"/>
  <c r="AO79" i="5"/>
  <c r="AN79" i="5"/>
  <c r="AM79" i="5"/>
  <c r="AL79" i="5"/>
  <c r="AK79" i="5"/>
  <c r="AJ79" i="5"/>
  <c r="AI79" i="5"/>
  <c r="AH79" i="5"/>
  <c r="AG79" i="5"/>
  <c r="AF79" i="5"/>
  <c r="AE79" i="5"/>
  <c r="AD79" i="5"/>
  <c r="AC79" i="5"/>
  <c r="AB79" i="5"/>
  <c r="AA79" i="5"/>
  <c r="Z79" i="5"/>
  <c r="Y79" i="5"/>
  <c r="X79" i="5"/>
  <c r="W79" i="5"/>
  <c r="V79" i="5"/>
  <c r="U79" i="5"/>
  <c r="T79" i="5"/>
  <c r="S79" i="5"/>
  <c r="R79" i="5"/>
  <c r="Q79" i="5"/>
  <c r="P79" i="5"/>
  <c r="O79" i="5"/>
  <c r="N79" i="5"/>
  <c r="M79" i="5"/>
  <c r="L79" i="5"/>
  <c r="K79" i="5"/>
  <c r="J79" i="5"/>
  <c r="I79" i="5"/>
  <c r="H79" i="5"/>
  <c r="AQ78" i="5"/>
  <c r="AP78" i="5"/>
  <c r="AO78" i="5"/>
  <c r="AN78" i="5"/>
  <c r="AM78" i="5"/>
  <c r="AL78" i="5"/>
  <c r="AK78" i="5"/>
  <c r="AJ78" i="5"/>
  <c r="AI78" i="5"/>
  <c r="AH78" i="5"/>
  <c r="AG78" i="5"/>
  <c r="AF78" i="5"/>
  <c r="AE78" i="5"/>
  <c r="AD78" i="5"/>
  <c r="AC78" i="5"/>
  <c r="AB78" i="5"/>
  <c r="AA78" i="5"/>
  <c r="Z78" i="5"/>
  <c r="Y78" i="5"/>
  <c r="X78" i="5"/>
  <c r="W78" i="5"/>
  <c r="V78" i="5"/>
  <c r="U78" i="5"/>
  <c r="T78" i="5"/>
  <c r="S78" i="5"/>
  <c r="R78" i="5"/>
  <c r="Q78" i="5"/>
  <c r="P78" i="5"/>
  <c r="O78" i="5"/>
  <c r="N78" i="5"/>
  <c r="M78" i="5"/>
  <c r="L78" i="5"/>
  <c r="K78" i="5"/>
  <c r="J78" i="5"/>
  <c r="I78" i="5"/>
  <c r="H78" i="5"/>
  <c r="AQ77" i="5"/>
  <c r="AP77" i="5"/>
  <c r="AO77" i="5"/>
  <c r="AN77" i="5"/>
  <c r="AM77" i="5"/>
  <c r="AL77" i="5"/>
  <c r="AK77" i="5"/>
  <c r="AJ77" i="5"/>
  <c r="AI77" i="5"/>
  <c r="AH77" i="5"/>
  <c r="AG77" i="5"/>
  <c r="AF77" i="5"/>
  <c r="AE77" i="5"/>
  <c r="AD77" i="5"/>
  <c r="AC77" i="5"/>
  <c r="AB77" i="5"/>
  <c r="AA77" i="5"/>
  <c r="Z77" i="5"/>
  <c r="Y77" i="5"/>
  <c r="X77" i="5"/>
  <c r="W77" i="5"/>
  <c r="V77" i="5"/>
  <c r="U77" i="5"/>
  <c r="T77" i="5"/>
  <c r="S77" i="5"/>
  <c r="R77" i="5"/>
  <c r="Q77" i="5"/>
  <c r="P77" i="5"/>
  <c r="M77" i="5"/>
  <c r="L77" i="5"/>
  <c r="K77" i="5"/>
  <c r="J77" i="5"/>
  <c r="I77" i="5"/>
  <c r="H77" i="5"/>
  <c r="AQ76" i="5"/>
  <c r="AP76" i="5"/>
  <c r="AO76" i="5"/>
  <c r="AN76" i="5"/>
  <c r="AM76" i="5"/>
  <c r="AL76" i="5"/>
  <c r="AK76" i="5"/>
  <c r="AJ76" i="5"/>
  <c r="AI76" i="5"/>
  <c r="AH76" i="5"/>
  <c r="AG76" i="5"/>
  <c r="AF76" i="5"/>
  <c r="AE76" i="5"/>
  <c r="AD76" i="5"/>
  <c r="AC76" i="5"/>
  <c r="AB76" i="5"/>
  <c r="AA76" i="5"/>
  <c r="Z76" i="5"/>
  <c r="Y76" i="5"/>
  <c r="X76" i="5"/>
  <c r="W76" i="5"/>
  <c r="V76" i="5"/>
  <c r="U76" i="5"/>
  <c r="T76" i="5"/>
  <c r="S76" i="5"/>
  <c r="R76" i="5"/>
  <c r="Q76" i="5"/>
  <c r="P76" i="5"/>
  <c r="M76" i="5"/>
  <c r="L76" i="5"/>
  <c r="K76" i="5"/>
  <c r="J76" i="5"/>
  <c r="I76" i="5"/>
  <c r="H76" i="5"/>
  <c r="AQ75" i="5"/>
  <c r="AP75" i="5"/>
  <c r="AO75" i="5"/>
  <c r="AN75" i="5"/>
  <c r="AM75" i="5"/>
  <c r="AL75" i="5"/>
  <c r="AK75" i="5"/>
  <c r="AJ75" i="5"/>
  <c r="AI75" i="5"/>
  <c r="AH75" i="5"/>
  <c r="AG75" i="5"/>
  <c r="AF75" i="5"/>
  <c r="AE75" i="5"/>
  <c r="AD75" i="5"/>
  <c r="AC75" i="5"/>
  <c r="AB75" i="5"/>
  <c r="AA75" i="5"/>
  <c r="Z75" i="5"/>
  <c r="Y75" i="5"/>
  <c r="X75" i="5"/>
  <c r="W75" i="5"/>
  <c r="V75" i="5"/>
  <c r="U75" i="5"/>
  <c r="T75" i="5"/>
  <c r="S75" i="5"/>
  <c r="R75" i="5"/>
  <c r="Q75" i="5"/>
  <c r="P75" i="5"/>
  <c r="O75" i="5"/>
  <c r="N75" i="5"/>
  <c r="M75" i="5"/>
  <c r="L75" i="5"/>
  <c r="K75" i="5"/>
  <c r="J75" i="5"/>
  <c r="I75" i="5"/>
  <c r="H75" i="5"/>
  <c r="AW74" i="5"/>
  <c r="AV74" i="5"/>
  <c r="AU74" i="5"/>
  <c r="AT74" i="5"/>
  <c r="AQ74" i="5"/>
  <c r="AQ101" i="5" s="1"/>
  <c r="AQ106" i="5" s="1"/>
  <c r="AP74" i="5"/>
  <c r="AP101" i="5" s="1"/>
  <c r="AP106" i="5" s="1"/>
  <c r="AO74" i="5"/>
  <c r="AO101" i="5" s="1"/>
  <c r="AO106" i="5" s="1"/>
  <c r="AN74" i="5"/>
  <c r="AM74" i="5"/>
  <c r="AL74" i="5"/>
  <c r="AK74" i="5"/>
  <c r="AJ74" i="5"/>
  <c r="AI74" i="5"/>
  <c r="AI101" i="5" s="1"/>
  <c r="AH74" i="5"/>
  <c r="AH101" i="5" s="1"/>
  <c r="AG74" i="5"/>
  <c r="AG101" i="5" s="1"/>
  <c r="AF74" i="5"/>
  <c r="AE74" i="5"/>
  <c r="AD74" i="5"/>
  <c r="AD101" i="5" s="1"/>
  <c r="AC74" i="5"/>
  <c r="AC101" i="5" s="1"/>
  <c r="AB74" i="5"/>
  <c r="AB101" i="5" s="1"/>
  <c r="AA74" i="5"/>
  <c r="AA101" i="5" s="1"/>
  <c r="Z74" i="5"/>
  <c r="Z101" i="5" s="1"/>
  <c r="Y74" i="5"/>
  <c r="Y101" i="5" s="1"/>
  <c r="X74" i="5"/>
  <c r="X101" i="5" s="1"/>
  <c r="AQ73" i="5"/>
  <c r="AP73" i="5"/>
  <c r="AO73" i="5"/>
  <c r="AN73" i="5"/>
  <c r="AM73" i="5"/>
  <c r="AL73" i="5"/>
  <c r="AK73" i="5"/>
  <c r="AJ73" i="5"/>
  <c r="AI73" i="5"/>
  <c r="AH73" i="5"/>
  <c r="AG73" i="5"/>
  <c r="AF73" i="5"/>
  <c r="AE73" i="5"/>
  <c r="AD73" i="5"/>
  <c r="X73" i="5"/>
  <c r="W73" i="5"/>
  <c r="V73" i="5"/>
  <c r="U73" i="5"/>
  <c r="T73" i="5"/>
  <c r="S73" i="5"/>
  <c r="R73" i="5"/>
  <c r="Q73" i="5"/>
  <c r="P73" i="5"/>
  <c r="O73" i="5"/>
  <c r="N73" i="5"/>
  <c r="M73" i="5"/>
  <c r="L73" i="5"/>
  <c r="K73" i="5"/>
  <c r="J73" i="5"/>
  <c r="I73" i="5"/>
  <c r="H73" i="5"/>
  <c r="AQ71" i="5"/>
  <c r="AP71" i="5"/>
  <c r="AO71" i="5"/>
  <c r="AN71" i="5"/>
  <c r="AM71" i="5"/>
  <c r="AL71" i="5"/>
  <c r="AK71" i="5"/>
  <c r="AJ71" i="5"/>
  <c r="AI71" i="5"/>
  <c r="AH71" i="5"/>
  <c r="AG71" i="5"/>
  <c r="AF71" i="5"/>
  <c r="AE71" i="5"/>
  <c r="AD71" i="5"/>
  <c r="AC71" i="5"/>
  <c r="AB71" i="5"/>
  <c r="AA71" i="5"/>
  <c r="Z71" i="5"/>
  <c r="Y71" i="5"/>
  <c r="X71" i="5"/>
  <c r="W71" i="5"/>
  <c r="V71" i="5"/>
  <c r="U71" i="5"/>
  <c r="T71" i="5"/>
  <c r="S71" i="5"/>
  <c r="R71" i="5"/>
  <c r="Q71" i="5"/>
  <c r="P71" i="5"/>
  <c r="O71" i="5"/>
  <c r="N71" i="5"/>
  <c r="M71" i="5"/>
  <c r="L71" i="5"/>
  <c r="K71" i="5"/>
  <c r="J71" i="5"/>
  <c r="I71" i="5"/>
  <c r="H71" i="5"/>
  <c r="AQ70" i="5"/>
  <c r="AP70" i="5"/>
  <c r="AO70" i="5"/>
  <c r="AN70" i="5"/>
  <c r="AM70" i="5"/>
  <c r="AL70" i="5"/>
  <c r="AK70" i="5"/>
  <c r="AJ70" i="5"/>
  <c r="AI70" i="5"/>
  <c r="AH70" i="5"/>
  <c r="AG70" i="5"/>
  <c r="AF70" i="5"/>
  <c r="AE70" i="5"/>
  <c r="AD70" i="5"/>
  <c r="AC70" i="5"/>
  <c r="AB70" i="5"/>
  <c r="AA70" i="5"/>
  <c r="Z70" i="5"/>
  <c r="Y70" i="5"/>
  <c r="X70" i="5"/>
  <c r="W70" i="5"/>
  <c r="V70" i="5"/>
  <c r="U70" i="5"/>
  <c r="T70" i="5"/>
  <c r="S70" i="5"/>
  <c r="R70" i="5"/>
  <c r="Q70" i="5"/>
  <c r="P70" i="5"/>
  <c r="O70" i="5"/>
  <c r="N70" i="5"/>
  <c r="M70" i="5"/>
  <c r="L70" i="5"/>
  <c r="K70" i="5"/>
  <c r="J70" i="5"/>
  <c r="I70" i="5"/>
  <c r="H70" i="5"/>
  <c r="AQ69" i="5"/>
  <c r="AP69" i="5"/>
  <c r="AO69" i="5"/>
  <c r="AN69" i="5"/>
  <c r="AM69" i="5"/>
  <c r="AL69" i="5"/>
  <c r="AK69" i="5"/>
  <c r="AJ69" i="5"/>
  <c r="AI69" i="5"/>
  <c r="AH69" i="5"/>
  <c r="AG69" i="5"/>
  <c r="AF69" i="5"/>
  <c r="AE69" i="5"/>
  <c r="AD69" i="5"/>
  <c r="AC69" i="5"/>
  <c r="AB69" i="5"/>
  <c r="AA69" i="5"/>
  <c r="Z69" i="5"/>
  <c r="Y69" i="5"/>
  <c r="X69" i="5"/>
  <c r="W69" i="5"/>
  <c r="V69" i="5"/>
  <c r="U69" i="5"/>
  <c r="T69" i="5"/>
  <c r="S69" i="5"/>
  <c r="R69" i="5"/>
  <c r="Q69" i="5"/>
  <c r="P69" i="5"/>
  <c r="O69" i="5"/>
  <c r="N69" i="5"/>
  <c r="M69" i="5"/>
  <c r="L69" i="5"/>
  <c r="K69" i="5"/>
  <c r="J69" i="5"/>
  <c r="I69" i="5"/>
  <c r="H69" i="5"/>
  <c r="AQ68" i="5"/>
  <c r="AP68" i="5"/>
  <c r="AO68" i="5"/>
  <c r="AN68" i="5"/>
  <c r="AM68" i="5"/>
  <c r="AL68"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AQ67" i="5"/>
  <c r="AP67" i="5"/>
  <c r="AO67" i="5"/>
  <c r="AN67" i="5"/>
  <c r="AM67" i="5"/>
  <c r="AL67" i="5"/>
  <c r="AK67" i="5"/>
  <c r="AJ67" i="5"/>
  <c r="AI67" i="5"/>
  <c r="AH67" i="5"/>
  <c r="AG67" i="5"/>
  <c r="AF67" i="5"/>
  <c r="AE67" i="5"/>
  <c r="AD67" i="5"/>
  <c r="AC67" i="5"/>
  <c r="AB67" i="5"/>
  <c r="AA67" i="5"/>
  <c r="Z67" i="5"/>
  <c r="Y67" i="5"/>
  <c r="X67" i="5"/>
  <c r="W67" i="5"/>
  <c r="V67" i="5"/>
  <c r="U67" i="5"/>
  <c r="T67" i="5"/>
  <c r="S67" i="5"/>
  <c r="R67" i="5"/>
  <c r="Q67" i="5"/>
  <c r="P67" i="5"/>
  <c r="O67" i="5"/>
  <c r="N67" i="5"/>
  <c r="M67" i="5"/>
  <c r="L67" i="5"/>
  <c r="K67" i="5"/>
  <c r="J67" i="5"/>
  <c r="I67" i="5"/>
  <c r="H67" i="5"/>
  <c r="AQ62" i="5"/>
  <c r="AP62" i="5"/>
  <c r="AO62" i="5"/>
  <c r="AN62" i="5"/>
  <c r="AM62" i="5"/>
  <c r="AL62" i="5"/>
  <c r="AK62" i="5"/>
  <c r="AJ62" i="5"/>
  <c r="AI62" i="5"/>
  <c r="AH62" i="5"/>
  <c r="AG62" i="5"/>
  <c r="AF62" i="5"/>
  <c r="AE62" i="5"/>
  <c r="AD62" i="5"/>
  <c r="AC62" i="5"/>
  <c r="AB62" i="5"/>
  <c r="AA62" i="5"/>
  <c r="Z62" i="5"/>
  <c r="Y62" i="5"/>
  <c r="X62" i="5"/>
  <c r="W62" i="5"/>
  <c r="V62" i="5"/>
  <c r="U62" i="5"/>
  <c r="T62" i="5"/>
  <c r="S62" i="5"/>
  <c r="R62" i="5"/>
  <c r="Q62" i="5"/>
  <c r="P62" i="5"/>
  <c r="O62" i="5"/>
  <c r="N62" i="5"/>
  <c r="M62" i="5"/>
  <c r="L62" i="5"/>
  <c r="K62" i="5"/>
  <c r="J62" i="5"/>
  <c r="I62" i="5"/>
  <c r="H62" i="5"/>
  <c r="AQ61" i="5"/>
  <c r="AP61" i="5"/>
  <c r="AO61" i="5"/>
  <c r="AN61" i="5"/>
  <c r="AM61" i="5"/>
  <c r="AL61" i="5"/>
  <c r="AK61" i="5"/>
  <c r="AJ61" i="5"/>
  <c r="AI61" i="5"/>
  <c r="AH61" i="5"/>
  <c r="AG61" i="5"/>
  <c r="AF61" i="5"/>
  <c r="AE61" i="5"/>
  <c r="AD61" i="5"/>
  <c r="AC61" i="5"/>
  <c r="AB61" i="5"/>
  <c r="AA61" i="5"/>
  <c r="Z61" i="5"/>
  <c r="Y61" i="5"/>
  <c r="X61" i="5"/>
  <c r="W61" i="5"/>
  <c r="V61" i="5"/>
  <c r="U61" i="5"/>
  <c r="T61" i="5"/>
  <c r="S61" i="5"/>
  <c r="R61" i="5"/>
  <c r="Q61" i="5"/>
  <c r="P61" i="5"/>
  <c r="O61" i="5"/>
  <c r="N61" i="5"/>
  <c r="M61" i="5"/>
  <c r="L61" i="5"/>
  <c r="K61" i="5"/>
  <c r="J61" i="5"/>
  <c r="I61" i="5"/>
  <c r="H61" i="5"/>
  <c r="AQ60" i="5"/>
  <c r="AP60" i="5"/>
  <c r="AO60" i="5"/>
  <c r="AN60" i="5"/>
  <c r="AM60" i="5"/>
  <c r="AL60" i="5"/>
  <c r="AK60"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AQ59" i="5"/>
  <c r="AP59" i="5"/>
  <c r="AO59" i="5"/>
  <c r="AN59" i="5"/>
  <c r="AM59" i="5"/>
  <c r="AL59" i="5"/>
  <c r="AK59" i="5"/>
  <c r="AJ59" i="5"/>
  <c r="AI59" i="5"/>
  <c r="AH59" i="5"/>
  <c r="AG59" i="5"/>
  <c r="AF59" i="5"/>
  <c r="AE59" i="5"/>
  <c r="AD59" i="5"/>
  <c r="AC59" i="5"/>
  <c r="AB59" i="5"/>
  <c r="AA59" i="5"/>
  <c r="Z59" i="5"/>
  <c r="Y59" i="5"/>
  <c r="X59" i="5"/>
  <c r="W59" i="5"/>
  <c r="V59" i="5"/>
  <c r="U59" i="5"/>
  <c r="T59" i="5"/>
  <c r="S59" i="5"/>
  <c r="R59" i="5"/>
  <c r="Q59" i="5"/>
  <c r="P59" i="5"/>
  <c r="O59" i="5"/>
  <c r="N59" i="5"/>
  <c r="M59" i="5"/>
  <c r="L59" i="5"/>
  <c r="K59" i="5"/>
  <c r="J59" i="5"/>
  <c r="I59" i="5"/>
  <c r="H59"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AQ56" i="5"/>
  <c r="AP56" i="5"/>
  <c r="AO56" i="5"/>
  <c r="AN56" i="5"/>
  <c r="AM56" i="5"/>
  <c r="AL56" i="5"/>
  <c r="AK56" i="5"/>
  <c r="AJ56" i="5"/>
  <c r="AI56" i="5"/>
  <c r="AH56" i="5"/>
  <c r="AG56" i="5"/>
  <c r="AE56" i="5"/>
  <c r="AD56" i="5"/>
  <c r="AC56" i="5"/>
  <c r="AB56" i="5"/>
  <c r="AA56" i="5"/>
  <c r="Z56" i="5"/>
  <c r="Y56" i="5"/>
  <c r="X56" i="5"/>
  <c r="W56" i="5"/>
  <c r="V56" i="5"/>
  <c r="U56" i="5"/>
  <c r="T56" i="5"/>
  <c r="S56" i="5"/>
  <c r="R56" i="5"/>
  <c r="Q56" i="5"/>
  <c r="P56" i="5"/>
  <c r="O56" i="5"/>
  <c r="N56" i="5"/>
  <c r="M56" i="5"/>
  <c r="L56" i="5"/>
  <c r="K56" i="5"/>
  <c r="J56" i="5"/>
  <c r="I56" i="5"/>
  <c r="H56" i="5"/>
  <c r="AQ55" i="5"/>
  <c r="AP55" i="5"/>
  <c r="AO55" i="5"/>
  <c r="AN55" i="5"/>
  <c r="AM55" i="5"/>
  <c r="AL55"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AQ54" i="5"/>
  <c r="AP54" i="5"/>
  <c r="AO54" i="5"/>
  <c r="AN54" i="5"/>
  <c r="AM54" i="5"/>
  <c r="AL54" i="5"/>
  <c r="AK54" i="5"/>
  <c r="AJ54" i="5"/>
  <c r="AI54" i="5"/>
  <c r="AH54" i="5"/>
  <c r="AG54" i="5"/>
  <c r="AF54" i="5"/>
  <c r="AE54" i="5"/>
  <c r="AD54" i="5"/>
  <c r="AC54" i="5"/>
  <c r="AB54" i="5"/>
  <c r="AA54" i="5"/>
  <c r="Z54" i="5"/>
  <c r="Y54" i="5"/>
  <c r="X54" i="5"/>
  <c r="W54" i="5"/>
  <c r="V54" i="5"/>
  <c r="U54" i="5"/>
  <c r="T54" i="5"/>
  <c r="S54" i="5"/>
  <c r="R54" i="5"/>
  <c r="Q54" i="5"/>
  <c r="P54" i="5"/>
  <c r="O54" i="5"/>
  <c r="N54" i="5"/>
  <c r="M54" i="5"/>
  <c r="L54" i="5"/>
  <c r="K54" i="5"/>
  <c r="J54" i="5"/>
  <c r="I54" i="5"/>
  <c r="H54" i="5"/>
  <c r="AQ49" i="5"/>
  <c r="AP49" i="5"/>
  <c r="AO49" i="5"/>
  <c r="AN49" i="5"/>
  <c r="AM49" i="5"/>
  <c r="AL49" i="5"/>
  <c r="AK49" i="5"/>
  <c r="AJ49" i="5"/>
  <c r="AI49" i="5"/>
  <c r="AH49" i="5"/>
  <c r="AG49" i="5"/>
  <c r="AF49" i="5"/>
  <c r="AQ48" i="5"/>
  <c r="AP48" i="5"/>
  <c r="AO48" i="5"/>
  <c r="AN48" i="5"/>
  <c r="AM48" i="5"/>
  <c r="AL48" i="5"/>
  <c r="AK48" i="5"/>
  <c r="AJ48" i="5"/>
  <c r="AI48" i="5"/>
  <c r="AH48" i="5"/>
  <c r="AG48" i="5"/>
  <c r="AF48" i="5"/>
  <c r="AQ47" i="5"/>
  <c r="AP47" i="5"/>
  <c r="AO47" i="5"/>
  <c r="AN47" i="5"/>
  <c r="AM47" i="5"/>
  <c r="AL47" i="5"/>
  <c r="AK47" i="5"/>
  <c r="AJ47" i="5"/>
  <c r="AI47" i="5"/>
  <c r="AH47" i="5"/>
  <c r="AG47" i="5"/>
  <c r="AF47" i="5"/>
  <c r="AQ46" i="5"/>
  <c r="AP46" i="5"/>
  <c r="AO46" i="5"/>
  <c r="AN46" i="5"/>
  <c r="AM46" i="5"/>
  <c r="AL46" i="5"/>
  <c r="AK46" i="5"/>
  <c r="AJ46" i="5"/>
  <c r="AI46" i="5"/>
  <c r="AH46" i="5"/>
  <c r="AG46" i="5"/>
  <c r="AF46" i="5"/>
  <c r="AQ45" i="5"/>
  <c r="AP45" i="5"/>
  <c r="AO45" i="5"/>
  <c r="AN45" i="5"/>
  <c r="AM45" i="5"/>
  <c r="AL45" i="5"/>
  <c r="AK45" i="5"/>
  <c r="AJ45" i="5"/>
  <c r="AI45" i="5"/>
  <c r="AH45" i="5"/>
  <c r="AG45" i="5"/>
  <c r="AF45" i="5"/>
  <c r="AQ44" i="5"/>
  <c r="AP44" i="5"/>
  <c r="AO44" i="5"/>
  <c r="AN44" i="5"/>
  <c r="AM44" i="5"/>
  <c r="AL44" i="5"/>
  <c r="AK44" i="5"/>
  <c r="AJ44" i="5"/>
  <c r="AI44" i="5"/>
  <c r="AH44" i="5"/>
  <c r="AG44" i="5"/>
  <c r="AF44" i="5"/>
  <c r="AQ42" i="5"/>
  <c r="AP42" i="5"/>
  <c r="AO42" i="5"/>
  <c r="AN42" i="5"/>
  <c r="AM42" i="5"/>
  <c r="AL42" i="5"/>
  <c r="AK42" i="5"/>
  <c r="AJ42" i="5"/>
  <c r="AI42" i="5"/>
  <c r="AH42" i="5"/>
  <c r="AG42" i="5"/>
  <c r="AF42" i="5"/>
  <c r="AQ39" i="5"/>
  <c r="AP39" i="5"/>
  <c r="AO39" i="5"/>
  <c r="AN39" i="5"/>
  <c r="AM39" i="5"/>
  <c r="AL39" i="5"/>
  <c r="AK39" i="5"/>
  <c r="AJ39" i="5"/>
  <c r="AI39" i="5"/>
  <c r="AH39" i="5"/>
  <c r="AG39" i="5"/>
  <c r="AF39" i="5"/>
  <c r="AQ38" i="5"/>
  <c r="AP38" i="5"/>
  <c r="AO38" i="5"/>
  <c r="AN38" i="5"/>
  <c r="AM38" i="5"/>
  <c r="AL38" i="5"/>
  <c r="AK38" i="5"/>
  <c r="AJ38" i="5"/>
  <c r="AI38" i="5"/>
  <c r="AH38" i="5"/>
  <c r="AG38" i="5"/>
  <c r="AF38"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P36" i="5"/>
  <c r="O36" i="5"/>
  <c r="N36" i="5"/>
  <c r="M36" i="5"/>
  <c r="L36" i="5"/>
  <c r="K36" i="5"/>
  <c r="AQ35" i="5"/>
  <c r="AP35" i="5"/>
  <c r="AO35" i="5"/>
  <c r="AN35"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M35" i="5"/>
  <c r="L35" i="5"/>
  <c r="K35" i="5"/>
  <c r="AQ34" i="5"/>
  <c r="AP34" i="5"/>
  <c r="AO34" i="5"/>
  <c r="AN34" i="5"/>
  <c r="AM34" i="5"/>
  <c r="AL34" i="5"/>
  <c r="AK34" i="5"/>
  <c r="AJ34" i="5"/>
  <c r="AI34" i="5"/>
  <c r="AH34" i="5"/>
  <c r="AG34" i="5"/>
  <c r="AF34" i="5"/>
  <c r="AQ33" i="5"/>
  <c r="AP33" i="5"/>
  <c r="AO33" i="5"/>
  <c r="AN33" i="5"/>
  <c r="AM33" i="5"/>
  <c r="AL33" i="5"/>
  <c r="AK33" i="5"/>
  <c r="AJ33" i="5"/>
  <c r="AI33" i="5"/>
  <c r="AH33" i="5"/>
  <c r="AG33" i="5"/>
  <c r="AF33" i="5"/>
  <c r="AQ32" i="5"/>
  <c r="AP32" i="5"/>
  <c r="AO32" i="5"/>
  <c r="AN32" i="5"/>
  <c r="AM32" i="5"/>
  <c r="AL32"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AQ31" i="5"/>
  <c r="AP31" i="5"/>
  <c r="AO31" i="5"/>
  <c r="AN31" i="5"/>
  <c r="AM31" i="5"/>
  <c r="AL31"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P30" i="5"/>
  <c r="N30" i="5"/>
  <c r="AQ26" i="5"/>
  <c r="AP26" i="5"/>
  <c r="AO26" i="5"/>
  <c r="AN26" i="5"/>
  <c r="AM26" i="5"/>
  <c r="AL26" i="5"/>
  <c r="AK26" i="5"/>
  <c r="AJ26" i="5"/>
  <c r="AI26" i="5"/>
  <c r="AH26"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AQ25" i="5"/>
  <c r="AP25" i="5"/>
  <c r="AO25" i="5"/>
  <c r="AN25" i="5"/>
  <c r="AM25" i="5"/>
  <c r="AL25" i="5"/>
  <c r="AK25" i="5"/>
  <c r="AK24" i="5" s="1"/>
  <c r="AJ25" i="5"/>
  <c r="AJ24" i="5" s="1"/>
  <c r="AI25" i="5"/>
  <c r="AI24" i="5" s="1"/>
  <c r="AH25" i="5"/>
  <c r="AG25" i="5"/>
  <c r="AG24" i="5" s="1"/>
  <c r="AF25" i="5"/>
  <c r="AF24" i="5" s="1"/>
  <c r="AE25" i="5"/>
  <c r="AE24" i="5" s="1"/>
  <c r="AD25" i="5"/>
  <c r="AC25" i="5"/>
  <c r="AB25" i="5"/>
  <c r="AB24" i="5" s="1"/>
  <c r="AA25" i="5"/>
  <c r="AA24" i="5" s="1"/>
  <c r="Z25" i="5"/>
  <c r="Z24" i="5" s="1"/>
  <c r="Y25" i="5"/>
  <c r="Y24" i="5" s="1"/>
  <c r="X25" i="5"/>
  <c r="X24" i="5" s="1"/>
  <c r="W25" i="5"/>
  <c r="W24" i="5" s="1"/>
  <c r="V25" i="5"/>
  <c r="V24" i="5" s="1"/>
  <c r="U25" i="5"/>
  <c r="U24" i="5" s="1"/>
  <c r="T25" i="5"/>
  <c r="T24" i="5" s="1"/>
  <c r="S25" i="5"/>
  <c r="S24" i="5" s="1"/>
  <c r="R25" i="5"/>
  <c r="R24" i="5" s="1"/>
  <c r="Q25" i="5"/>
  <c r="Q24" i="5" s="1"/>
  <c r="P25" i="5"/>
  <c r="P24" i="5" s="1"/>
  <c r="O25" i="5"/>
  <c r="O24" i="5" s="1"/>
  <c r="N25" i="5"/>
  <c r="N24" i="5" s="1"/>
  <c r="M25" i="5"/>
  <c r="M24" i="5" s="1"/>
  <c r="L25" i="5"/>
  <c r="L24" i="5" s="1"/>
  <c r="K25" i="5"/>
  <c r="K24" i="5" s="1"/>
  <c r="J25" i="5"/>
  <c r="J24" i="5" s="1"/>
  <c r="I25" i="5"/>
  <c r="I24" i="5" s="1"/>
  <c r="H25" i="5"/>
  <c r="H24" i="5" s="1"/>
  <c r="G25" i="5"/>
  <c r="F25" i="5"/>
  <c r="E25" i="5"/>
  <c r="D25" i="5"/>
  <c r="AQ24" i="5"/>
  <c r="AP24" i="5"/>
  <c r="AO24" i="5"/>
  <c r="AN24" i="5"/>
  <c r="AM24" i="5"/>
  <c r="AL24" i="5"/>
  <c r="AH24" i="5"/>
  <c r="AD24" i="5"/>
  <c r="AC24" i="5"/>
  <c r="G24" i="5"/>
  <c r="F24" i="5"/>
  <c r="E24" i="5"/>
  <c r="D24" i="5"/>
  <c r="AQ23" i="5"/>
  <c r="AP23" i="5"/>
  <c r="AO23" i="5"/>
  <c r="AN23" i="5"/>
  <c r="AM23" i="5"/>
  <c r="AL23" i="5"/>
  <c r="AK23" i="5"/>
  <c r="AJ23" i="5"/>
  <c r="AI23" i="5"/>
  <c r="AH23"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AQ22" i="5"/>
  <c r="AP22" i="5"/>
  <c r="AO22" i="5"/>
  <c r="AN22" i="5"/>
  <c r="AM22" i="5"/>
  <c r="AL22" i="5"/>
  <c r="AK22" i="5"/>
  <c r="AJ22" i="5"/>
  <c r="AI22" i="5"/>
  <c r="AI21" i="5" s="1"/>
  <c r="AH22" i="5"/>
  <c r="AH21" i="5" s="1"/>
  <c r="AG22" i="5"/>
  <c r="AG21" i="5" s="1"/>
  <c r="AF22" i="5"/>
  <c r="AF21" i="5" s="1"/>
  <c r="AE22" i="5"/>
  <c r="AE21" i="5" s="1"/>
  <c r="AD22" i="5"/>
  <c r="AD21" i="5" s="1"/>
  <c r="AC22" i="5"/>
  <c r="AC21" i="5" s="1"/>
  <c r="AB22" i="5"/>
  <c r="AB21" i="5" s="1"/>
  <c r="AA22" i="5"/>
  <c r="AA21" i="5" s="1"/>
  <c r="Z22" i="5"/>
  <c r="Z21" i="5" s="1"/>
  <c r="Y22" i="5"/>
  <c r="Y21" i="5" s="1"/>
  <c r="X22" i="5"/>
  <c r="X21" i="5" s="1"/>
  <c r="W22" i="5"/>
  <c r="W21" i="5" s="1"/>
  <c r="V22" i="5"/>
  <c r="V21" i="5" s="1"/>
  <c r="U22" i="5"/>
  <c r="U21" i="5" s="1"/>
  <c r="T22" i="5"/>
  <c r="T21" i="5" s="1"/>
  <c r="S22" i="5"/>
  <c r="S21" i="5" s="1"/>
  <c r="R22" i="5"/>
  <c r="R21" i="5" s="1"/>
  <c r="Q22" i="5"/>
  <c r="Q21" i="5" s="1"/>
  <c r="P22" i="5"/>
  <c r="P21" i="5" s="1"/>
  <c r="O22" i="5"/>
  <c r="O21" i="5" s="1"/>
  <c r="N22" i="5"/>
  <c r="N21" i="5" s="1"/>
  <c r="M22" i="5"/>
  <c r="M21" i="5" s="1"/>
  <c r="L22" i="5"/>
  <c r="L21" i="5" s="1"/>
  <c r="K22" i="5"/>
  <c r="K21" i="5" s="1"/>
  <c r="J22" i="5"/>
  <c r="J21" i="5" s="1"/>
  <c r="I22" i="5"/>
  <c r="I21" i="5" s="1"/>
  <c r="H22" i="5"/>
  <c r="H21" i="5" s="1"/>
  <c r="G22" i="5"/>
  <c r="F22" i="5"/>
  <c r="E22" i="5"/>
  <c r="D22" i="5"/>
  <c r="AQ21" i="5"/>
  <c r="AP21" i="5"/>
  <c r="AO21" i="5"/>
  <c r="AN21" i="5"/>
  <c r="AM21" i="5"/>
  <c r="AL21" i="5"/>
  <c r="AK21" i="5"/>
  <c r="AJ21" i="5"/>
  <c r="G21" i="5"/>
  <c r="F21" i="5"/>
  <c r="E21" i="5"/>
  <c r="D21" i="5"/>
  <c r="AQ20" i="5"/>
  <c r="AP20" i="5"/>
  <c r="AO20" i="5"/>
  <c r="AN20" i="5"/>
  <c r="AM20" i="5"/>
  <c r="AL20" i="5"/>
  <c r="AK20" i="5"/>
  <c r="AJ20" i="5"/>
  <c r="AI20" i="5"/>
  <c r="AH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AQ19" i="5"/>
  <c r="AP19" i="5"/>
  <c r="AO19" i="5"/>
  <c r="AN19" i="5"/>
  <c r="AM19" i="5"/>
  <c r="AL19" i="5"/>
  <c r="AK19" i="5"/>
  <c r="AJ19" i="5"/>
  <c r="AI19" i="5"/>
  <c r="AH19"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D19" i="5"/>
  <c r="AQ18" i="5"/>
  <c r="AP18" i="5"/>
  <c r="AO18" i="5"/>
  <c r="AN18" i="5"/>
  <c r="AM18" i="5"/>
  <c r="AL18" i="5"/>
  <c r="AK18" i="5"/>
  <c r="AJ18" i="5"/>
  <c r="AI18" i="5"/>
  <c r="AH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AQ17" i="5"/>
  <c r="AP17" i="5"/>
  <c r="AO17" i="5"/>
  <c r="AN17" i="5"/>
  <c r="AM17" i="5"/>
  <c r="AL17" i="5"/>
  <c r="AK17" i="5"/>
  <c r="AJ17" i="5"/>
  <c r="AI17" i="5"/>
  <c r="AH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c r="AQ16" i="5"/>
  <c r="AP16" i="5"/>
  <c r="AO16" i="5"/>
  <c r="AN16" i="5"/>
  <c r="AM16" i="5"/>
  <c r="AL16" i="5"/>
  <c r="AK16" i="5"/>
  <c r="AJ16" i="5"/>
  <c r="AI16" i="5"/>
  <c r="AH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AQ15" i="5"/>
  <c r="AP15" i="5"/>
  <c r="AO15" i="5"/>
  <c r="AN15" i="5"/>
  <c r="AM15" i="5"/>
  <c r="AL15" i="5"/>
  <c r="AK15" i="5"/>
  <c r="AJ15" i="5"/>
  <c r="AI15" i="5"/>
  <c r="AH15" i="5"/>
  <c r="AE15" i="5"/>
  <c r="AD15" i="5"/>
  <c r="AC15" i="5"/>
  <c r="AB15" i="5"/>
  <c r="AA15" i="5"/>
  <c r="Z15" i="5"/>
  <c r="Y15" i="5"/>
  <c r="X15" i="5"/>
  <c r="W15" i="5"/>
  <c r="V15" i="5"/>
  <c r="U15" i="5"/>
  <c r="T15" i="5"/>
  <c r="S15" i="5"/>
  <c r="R15" i="5"/>
  <c r="Q15" i="5"/>
  <c r="P15" i="5"/>
  <c r="O15" i="5"/>
  <c r="N15" i="5"/>
  <c r="M15" i="5"/>
  <c r="L15" i="5"/>
  <c r="K15" i="5"/>
  <c r="J15" i="5"/>
  <c r="I15" i="5"/>
  <c r="H15" i="5"/>
  <c r="G15" i="5"/>
  <c r="F15" i="5"/>
  <c r="E15" i="5"/>
  <c r="D15" i="5"/>
  <c r="AQ14" i="5"/>
  <c r="AP14" i="5"/>
  <c r="AO14" i="5"/>
  <c r="AN14" i="5"/>
  <c r="AM14" i="5"/>
  <c r="AL14" i="5"/>
  <c r="AK14" i="5"/>
  <c r="AJ14" i="5"/>
  <c r="AI14" i="5"/>
  <c r="AH14" i="5"/>
  <c r="AE14" i="5"/>
  <c r="AD14" i="5"/>
  <c r="AC14" i="5"/>
  <c r="AB14" i="5"/>
  <c r="AA14" i="5"/>
  <c r="Z14" i="5"/>
  <c r="Y14" i="5"/>
  <c r="X14" i="5"/>
  <c r="W14" i="5"/>
  <c r="V14" i="5"/>
  <c r="U14" i="5"/>
  <c r="T14" i="5"/>
  <c r="S14" i="5"/>
  <c r="R14" i="5"/>
  <c r="Q14" i="5"/>
  <c r="P14" i="5"/>
  <c r="O14" i="5"/>
  <c r="N14" i="5"/>
  <c r="M14" i="5"/>
  <c r="L14" i="5"/>
  <c r="K14" i="5"/>
  <c r="J14" i="5"/>
  <c r="I14" i="5"/>
  <c r="H14" i="5"/>
  <c r="G14" i="5"/>
  <c r="F14" i="5"/>
  <c r="E14" i="5"/>
  <c r="D14" i="5"/>
  <c r="AQ13" i="5"/>
  <c r="AP13" i="5"/>
  <c r="AO13" i="5"/>
  <c r="AN13" i="5"/>
  <c r="AM13" i="5"/>
  <c r="AL13" i="5"/>
  <c r="AK13" i="5"/>
  <c r="AJ13" i="5"/>
  <c r="AI13" i="5"/>
  <c r="AH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AQ12" i="5"/>
  <c r="AP12" i="5"/>
  <c r="AO12" i="5"/>
  <c r="AN12" i="5"/>
  <c r="AM12" i="5"/>
  <c r="AL12" i="5"/>
  <c r="AK12" i="5"/>
  <c r="AJ12" i="5"/>
  <c r="AI12" i="5"/>
  <c r="AH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AQ11" i="5"/>
  <c r="AP11" i="5"/>
  <c r="AO11" i="5"/>
  <c r="AN11" i="5"/>
  <c r="AM11" i="5"/>
  <c r="AL11" i="5"/>
  <c r="AK11" i="5"/>
  <c r="AJ11" i="5"/>
  <c r="AI11" i="5"/>
  <c r="AH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D11" i="5"/>
  <c r="AQ10" i="5"/>
  <c r="AP10" i="5"/>
  <c r="AO10" i="5"/>
  <c r="AN10" i="5"/>
  <c r="AM10" i="5"/>
  <c r="AL10" i="5"/>
  <c r="AK10" i="5"/>
  <c r="AJ10" i="5"/>
  <c r="AI10" i="5"/>
  <c r="AH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AG9" i="5"/>
  <c r="AF9" i="5"/>
  <c r="G9" i="5"/>
  <c r="F9" i="5"/>
  <c r="E9" i="5"/>
  <c r="D9" i="5"/>
  <c r="BB290" i="4"/>
  <c r="AZ290" i="4"/>
  <c r="AY290" i="4"/>
  <c r="AX290" i="4"/>
  <c r="AW290" i="4"/>
  <c r="AV290" i="4"/>
  <c r="AU290" i="4"/>
  <c r="AT290" i="4"/>
  <c r="AM290" i="4"/>
  <c r="AM290" i="5" s="1"/>
  <c r="BB289" i="4"/>
  <c r="BA289" i="4"/>
  <c r="AZ289" i="4"/>
  <c r="AY289" i="4"/>
  <c r="AX289" i="4"/>
  <c r="AW289" i="4"/>
  <c r="AV289" i="4"/>
  <c r="AU289" i="4"/>
  <c r="AT289" i="4"/>
  <c r="BB288" i="4"/>
  <c r="BA288" i="4"/>
  <c r="AZ288" i="4"/>
  <c r="AY288" i="4"/>
  <c r="AX288" i="4"/>
  <c r="AW288" i="4"/>
  <c r="AV288" i="4"/>
  <c r="AU288" i="4"/>
  <c r="AT288" i="4"/>
  <c r="BB287" i="4"/>
  <c r="BA287" i="4"/>
  <c r="AZ287" i="4"/>
  <c r="AY287" i="4"/>
  <c r="AX287" i="4"/>
  <c r="AW287" i="4"/>
  <c r="AV287" i="4"/>
  <c r="AU287" i="4"/>
  <c r="AT287" i="4"/>
  <c r="BB286" i="4"/>
  <c r="BA286" i="4"/>
  <c r="AZ286" i="4"/>
  <c r="AY286" i="4"/>
  <c r="AX286" i="4"/>
  <c r="AW286" i="4"/>
  <c r="AV286" i="4"/>
  <c r="AU286" i="4"/>
  <c r="AT286" i="4"/>
  <c r="AM285" i="4"/>
  <c r="AL285" i="4"/>
  <c r="AK285" i="4"/>
  <c r="AJ285" i="4"/>
  <c r="AI285" i="4"/>
  <c r="AH285" i="4"/>
  <c r="AG285" i="4"/>
  <c r="AF285" i="4"/>
  <c r="AE285" i="4"/>
  <c r="AD285" i="4"/>
  <c r="AC285" i="4"/>
  <c r="AB285" i="4"/>
  <c r="AA285" i="4"/>
  <c r="Z285" i="4"/>
  <c r="Y285" i="4"/>
  <c r="X285" i="4"/>
  <c r="W285" i="4"/>
  <c r="V285" i="4"/>
  <c r="U285" i="4"/>
  <c r="T285" i="4"/>
  <c r="S285" i="4"/>
  <c r="R285" i="4"/>
  <c r="Q285" i="4"/>
  <c r="P285" i="4"/>
  <c r="O285" i="4"/>
  <c r="N285" i="4"/>
  <c r="M285" i="4"/>
  <c r="L285" i="4"/>
  <c r="K285" i="4"/>
  <c r="AQ283" i="4"/>
  <c r="AP283" i="4"/>
  <c r="AO283" i="4"/>
  <c r="AN283" i="4"/>
  <c r="AM283" i="4"/>
  <c r="AL283" i="4"/>
  <c r="AK283" i="4"/>
  <c r="AJ283" i="4"/>
  <c r="AI283" i="4"/>
  <c r="AH283" i="4"/>
  <c r="AG283" i="4"/>
  <c r="AF283" i="4"/>
  <c r="AE283" i="4"/>
  <c r="AE284" i="4" s="1"/>
  <c r="AD283" i="4"/>
  <c r="AC283" i="4"/>
  <c r="AB283" i="4"/>
  <c r="AA283" i="4"/>
  <c r="Z283" i="4"/>
  <c r="Y283" i="4"/>
  <c r="X283" i="4"/>
  <c r="W283" i="4"/>
  <c r="V283" i="4"/>
  <c r="U283" i="4"/>
  <c r="T283" i="4"/>
  <c r="S283" i="4"/>
  <c r="R283" i="4"/>
  <c r="Q283" i="4"/>
  <c r="P283" i="4"/>
  <c r="M283" i="4"/>
  <c r="BB282" i="4"/>
  <c r="BA282" i="4"/>
  <c r="AZ282" i="4"/>
  <c r="AY282" i="4"/>
  <c r="AX282" i="4"/>
  <c r="AW282" i="4"/>
  <c r="AV282" i="4"/>
  <c r="AU282" i="4"/>
  <c r="AT282" i="4"/>
  <c r="BB281" i="4"/>
  <c r="BA281" i="4"/>
  <c r="AZ281" i="4"/>
  <c r="AY281" i="4"/>
  <c r="AX281" i="4"/>
  <c r="AW281" i="4"/>
  <c r="AV281" i="4"/>
  <c r="AU281" i="4"/>
  <c r="AT281" i="4"/>
  <c r="BB280" i="4"/>
  <c r="BA280" i="4"/>
  <c r="AZ280" i="4"/>
  <c r="AY280" i="4"/>
  <c r="AX280" i="4"/>
  <c r="AW280" i="4"/>
  <c r="AW283" i="4" s="1"/>
  <c r="AV280" i="4"/>
  <c r="O280" i="4"/>
  <c r="O280" i="5" s="1"/>
  <c r="N280" i="4"/>
  <c r="N280" i="5" s="1"/>
  <c r="L280" i="4"/>
  <c r="K280" i="4"/>
  <c r="K280" i="5" s="1"/>
  <c r="A277" i="4"/>
  <c r="AZ276" i="4"/>
  <c r="AP275" i="4"/>
  <c r="AQ274" i="4" s="1"/>
  <c r="AQ274" i="5" s="1"/>
  <c r="AO275" i="4"/>
  <c r="AP274" i="4" s="1"/>
  <c r="AP274" i="5" s="1"/>
  <c r="AN275" i="4"/>
  <c r="AO274" i="4" s="1"/>
  <c r="AO274" i="5" s="1"/>
  <c r="AM275" i="4"/>
  <c r="AN274" i="4" s="1"/>
  <c r="AN274" i="5" s="1"/>
  <c r="AL275" i="4"/>
  <c r="AM274" i="4" s="1"/>
  <c r="AM274" i="5" s="1"/>
  <c r="AK275" i="4"/>
  <c r="AJ275" i="4"/>
  <c r="AI275" i="4"/>
  <c r="AH275" i="4"/>
  <c r="AG275" i="4"/>
  <c r="AF275" i="4"/>
  <c r="AE275" i="4"/>
  <c r="AD275" i="4"/>
  <c r="AC275" i="4"/>
  <c r="AB275" i="4"/>
  <c r="AA275" i="4"/>
  <c r="Z275" i="4"/>
  <c r="Y275" i="4"/>
  <c r="X275" i="4"/>
  <c r="W275" i="4"/>
  <c r="V275" i="4"/>
  <c r="U275" i="4"/>
  <c r="T275" i="4"/>
  <c r="S275" i="4"/>
  <c r="R275" i="4"/>
  <c r="Q275" i="4"/>
  <c r="P275" i="4"/>
  <c r="O275" i="4"/>
  <c r="N275" i="4"/>
  <c r="M275" i="4"/>
  <c r="L275" i="4"/>
  <c r="K275" i="4"/>
  <c r="J275" i="4"/>
  <c r="K274" i="4" s="1"/>
  <c r="K274" i="5" s="1"/>
  <c r="AT274" i="4"/>
  <c r="AL274" i="4"/>
  <c r="AL274" i="5" s="1"/>
  <c r="AK274" i="4"/>
  <c r="AK274" i="5" s="1"/>
  <c r="AJ274" i="4"/>
  <c r="AJ274" i="5" s="1"/>
  <c r="AI274" i="4"/>
  <c r="AI274" i="5" s="1"/>
  <c r="AH274" i="4"/>
  <c r="AH274" i="5" s="1"/>
  <c r="AG274" i="4"/>
  <c r="AG274" i="5" s="1"/>
  <c r="AF274" i="4"/>
  <c r="AF274" i="5" s="1"/>
  <c r="AE274" i="4"/>
  <c r="AE274" i="5" s="1"/>
  <c r="AD274" i="4"/>
  <c r="AD274" i="5" s="1"/>
  <c r="AC274" i="4"/>
  <c r="AC274" i="5" s="1"/>
  <c r="AB274" i="4"/>
  <c r="AB274" i="5" s="1"/>
  <c r="AA274" i="4"/>
  <c r="AA274" i="5" s="1"/>
  <c r="Z274" i="4"/>
  <c r="Z274" i="5" s="1"/>
  <c r="Y274" i="4"/>
  <c r="Y274" i="5" s="1"/>
  <c r="X274" i="4"/>
  <c r="X274" i="5" s="1"/>
  <c r="W274" i="4"/>
  <c r="W274" i="5" s="1"/>
  <c r="V274" i="4"/>
  <c r="V274" i="5" s="1"/>
  <c r="U274" i="4"/>
  <c r="U274" i="5" s="1"/>
  <c r="T274" i="4"/>
  <c r="T274" i="5" s="1"/>
  <c r="S274" i="4"/>
  <c r="S274" i="5" s="1"/>
  <c r="R274" i="4"/>
  <c r="R274" i="5" s="1"/>
  <c r="Q274" i="4"/>
  <c r="Q274" i="5" s="1"/>
  <c r="P274" i="4"/>
  <c r="P274" i="5" s="1"/>
  <c r="O274" i="4"/>
  <c r="O274" i="5" s="1"/>
  <c r="N274" i="4"/>
  <c r="N274" i="5" s="1"/>
  <c r="M274" i="4"/>
  <c r="M274" i="5" s="1"/>
  <c r="L274" i="4"/>
  <c r="L274" i="5" s="1"/>
  <c r="AQ272" i="4"/>
  <c r="AP272" i="4"/>
  <c r="AO272" i="4"/>
  <c r="AN272" i="4"/>
  <c r="AJ272" i="4"/>
  <c r="AJ276" i="4" s="1"/>
  <c r="AI272" i="4"/>
  <c r="AH272" i="4"/>
  <c r="AG272" i="4"/>
  <c r="AF272" i="4"/>
  <c r="AE272" i="4"/>
  <c r="AD272" i="4"/>
  <c r="AC272" i="4"/>
  <c r="AB272" i="4"/>
  <c r="AA272" i="4"/>
  <c r="Z272" i="4"/>
  <c r="Y272" i="4"/>
  <c r="X272" i="4"/>
  <c r="W272" i="4"/>
  <c r="V272" i="4"/>
  <c r="U272" i="4"/>
  <c r="T272" i="4"/>
  <c r="S272" i="4"/>
  <c r="R272" i="4"/>
  <c r="Q272" i="4"/>
  <c r="P272" i="4"/>
  <c r="O272" i="4"/>
  <c r="N272" i="4"/>
  <c r="M272" i="4"/>
  <c r="L272" i="4"/>
  <c r="K272" i="4"/>
  <c r="J272" i="4"/>
  <c r="I272" i="4"/>
  <c r="H272" i="4"/>
  <c r="BB269" i="4"/>
  <c r="BA269" i="4"/>
  <c r="AZ269" i="4"/>
  <c r="AY269" i="4"/>
  <c r="AX269" i="4"/>
  <c r="AW269" i="4"/>
  <c r="AV269" i="4"/>
  <c r="AU269" i="4"/>
  <c r="AT269" i="4"/>
  <c r="BB268" i="4"/>
  <c r="AL268" i="4"/>
  <c r="BB267" i="4"/>
  <c r="BA267" i="4"/>
  <c r="AZ267" i="4"/>
  <c r="AY267" i="4"/>
  <c r="AX267" i="4"/>
  <c r="AW267" i="4"/>
  <c r="AV267" i="4"/>
  <c r="AU267" i="4"/>
  <c r="AT267" i="4"/>
  <c r="BB266" i="4"/>
  <c r="BA266" i="4"/>
  <c r="AZ266" i="4"/>
  <c r="AY266" i="4"/>
  <c r="AX266" i="4"/>
  <c r="AW266" i="4"/>
  <c r="AV266" i="4"/>
  <c r="AU266" i="4"/>
  <c r="AT266" i="4"/>
  <c r="BB265" i="4"/>
  <c r="AZ265" i="4"/>
  <c r="AY265" i="4"/>
  <c r="AX265" i="4"/>
  <c r="AL265" i="4"/>
  <c r="AL265" i="5" s="1"/>
  <c r="BB264" i="4"/>
  <c r="BA264" i="4"/>
  <c r="AZ264" i="4"/>
  <c r="AY264" i="4"/>
  <c r="AX264" i="4"/>
  <c r="AW264" i="4"/>
  <c r="AV264" i="4"/>
  <c r="AU264" i="4"/>
  <c r="AT264" i="4"/>
  <c r="BB263" i="4"/>
  <c r="AZ263" i="4"/>
  <c r="AY263" i="4"/>
  <c r="AX263" i="4"/>
  <c r="AW263" i="4"/>
  <c r="AV263" i="4"/>
  <c r="AU263" i="4"/>
  <c r="AT263" i="4"/>
  <c r="AL263" i="4"/>
  <c r="AL263" i="5" s="1"/>
  <c r="BB262" i="4"/>
  <c r="BA262" i="4"/>
  <c r="AZ262" i="4"/>
  <c r="AY262" i="4"/>
  <c r="AX262" i="4"/>
  <c r="AW262" i="4"/>
  <c r="AV262" i="4"/>
  <c r="AU262" i="4"/>
  <c r="AT262" i="4"/>
  <c r="BB261" i="4"/>
  <c r="AZ261" i="4"/>
  <c r="AY261" i="4"/>
  <c r="AX261" i="4"/>
  <c r="AL261" i="4"/>
  <c r="AL261" i="5" s="1"/>
  <c r="BB260" i="4"/>
  <c r="AZ260" i="4"/>
  <c r="AY260" i="4"/>
  <c r="AX260" i="4"/>
  <c r="AL260" i="4"/>
  <c r="BB259" i="4"/>
  <c r="AZ259" i="4"/>
  <c r="AY259" i="4"/>
  <c r="AX259" i="4"/>
  <c r="AW259" i="4"/>
  <c r="AV259" i="4"/>
  <c r="AU259" i="4"/>
  <c r="AT259" i="4"/>
  <c r="AL259" i="4"/>
  <c r="AL259" i="5" s="1"/>
  <c r="BB258" i="4"/>
  <c r="AZ258" i="4"/>
  <c r="AY258" i="4"/>
  <c r="AX258" i="4"/>
  <c r="AW258" i="4"/>
  <c r="AV258" i="4"/>
  <c r="AU258" i="4"/>
  <c r="AT258" i="4"/>
  <c r="AL258" i="4"/>
  <c r="AL258" i="5" s="1"/>
  <c r="BB257" i="4"/>
  <c r="BA257" i="4"/>
  <c r="AZ257" i="4"/>
  <c r="AY257" i="4"/>
  <c r="AX257" i="4"/>
  <c r="AW257" i="4"/>
  <c r="AV257" i="4"/>
  <c r="AU257" i="4"/>
  <c r="AT257" i="4"/>
  <c r="BB256" i="4"/>
  <c r="AZ256" i="4"/>
  <c r="AY256" i="4"/>
  <c r="AX256" i="4"/>
  <c r="AW256" i="4"/>
  <c r="AV256" i="4"/>
  <c r="AU256" i="4"/>
  <c r="AT256" i="4"/>
  <c r="AL256" i="4"/>
  <c r="BB255" i="4"/>
  <c r="AZ255" i="4"/>
  <c r="AY255" i="4"/>
  <c r="AX255" i="4"/>
  <c r="AW255" i="4"/>
  <c r="AV255" i="4"/>
  <c r="AU255" i="4"/>
  <c r="AT255" i="4"/>
  <c r="AL255" i="4"/>
  <c r="AL255" i="5" s="1"/>
  <c r="BB254" i="4"/>
  <c r="AZ254" i="4"/>
  <c r="AY254" i="4"/>
  <c r="AX254" i="4"/>
  <c r="AW254" i="4"/>
  <c r="AV254" i="4"/>
  <c r="AU254" i="4"/>
  <c r="AT254" i="4"/>
  <c r="AL254" i="4"/>
  <c r="BB253" i="4"/>
  <c r="BA253" i="4"/>
  <c r="AZ253" i="4"/>
  <c r="AY253" i="4"/>
  <c r="AX253" i="4"/>
  <c r="AW253" i="4"/>
  <c r="AV253" i="4"/>
  <c r="AU253" i="4"/>
  <c r="AT253" i="4"/>
  <c r="AQ252" i="4"/>
  <c r="AP252" i="4"/>
  <c r="AP270" i="4" s="1"/>
  <c r="AO252" i="4"/>
  <c r="AO270" i="4" s="1"/>
  <c r="AN252" i="4"/>
  <c r="AN270" i="4" s="1"/>
  <c r="AK252" i="4"/>
  <c r="AK270" i="4" s="1"/>
  <c r="AJ252" i="4"/>
  <c r="AJ270" i="4" s="1"/>
  <c r="AI252" i="4"/>
  <c r="AI270" i="4" s="1"/>
  <c r="AH252" i="4"/>
  <c r="AH270" i="4" s="1"/>
  <c r="AG252" i="4"/>
  <c r="AG270" i="4" s="1"/>
  <c r="AF252" i="4"/>
  <c r="AF270" i="4" s="1"/>
  <c r="AE252" i="4"/>
  <c r="AE270" i="4" s="1"/>
  <c r="AD252" i="4"/>
  <c r="AD270" i="4" s="1"/>
  <c r="AC252" i="4"/>
  <c r="AC270" i="4" s="1"/>
  <c r="AB252" i="4"/>
  <c r="AB270" i="4" s="1"/>
  <c r="AA252" i="4"/>
  <c r="AA270" i="4" s="1"/>
  <c r="Z252" i="4"/>
  <c r="Z270" i="4" s="1"/>
  <c r="Y252" i="4"/>
  <c r="Y270" i="4" s="1"/>
  <c r="X252" i="4"/>
  <c r="X270" i="4" s="1"/>
  <c r="W252" i="4"/>
  <c r="W270" i="4" s="1"/>
  <c r="V252" i="4"/>
  <c r="V270" i="4" s="1"/>
  <c r="U252" i="4"/>
  <c r="U270" i="4" s="1"/>
  <c r="T252" i="4"/>
  <c r="T270" i="4" s="1"/>
  <c r="S252" i="4"/>
  <c r="S270" i="4" s="1"/>
  <c r="R252" i="4"/>
  <c r="R270" i="4" s="1"/>
  <c r="Q252" i="4"/>
  <c r="Q270" i="4" s="1"/>
  <c r="P252" i="4"/>
  <c r="P270" i="4" s="1"/>
  <c r="O252" i="4"/>
  <c r="O270" i="4" s="1"/>
  <c r="N252" i="4"/>
  <c r="N270" i="4" s="1"/>
  <c r="M252" i="4"/>
  <c r="M270" i="4" s="1"/>
  <c r="L252" i="4"/>
  <c r="L270" i="4" s="1"/>
  <c r="K252" i="4"/>
  <c r="K270" i="4" s="1"/>
  <c r="J252" i="4"/>
  <c r="J270" i="4" s="1"/>
  <c r="I252" i="4"/>
  <c r="I270" i="4" s="1"/>
  <c r="H252" i="4"/>
  <c r="H270" i="4" s="1"/>
  <c r="BB250" i="4"/>
  <c r="AZ250" i="4"/>
  <c r="AY250" i="4"/>
  <c r="AX250" i="4"/>
  <c r="AW250" i="4"/>
  <c r="AV250" i="4"/>
  <c r="AU250" i="4"/>
  <c r="AT250" i="4"/>
  <c r="AK250" i="4"/>
  <c r="BB249" i="4"/>
  <c r="AZ249" i="4"/>
  <c r="AY249" i="4"/>
  <c r="AX249" i="4"/>
  <c r="AW249" i="4"/>
  <c r="AV249" i="4"/>
  <c r="AU249" i="4"/>
  <c r="AT249" i="4"/>
  <c r="AL249" i="4"/>
  <c r="BB248" i="4"/>
  <c r="BA248" i="4"/>
  <c r="AZ248" i="4"/>
  <c r="AY248" i="4"/>
  <c r="AX248" i="4"/>
  <c r="AW248" i="4"/>
  <c r="AV248" i="4"/>
  <c r="AU248" i="4"/>
  <c r="AT248" i="4"/>
  <c r="BB247" i="4"/>
  <c r="BA247" i="4"/>
  <c r="AZ247" i="4"/>
  <c r="AY247" i="4"/>
  <c r="AX247" i="4"/>
  <c r="AW247" i="4"/>
  <c r="AV247" i="4"/>
  <c r="AU247" i="4"/>
  <c r="AT247" i="4"/>
  <c r="BB246" i="4"/>
  <c r="BA246" i="4"/>
  <c r="AZ246" i="4"/>
  <c r="AY246" i="4"/>
  <c r="AX246" i="4"/>
  <c r="AW246" i="4"/>
  <c r="AV246" i="4"/>
  <c r="AU246" i="4"/>
  <c r="AT246" i="4"/>
  <c r="BB245" i="4"/>
  <c r="BA245" i="4"/>
  <c r="AZ245" i="4"/>
  <c r="AY245" i="4"/>
  <c r="AX245" i="4"/>
  <c r="AW245" i="4"/>
  <c r="AV245" i="4"/>
  <c r="AU245" i="4"/>
  <c r="AT245" i="4"/>
  <c r="BB244" i="4"/>
  <c r="BA244" i="4"/>
  <c r="AZ244" i="4"/>
  <c r="AY244" i="4"/>
  <c r="AX244" i="4"/>
  <c r="AW244" i="4"/>
  <c r="AV244" i="4"/>
  <c r="AU244" i="4"/>
  <c r="AT244" i="4"/>
  <c r="BB243" i="4"/>
  <c r="BA243" i="4"/>
  <c r="AZ243" i="4"/>
  <c r="AY243" i="4"/>
  <c r="AX243" i="4"/>
  <c r="AW243" i="4"/>
  <c r="AV243" i="4"/>
  <c r="AU243" i="4"/>
  <c r="AT243" i="4"/>
  <c r="BB242" i="4"/>
  <c r="AZ242" i="4"/>
  <c r="AY242" i="4"/>
  <c r="AX242" i="4"/>
  <c r="AW242" i="4"/>
  <c r="AV242" i="4"/>
  <c r="AU242" i="4"/>
  <c r="AT242" i="4"/>
  <c r="AL242" i="4"/>
  <c r="BB241" i="4"/>
  <c r="AZ241" i="4"/>
  <c r="AY241" i="4"/>
  <c r="AX241" i="4"/>
  <c r="AW241" i="4"/>
  <c r="AV241" i="4"/>
  <c r="AU241" i="4"/>
  <c r="AT241" i="4"/>
  <c r="AL241" i="4"/>
  <c r="AL241" i="5" s="1"/>
  <c r="BB240" i="4"/>
  <c r="AZ240" i="4"/>
  <c r="AY240" i="4"/>
  <c r="AX240" i="4"/>
  <c r="AW240" i="4"/>
  <c r="AV240" i="4"/>
  <c r="AU240" i="4"/>
  <c r="AT240" i="4"/>
  <c r="AL240" i="4"/>
  <c r="AQ239" i="4"/>
  <c r="AQ251" i="4" s="1"/>
  <c r="AP239" i="4"/>
  <c r="AP251" i="4" s="1"/>
  <c r="AO239" i="4"/>
  <c r="AO251" i="4" s="1"/>
  <c r="AN239" i="4"/>
  <c r="AN251" i="4" s="1"/>
  <c r="AK239" i="4"/>
  <c r="AJ239" i="4"/>
  <c r="AJ251" i="4" s="1"/>
  <c r="AI239" i="4"/>
  <c r="AI251" i="4" s="1"/>
  <c r="AH239" i="4"/>
  <c r="AH251" i="4" s="1"/>
  <c r="AG239" i="4"/>
  <c r="AG251" i="4" s="1"/>
  <c r="AF239" i="4"/>
  <c r="AF251" i="4" s="1"/>
  <c r="AE239" i="4"/>
  <c r="AE251" i="4" s="1"/>
  <c r="AD239" i="4"/>
  <c r="AD251" i="4" s="1"/>
  <c r="AC239" i="4"/>
  <c r="AC251" i="4" s="1"/>
  <c r="AB239" i="4"/>
  <c r="AB251" i="4" s="1"/>
  <c r="AA239" i="4"/>
  <c r="AA251" i="4" s="1"/>
  <c r="Z239" i="4"/>
  <c r="Z251" i="4" s="1"/>
  <c r="Y239" i="4"/>
  <c r="Y251" i="4" s="1"/>
  <c r="X239" i="4"/>
  <c r="X251" i="4" s="1"/>
  <c r="W239" i="4"/>
  <c r="W251" i="4" s="1"/>
  <c r="V239" i="4"/>
  <c r="V251" i="4" s="1"/>
  <c r="U239" i="4"/>
  <c r="U251" i="4" s="1"/>
  <c r="T239" i="4"/>
  <c r="T251" i="4" s="1"/>
  <c r="S239" i="4"/>
  <c r="S251" i="4" s="1"/>
  <c r="R239" i="4"/>
  <c r="R251" i="4" s="1"/>
  <c r="Q239" i="4"/>
  <c r="Q251" i="4" s="1"/>
  <c r="P239" i="4"/>
  <c r="P251" i="4" s="1"/>
  <c r="O239" i="4"/>
  <c r="O251" i="4" s="1"/>
  <c r="N239" i="4"/>
  <c r="N251" i="4" s="1"/>
  <c r="M239" i="4"/>
  <c r="M251" i="4" s="1"/>
  <c r="L239" i="4"/>
  <c r="L251" i="4" s="1"/>
  <c r="K239" i="4"/>
  <c r="K251" i="4" s="1"/>
  <c r="J239" i="4"/>
  <c r="J251" i="4" s="1"/>
  <c r="I239" i="4"/>
  <c r="I251" i="4" s="1"/>
  <c r="H239" i="4"/>
  <c r="H251" i="4" s="1"/>
  <c r="BB237" i="4"/>
  <c r="AZ237" i="4"/>
  <c r="AY237" i="4"/>
  <c r="AX237" i="4"/>
  <c r="AW237" i="4"/>
  <c r="AV237" i="4"/>
  <c r="AU237" i="4"/>
  <c r="AT237" i="4"/>
  <c r="AL237" i="4"/>
  <c r="BB235" i="4"/>
  <c r="AZ235" i="4"/>
  <c r="AY235" i="4"/>
  <c r="AX235" i="4"/>
  <c r="AW235" i="4"/>
  <c r="AV235" i="4"/>
  <c r="AU235" i="4"/>
  <c r="AT235" i="4"/>
  <c r="AL235" i="4"/>
  <c r="AL235" i="5" s="1"/>
  <c r="BB234" i="4"/>
  <c r="AZ234" i="4"/>
  <c r="AY234" i="4"/>
  <c r="AX234" i="4"/>
  <c r="AW234" i="4"/>
  <c r="AV234" i="4"/>
  <c r="AU234" i="4"/>
  <c r="AT234" i="4"/>
  <c r="AL234" i="4"/>
  <c r="AL234" i="5" s="1"/>
  <c r="BB233" i="4"/>
  <c r="AZ233" i="4"/>
  <c r="AY233" i="4"/>
  <c r="AX233" i="4"/>
  <c r="AW233" i="4"/>
  <c r="AV233" i="4"/>
  <c r="AU233" i="4"/>
  <c r="AT233" i="4"/>
  <c r="AL233" i="4"/>
  <c r="BB232" i="4"/>
  <c r="AZ232" i="4"/>
  <c r="AY232" i="4"/>
  <c r="AX232" i="4"/>
  <c r="AW232" i="4"/>
  <c r="AV232" i="4"/>
  <c r="AU232" i="4"/>
  <c r="AT232" i="4"/>
  <c r="AL232" i="4"/>
  <c r="AL232" i="5" s="1"/>
  <c r="BB231" i="4"/>
  <c r="AZ231" i="4"/>
  <c r="AY231" i="4"/>
  <c r="AX231" i="4"/>
  <c r="AW231" i="4"/>
  <c r="AV231" i="4"/>
  <c r="AU231" i="4"/>
  <c r="AT231" i="4"/>
  <c r="AL231" i="4"/>
  <c r="AL231" i="5" s="1"/>
  <c r="BB230" i="4"/>
  <c r="AZ230" i="4"/>
  <c r="AY230" i="4"/>
  <c r="AX230" i="4"/>
  <c r="AW230" i="4"/>
  <c r="AV230" i="4"/>
  <c r="AU230" i="4"/>
  <c r="AT230" i="4"/>
  <c r="AL230" i="4"/>
  <c r="AL230" i="5" s="1"/>
  <c r="BB229" i="4"/>
  <c r="AZ229" i="4"/>
  <c r="AY229" i="4"/>
  <c r="AX229" i="4"/>
  <c r="AW229" i="4"/>
  <c r="AV229" i="4"/>
  <c r="AU229" i="4"/>
  <c r="AT229" i="4"/>
  <c r="AL229" i="4"/>
  <c r="AZ228" i="4"/>
  <c r="AY228" i="4"/>
  <c r="AX228" i="4"/>
  <c r="AW228" i="4"/>
  <c r="AV228" i="4"/>
  <c r="AU228" i="4"/>
  <c r="AT228" i="4"/>
  <c r="AO228" i="4"/>
  <c r="AO228" i="5" s="1"/>
  <c r="AL228" i="4"/>
  <c r="AQ227" i="4"/>
  <c r="AP227" i="4"/>
  <c r="AN227" i="4"/>
  <c r="AK227" i="4"/>
  <c r="AJ227" i="4"/>
  <c r="AI227" i="4"/>
  <c r="AH227" i="4"/>
  <c r="AG227" i="4"/>
  <c r="AF227" i="4"/>
  <c r="AE227" i="4"/>
  <c r="AD227" i="4"/>
  <c r="AC227" i="4"/>
  <c r="AB227" i="4"/>
  <c r="AA227" i="4"/>
  <c r="Z227" i="4"/>
  <c r="Y227" i="4"/>
  <c r="X227" i="4"/>
  <c r="W227" i="4"/>
  <c r="V227" i="4"/>
  <c r="U227" i="4"/>
  <c r="T227" i="4"/>
  <c r="S227" i="4"/>
  <c r="R227" i="4"/>
  <c r="Q227" i="4"/>
  <c r="P227" i="4"/>
  <c r="O227" i="4"/>
  <c r="N227" i="4"/>
  <c r="M227" i="4"/>
  <c r="L227" i="4"/>
  <c r="K227" i="4"/>
  <c r="J227" i="4"/>
  <c r="I227" i="4"/>
  <c r="H227" i="4"/>
  <c r="BB226" i="4"/>
  <c r="AZ226" i="4"/>
  <c r="AY226" i="4"/>
  <c r="AX226" i="4"/>
  <c r="AW226" i="4"/>
  <c r="AV226" i="4"/>
  <c r="AU226" i="4"/>
  <c r="AT226" i="4"/>
  <c r="AL226" i="4"/>
  <c r="AL226" i="5" s="1"/>
  <c r="BB225" i="4"/>
  <c r="BA225" i="4"/>
  <c r="AZ225" i="4"/>
  <c r="AY225" i="4"/>
  <c r="AX225" i="4"/>
  <c r="AW225" i="4"/>
  <c r="AV225" i="4"/>
  <c r="AU225" i="4"/>
  <c r="AT225" i="4"/>
  <c r="BB224" i="4"/>
  <c r="AY224" i="4"/>
  <c r="AX224" i="4"/>
  <c r="AW224" i="4"/>
  <c r="AV224" i="4"/>
  <c r="AU224" i="4"/>
  <c r="AT224" i="4"/>
  <c r="AL224" i="4"/>
  <c r="BB223" i="4"/>
  <c r="AY223" i="4"/>
  <c r="AX223" i="4"/>
  <c r="AW223" i="4"/>
  <c r="AV223" i="4"/>
  <c r="AU223" i="4"/>
  <c r="AT223" i="4"/>
  <c r="AL223" i="4"/>
  <c r="BB222" i="4"/>
  <c r="BA222" i="4"/>
  <c r="AZ222" i="4"/>
  <c r="AY222" i="4"/>
  <c r="AX222" i="4"/>
  <c r="AW222" i="4"/>
  <c r="AV222" i="4"/>
  <c r="AU222" i="4"/>
  <c r="AT222" i="4"/>
  <c r="AZ221" i="4"/>
  <c r="AY221" i="4"/>
  <c r="AX221" i="4"/>
  <c r="AW221" i="4"/>
  <c r="AV221" i="4"/>
  <c r="AU221" i="4"/>
  <c r="AT221" i="4"/>
  <c r="AP221" i="4"/>
  <c r="BB221" i="4" s="1"/>
  <c r="AL221" i="4"/>
  <c r="AL221" i="5" s="1"/>
  <c r="BB220" i="4"/>
  <c r="AZ220" i="4"/>
  <c r="AY220" i="4"/>
  <c r="AX220" i="4"/>
  <c r="AW220" i="4"/>
  <c r="AV220" i="4"/>
  <c r="AU220" i="4"/>
  <c r="AT220" i="4"/>
  <c r="AL220" i="4"/>
  <c r="BB219" i="4"/>
  <c r="AZ219" i="4"/>
  <c r="AY219" i="4"/>
  <c r="AX219" i="4"/>
  <c r="AW219" i="4"/>
  <c r="AV219" i="4"/>
  <c r="AU219" i="4"/>
  <c r="AT219" i="4"/>
  <c r="AL219" i="4"/>
  <c r="AQ218" i="4"/>
  <c r="AO218" i="4"/>
  <c r="AN218" i="4"/>
  <c r="AK218" i="4"/>
  <c r="AJ218" i="4"/>
  <c r="AI218" i="4"/>
  <c r="AH218" i="4"/>
  <c r="AG218" i="4"/>
  <c r="AF218" i="4"/>
  <c r="AE218" i="4"/>
  <c r="AD218" i="4"/>
  <c r="AC218" i="4"/>
  <c r="AB218" i="4"/>
  <c r="AA218" i="4"/>
  <c r="Z218" i="4"/>
  <c r="Y218" i="4"/>
  <c r="X218" i="4"/>
  <c r="W218" i="4"/>
  <c r="V218" i="4"/>
  <c r="U218" i="4"/>
  <c r="T218" i="4"/>
  <c r="S218" i="4"/>
  <c r="R218" i="4"/>
  <c r="Q218" i="4"/>
  <c r="P218" i="4"/>
  <c r="O218" i="4"/>
  <c r="N218" i="4"/>
  <c r="M218" i="4"/>
  <c r="L218" i="4"/>
  <c r="K218" i="4"/>
  <c r="J218" i="4"/>
  <c r="I218" i="4"/>
  <c r="H218" i="4"/>
  <c r="BB217" i="4"/>
  <c r="AZ217" i="4"/>
  <c r="AY217" i="4"/>
  <c r="AL217" i="4"/>
  <c r="AL217" i="5" s="1"/>
  <c r="AZ216" i="4"/>
  <c r="AY216" i="4"/>
  <c r="AX216" i="4"/>
  <c r="AA216" i="5" s="1"/>
  <c r="AX216" i="5" s="1"/>
  <c r="AO216" i="4"/>
  <c r="AL216" i="4"/>
  <c r="BB215" i="4"/>
  <c r="AZ215" i="4"/>
  <c r="AY215" i="4"/>
  <c r="AX215" i="4"/>
  <c r="AW215" i="4"/>
  <c r="AV215" i="4"/>
  <c r="AU215" i="4"/>
  <c r="AT215" i="4"/>
  <c r="AL215" i="4"/>
  <c r="BB214" i="4"/>
  <c r="AZ214" i="4"/>
  <c r="AY214" i="4"/>
  <c r="AX214" i="4"/>
  <c r="AW214" i="4"/>
  <c r="AV214" i="4"/>
  <c r="AU214" i="4"/>
  <c r="AT214" i="4"/>
  <c r="AL214" i="4"/>
  <c r="AL214" i="5" s="1"/>
  <c r="BB213" i="4"/>
  <c r="BA213" i="4"/>
  <c r="AZ213" i="4"/>
  <c r="AY213" i="4"/>
  <c r="AX213" i="4"/>
  <c r="AW213" i="4"/>
  <c r="AV213" i="4"/>
  <c r="AU213" i="4"/>
  <c r="AT213" i="4"/>
  <c r="BB212" i="4"/>
  <c r="BA212" i="4"/>
  <c r="AZ212" i="4"/>
  <c r="AY212" i="4"/>
  <c r="AX212" i="4"/>
  <c r="AW212" i="4"/>
  <c r="AV212" i="4"/>
  <c r="AU212" i="4"/>
  <c r="AT212" i="4"/>
  <c r="BB211" i="4"/>
  <c r="AZ211" i="4"/>
  <c r="AY211" i="4"/>
  <c r="AX211" i="4"/>
  <c r="AW211" i="4"/>
  <c r="AV211" i="4"/>
  <c r="AU211" i="4"/>
  <c r="AT211" i="4"/>
  <c r="AL211" i="4"/>
  <c r="AL211" i="5" s="1"/>
  <c r="BB210" i="4"/>
  <c r="AZ210" i="4"/>
  <c r="AY210" i="4"/>
  <c r="AX210" i="4"/>
  <c r="AW210" i="4"/>
  <c r="AV210" i="4"/>
  <c r="AU210" i="4"/>
  <c r="AT210" i="4"/>
  <c r="AL210" i="4"/>
  <c r="BB208" i="4"/>
  <c r="AL208" i="4"/>
  <c r="AL208" i="5" s="1"/>
  <c r="BB207" i="4"/>
  <c r="AL207" i="4"/>
  <c r="BB206" i="4"/>
  <c r="BB205" i="4"/>
  <c r="BA205" i="4"/>
  <c r="AZ205" i="4"/>
  <c r="BB204" i="4"/>
  <c r="AZ204" i="4"/>
  <c r="AY204" i="4"/>
  <c r="AX204" i="4"/>
  <c r="AW204" i="4"/>
  <c r="AV204" i="4"/>
  <c r="AU204" i="4"/>
  <c r="AT204" i="4"/>
  <c r="AL204" i="4"/>
  <c r="AL204" i="5" s="1"/>
  <c r="BB203" i="4"/>
  <c r="AZ203" i="4"/>
  <c r="AY203" i="4"/>
  <c r="AX203" i="4"/>
  <c r="AW203" i="4"/>
  <c r="AV203" i="4"/>
  <c r="AU203" i="4"/>
  <c r="AT203" i="4"/>
  <c r="AL203" i="4"/>
  <c r="BB202" i="4"/>
  <c r="AZ202" i="4"/>
  <c r="AY202" i="4"/>
  <c r="AX202" i="4"/>
  <c r="AW202" i="4"/>
  <c r="AV202" i="4"/>
  <c r="AU202" i="4"/>
  <c r="AT202" i="4"/>
  <c r="AL202" i="4"/>
  <c r="AL202" i="5" s="1"/>
  <c r="BB201" i="4"/>
  <c r="AZ201" i="4"/>
  <c r="AY201" i="4"/>
  <c r="AX201" i="4"/>
  <c r="AW201" i="4"/>
  <c r="AV201" i="4"/>
  <c r="AU201" i="4"/>
  <c r="AT201" i="4"/>
  <c r="AL201" i="4"/>
  <c r="BB200" i="4"/>
  <c r="AZ200" i="4"/>
  <c r="AY200" i="4"/>
  <c r="AX200" i="4"/>
  <c r="AW200" i="4"/>
  <c r="AV200" i="4"/>
  <c r="AU200" i="4"/>
  <c r="AT200" i="4"/>
  <c r="AL200" i="4"/>
  <c r="AL200" i="5" s="1"/>
  <c r="BB199" i="4"/>
  <c r="AZ199" i="4"/>
  <c r="AY199" i="4"/>
  <c r="AX199" i="4"/>
  <c r="AW199" i="4"/>
  <c r="AV199" i="4"/>
  <c r="AU199" i="4"/>
  <c r="AT199" i="4"/>
  <c r="AL199" i="4"/>
  <c r="AL199" i="5" s="1"/>
  <c r="BB198" i="4"/>
  <c r="AZ198" i="4"/>
  <c r="AY198" i="4"/>
  <c r="AX198" i="4"/>
  <c r="AW198" i="4"/>
  <c r="AV198" i="4"/>
  <c r="AU198" i="4"/>
  <c r="AT198" i="4"/>
  <c r="AL198" i="4"/>
  <c r="AL198" i="5" s="1"/>
  <c r="BB197" i="4"/>
  <c r="AZ197" i="4"/>
  <c r="AY197" i="4"/>
  <c r="AX197" i="4"/>
  <c r="AW197" i="4"/>
  <c r="AV197" i="4"/>
  <c r="AU197" i="4"/>
  <c r="AT197" i="4"/>
  <c r="AL197" i="4"/>
  <c r="AL197" i="5" s="1"/>
  <c r="BB196" i="4"/>
  <c r="BA196" i="4"/>
  <c r="AZ196" i="4"/>
  <c r="AY196" i="4"/>
  <c r="AX196" i="4"/>
  <c r="AW196" i="4"/>
  <c r="AV196" i="4"/>
  <c r="AU196" i="4"/>
  <c r="AT196" i="4"/>
  <c r="BB195" i="4"/>
  <c r="BB194" i="4"/>
  <c r="AZ194" i="4"/>
  <c r="AY194" i="4"/>
  <c r="AX194" i="4"/>
  <c r="AW194" i="4"/>
  <c r="AV194" i="4"/>
  <c r="AU194" i="4"/>
  <c r="AT194" i="4"/>
  <c r="AL194" i="4"/>
  <c r="AL194" i="5" s="1"/>
  <c r="BB193" i="4"/>
  <c r="AZ193" i="4"/>
  <c r="AY193" i="4"/>
  <c r="AX193" i="4"/>
  <c r="AW193" i="4"/>
  <c r="AV193" i="4"/>
  <c r="AU193" i="4"/>
  <c r="AT193" i="4"/>
  <c r="AL193" i="4"/>
  <c r="AL193" i="5" s="1"/>
  <c r="BB192" i="4"/>
  <c r="BA192" i="4"/>
  <c r="AZ192" i="4"/>
  <c r="AY192" i="4"/>
  <c r="AX192" i="4"/>
  <c r="AW192" i="4"/>
  <c r="AV192" i="4"/>
  <c r="AU192" i="4"/>
  <c r="AT192" i="4"/>
  <c r="BB191" i="4"/>
  <c r="AZ191" i="4"/>
  <c r="AY191" i="4"/>
  <c r="AX191" i="4"/>
  <c r="AW191" i="4"/>
  <c r="AV191" i="4"/>
  <c r="AU191" i="4"/>
  <c r="AT191" i="4"/>
  <c r="AL191" i="4"/>
  <c r="AL191" i="5" s="1"/>
  <c r="BB190" i="4"/>
  <c r="BA190" i="4"/>
  <c r="AZ190" i="4"/>
  <c r="AY190" i="4"/>
  <c r="AX190" i="4"/>
  <c r="AW190" i="4"/>
  <c r="AV190" i="4"/>
  <c r="AU190" i="4"/>
  <c r="AT190" i="4"/>
  <c r="BB189" i="4"/>
  <c r="AZ189" i="4"/>
  <c r="AY189" i="4"/>
  <c r="AX189" i="4"/>
  <c r="AW189" i="4"/>
  <c r="AV189" i="4"/>
  <c r="AU189" i="4"/>
  <c r="AT189" i="4"/>
  <c r="AL189" i="4"/>
  <c r="AL189" i="5" s="1"/>
  <c r="BB188" i="4"/>
  <c r="BB187" i="4"/>
  <c r="BA187" i="4"/>
  <c r="AZ187" i="4"/>
  <c r="BB186" i="4"/>
  <c r="BA186" i="4"/>
  <c r="AZ186" i="4"/>
  <c r="BB185" i="4"/>
  <c r="AZ185" i="4"/>
  <c r="AY185" i="4"/>
  <c r="AX185" i="4"/>
  <c r="AW185" i="4"/>
  <c r="AV185" i="4"/>
  <c r="AU185" i="4"/>
  <c r="AT185" i="4"/>
  <c r="AL185" i="4"/>
  <c r="BB184" i="4"/>
  <c r="AZ184" i="4"/>
  <c r="AY184" i="4"/>
  <c r="AX184" i="4"/>
  <c r="AW184" i="4"/>
  <c r="AV184" i="4"/>
  <c r="AU184" i="4"/>
  <c r="AT184" i="4"/>
  <c r="AL184" i="4"/>
  <c r="AP183" i="4"/>
  <c r="AN183" i="4"/>
  <c r="AK183" i="4"/>
  <c r="AJ183" i="4"/>
  <c r="AI183" i="4"/>
  <c r="AH183" i="4"/>
  <c r="AG183" i="4"/>
  <c r="AF183" i="4"/>
  <c r="AE183" i="4"/>
  <c r="AD183" i="4"/>
  <c r="AC183" i="4"/>
  <c r="AB183" i="4"/>
  <c r="AA183" i="4"/>
  <c r="Z183" i="4"/>
  <c r="Y183" i="4"/>
  <c r="X183" i="4"/>
  <c r="W183" i="4"/>
  <c r="V183" i="4"/>
  <c r="U183" i="4"/>
  <c r="T183" i="4"/>
  <c r="S183" i="4"/>
  <c r="R183" i="4"/>
  <c r="Q183" i="4"/>
  <c r="P183" i="4"/>
  <c r="O183" i="4"/>
  <c r="N183" i="4"/>
  <c r="M183" i="4"/>
  <c r="L183" i="4"/>
  <c r="K183" i="4"/>
  <c r="J183" i="4"/>
  <c r="I183" i="4"/>
  <c r="H183" i="4"/>
  <c r="BB177" i="4"/>
  <c r="BA177" i="4"/>
  <c r="AZ177" i="4"/>
  <c r="AY177" i="4"/>
  <c r="AX177" i="4"/>
  <c r="AW177" i="4"/>
  <c r="AV177" i="4"/>
  <c r="AU177" i="4"/>
  <c r="AT177" i="4"/>
  <c r="AK177" i="4"/>
  <c r="AK177" i="5" s="1"/>
  <c r="AQ176" i="4"/>
  <c r="AP176" i="4"/>
  <c r="AP167" i="4" s="1"/>
  <c r="AO176" i="4"/>
  <c r="AO167" i="4" s="1"/>
  <c r="AN176" i="4"/>
  <c r="AN167" i="4" s="1"/>
  <c r="AM176" i="4"/>
  <c r="AL176" i="4"/>
  <c r="AL167" i="4" s="1"/>
  <c r="AK176" i="4"/>
  <c r="AJ176" i="4"/>
  <c r="AJ167" i="4" s="1"/>
  <c r="AI176" i="4"/>
  <c r="AF176" i="4"/>
  <c r="AF167" i="4" s="1"/>
  <c r="AE176" i="4"/>
  <c r="AD176" i="4"/>
  <c r="AD167" i="4" s="1"/>
  <c r="AC176" i="4"/>
  <c r="AB176" i="4"/>
  <c r="AB167" i="4" s="1"/>
  <c r="AA176" i="4"/>
  <c r="AA167" i="4" s="1"/>
  <c r="Z176" i="4"/>
  <c r="Z167" i="4" s="1"/>
  <c r="Y176" i="4"/>
  <c r="Y167" i="4" s="1"/>
  <c r="X176" i="4"/>
  <c r="X167" i="4" s="1"/>
  <c r="W176" i="4"/>
  <c r="W167" i="4" s="1"/>
  <c r="V176" i="4"/>
  <c r="V167" i="4" s="1"/>
  <c r="U176" i="4"/>
  <c r="U167" i="4" s="1"/>
  <c r="T176" i="4"/>
  <c r="T167" i="4" s="1"/>
  <c r="S176" i="4"/>
  <c r="S167" i="4" s="1"/>
  <c r="R176" i="4"/>
  <c r="R167" i="4" s="1"/>
  <c r="Q176" i="4"/>
  <c r="Q167" i="4" s="1"/>
  <c r="P176" i="4"/>
  <c r="P167" i="4" s="1"/>
  <c r="O176" i="4"/>
  <c r="O167" i="4" s="1"/>
  <c r="N176" i="4"/>
  <c r="N167" i="4" s="1"/>
  <c r="M176" i="4"/>
  <c r="M167" i="4" s="1"/>
  <c r="L176" i="4"/>
  <c r="L167" i="4" s="1"/>
  <c r="K176" i="4"/>
  <c r="K167" i="4" s="1"/>
  <c r="J176" i="4"/>
  <c r="J167" i="4" s="1"/>
  <c r="I176" i="4"/>
  <c r="I167" i="4" s="1"/>
  <c r="H176" i="4"/>
  <c r="H167" i="4" s="1"/>
  <c r="BB175" i="4"/>
  <c r="BA175" i="4"/>
  <c r="AZ175" i="4"/>
  <c r="AY175" i="4"/>
  <c r="AX175" i="4"/>
  <c r="AW175" i="4"/>
  <c r="AV175" i="4"/>
  <c r="AU175" i="4"/>
  <c r="AT175" i="4"/>
  <c r="BB174" i="4"/>
  <c r="BA174" i="4"/>
  <c r="AZ174" i="4"/>
  <c r="AY174" i="4"/>
  <c r="AX174" i="4"/>
  <c r="AW174" i="4"/>
  <c r="AV174" i="4"/>
  <c r="AU174" i="4"/>
  <c r="AT174" i="4"/>
  <c r="BB173" i="4"/>
  <c r="BA173" i="4"/>
  <c r="AZ173" i="4"/>
  <c r="AY173" i="4"/>
  <c r="AX173" i="4"/>
  <c r="AW173" i="4"/>
  <c r="AV173" i="4"/>
  <c r="AU173" i="4"/>
  <c r="AT173" i="4"/>
  <c r="BB172" i="4"/>
  <c r="BA172" i="4"/>
  <c r="AZ172" i="4"/>
  <c r="AY172" i="4"/>
  <c r="AX172" i="4"/>
  <c r="AW172" i="4"/>
  <c r="AV172" i="4"/>
  <c r="AU172" i="4"/>
  <c r="AT172" i="4"/>
  <c r="BB171" i="4"/>
  <c r="BA171" i="4"/>
  <c r="AZ171" i="4"/>
  <c r="AY171" i="4"/>
  <c r="AX171" i="4"/>
  <c r="AW171" i="4"/>
  <c r="AV171" i="4"/>
  <c r="AU171" i="4"/>
  <c r="AT171" i="4"/>
  <c r="BB170" i="4"/>
  <c r="BA170" i="4"/>
  <c r="AZ170" i="4"/>
  <c r="AY170" i="4"/>
  <c r="AX170" i="4"/>
  <c r="AW170" i="4"/>
  <c r="AV170" i="4"/>
  <c r="AU170" i="4"/>
  <c r="AT170" i="4"/>
  <c r="BB169" i="4"/>
  <c r="BA169" i="4"/>
  <c r="AZ169" i="4"/>
  <c r="AY169" i="4"/>
  <c r="AX169" i="4"/>
  <c r="AW169" i="4"/>
  <c r="AV169" i="4"/>
  <c r="AU169" i="4"/>
  <c r="AT169" i="4"/>
  <c r="BB168" i="4"/>
  <c r="BA168" i="4"/>
  <c r="AZ168" i="4"/>
  <c r="AY168" i="4"/>
  <c r="AX168" i="4"/>
  <c r="AW168" i="4"/>
  <c r="AV168" i="4"/>
  <c r="AU168" i="4"/>
  <c r="AT168" i="4"/>
  <c r="AH167" i="4"/>
  <c r="AG167" i="4"/>
  <c r="AC167" i="4"/>
  <c r="BB166" i="4"/>
  <c r="BA166" i="4"/>
  <c r="AZ166" i="4"/>
  <c r="AY166" i="4"/>
  <c r="AX166" i="4"/>
  <c r="AW166" i="4"/>
  <c r="AV166" i="4"/>
  <c r="AU166" i="4"/>
  <c r="AT166" i="4"/>
  <c r="BB165" i="4"/>
  <c r="BA165" i="4"/>
  <c r="AZ165" i="4"/>
  <c r="AY165" i="4"/>
  <c r="AX165" i="4"/>
  <c r="AW165" i="4"/>
  <c r="AV165" i="4"/>
  <c r="AU165" i="4"/>
  <c r="AT165" i="4"/>
  <c r="BB164" i="4"/>
  <c r="BA164" i="4"/>
  <c r="AZ164" i="4"/>
  <c r="AY164" i="4"/>
  <c r="AX164" i="4"/>
  <c r="AW164" i="4"/>
  <c r="AV164" i="4"/>
  <c r="AU164" i="4"/>
  <c r="AT164" i="4"/>
  <c r="BB163" i="4"/>
  <c r="BA163" i="4"/>
  <c r="AZ163" i="4"/>
  <c r="AY163" i="4"/>
  <c r="AX163" i="4"/>
  <c r="AW163" i="4"/>
  <c r="AV163" i="4"/>
  <c r="AU163" i="4"/>
  <c r="AT163" i="4"/>
  <c r="BB162" i="4"/>
  <c r="BA162" i="4"/>
  <c r="AZ162" i="4"/>
  <c r="AY162" i="4"/>
  <c r="AX162" i="4"/>
  <c r="AW162" i="4"/>
  <c r="AV162" i="4"/>
  <c r="AU162" i="4"/>
  <c r="AT162" i="4"/>
  <c r="BB161" i="4"/>
  <c r="BA161" i="4"/>
  <c r="AZ161" i="4"/>
  <c r="AY161" i="4"/>
  <c r="AX161" i="4"/>
  <c r="AW161" i="4"/>
  <c r="AV161" i="4"/>
  <c r="AU161" i="4"/>
  <c r="AT161" i="4"/>
  <c r="BB160" i="4"/>
  <c r="BA160" i="4"/>
  <c r="AZ160" i="4"/>
  <c r="AY160" i="4"/>
  <c r="AX160" i="4"/>
  <c r="AW160" i="4"/>
  <c r="AV160" i="4"/>
  <c r="AU160" i="4"/>
  <c r="AT160" i="4"/>
  <c r="BB159" i="4"/>
  <c r="BA159" i="4"/>
  <c r="AZ159" i="4"/>
  <c r="AY159" i="4"/>
  <c r="AX159" i="4"/>
  <c r="AW159" i="4"/>
  <c r="AV159" i="4"/>
  <c r="AU159" i="4"/>
  <c r="AT159" i="4"/>
  <c r="BB158" i="4"/>
  <c r="BA158" i="4"/>
  <c r="AZ158" i="4"/>
  <c r="AY158" i="4"/>
  <c r="AX158" i="4"/>
  <c r="AW158" i="4"/>
  <c r="AV158" i="4"/>
  <c r="AU158" i="4"/>
  <c r="AT158" i="4"/>
  <c r="BB157" i="4"/>
  <c r="BA157" i="4"/>
  <c r="AZ157" i="4"/>
  <c r="AY157" i="4"/>
  <c r="AX157" i="4"/>
  <c r="AW157" i="4"/>
  <c r="AV157" i="4"/>
  <c r="AU157" i="4"/>
  <c r="AT157" i="4"/>
  <c r="BB156" i="4"/>
  <c r="BA156" i="4"/>
  <c r="AZ156" i="4"/>
  <c r="AY156" i="4"/>
  <c r="AX156" i="4"/>
  <c r="AW156" i="4"/>
  <c r="AV156" i="4"/>
  <c r="AU156" i="4"/>
  <c r="AT156"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BB154" i="4"/>
  <c r="BA154" i="4"/>
  <c r="AZ154" i="4"/>
  <c r="AY154" i="4"/>
  <c r="AX154" i="4"/>
  <c r="AW154" i="4"/>
  <c r="AV154" i="4"/>
  <c r="AU154" i="4"/>
  <c r="AT154" i="4"/>
  <c r="BB153" i="4"/>
  <c r="BA153" i="4"/>
  <c r="AZ153" i="4"/>
  <c r="AY153" i="4"/>
  <c r="AX153" i="4"/>
  <c r="AW153" i="4"/>
  <c r="AV153" i="4"/>
  <c r="AU153" i="4"/>
  <c r="AT153" i="4"/>
  <c r="BB152" i="4"/>
  <c r="BA152" i="4"/>
  <c r="AZ152" i="4"/>
  <c r="AY152" i="4"/>
  <c r="AX152" i="4"/>
  <c r="AW152" i="4"/>
  <c r="AV152" i="4"/>
  <c r="AU152" i="4"/>
  <c r="AT152" i="4"/>
  <c r="BB151" i="4"/>
  <c r="BA151" i="4"/>
  <c r="AZ151" i="4"/>
  <c r="AY151" i="4"/>
  <c r="AX151" i="4"/>
  <c r="AW151" i="4"/>
  <c r="AV151" i="4"/>
  <c r="AU151" i="4"/>
  <c r="AT151" i="4"/>
  <c r="BB150" i="4"/>
  <c r="BA150" i="4"/>
  <c r="AZ150" i="4"/>
  <c r="AY150" i="4"/>
  <c r="AX150" i="4"/>
  <c r="AW150" i="4"/>
  <c r="AV150" i="4"/>
  <c r="AU150" i="4"/>
  <c r="AT150" i="4"/>
  <c r="BB149" i="4"/>
  <c r="BA149" i="4"/>
  <c r="AZ149" i="4"/>
  <c r="AY149" i="4"/>
  <c r="AX149" i="4"/>
  <c r="AW149" i="4"/>
  <c r="AV149" i="4"/>
  <c r="AU149" i="4"/>
  <c r="AT149" i="4"/>
  <c r="BB148" i="4"/>
  <c r="BA148" i="4"/>
  <c r="AZ148" i="4"/>
  <c r="AY148" i="4"/>
  <c r="AX148" i="4"/>
  <c r="AW148" i="4"/>
  <c r="AV148" i="4"/>
  <c r="AU148" i="4"/>
  <c r="AT148" i="4"/>
  <c r="BB147" i="4"/>
  <c r="BA147" i="4"/>
  <c r="AZ147" i="4"/>
  <c r="AY147" i="4"/>
  <c r="AX147" i="4"/>
  <c r="AW147" i="4"/>
  <c r="AV147" i="4"/>
  <c r="AU147" i="4"/>
  <c r="AT147" i="4"/>
  <c r="BB146" i="4"/>
  <c r="BA146" i="4"/>
  <c r="AZ146" i="4"/>
  <c r="AY146" i="4"/>
  <c r="AX146" i="4"/>
  <c r="AW146" i="4"/>
  <c r="AV146" i="4"/>
  <c r="AU146" i="4"/>
  <c r="AT146" i="4"/>
  <c r="BB145" i="4"/>
  <c r="BA145" i="4"/>
  <c r="AZ145" i="4"/>
  <c r="AY145" i="4"/>
  <c r="AX145" i="4"/>
  <c r="AW145" i="4"/>
  <c r="AV145" i="4"/>
  <c r="AU145" i="4"/>
  <c r="AT145" i="4"/>
  <c r="N145" i="4"/>
  <c r="N145" i="5" s="1"/>
  <c r="M145" i="4"/>
  <c r="L145" i="4"/>
  <c r="J145" i="4"/>
  <c r="BB144" i="4"/>
  <c r="BA144" i="4"/>
  <c r="AZ144" i="4"/>
  <c r="AY144" i="4"/>
  <c r="AX144" i="4"/>
  <c r="AW144" i="4"/>
  <c r="AV144" i="4"/>
  <c r="AU144" i="4"/>
  <c r="AT144" i="4"/>
  <c r="BB143" i="4"/>
  <c r="BA143" i="4"/>
  <c r="AZ143" i="4"/>
  <c r="AY143" i="4"/>
  <c r="AX143" i="4"/>
  <c r="AW143" i="4"/>
  <c r="AV143" i="4"/>
  <c r="AU143" i="4"/>
  <c r="AT143" i="4"/>
  <c r="AQ142" i="4"/>
  <c r="AP142" i="4"/>
  <c r="AO142" i="4"/>
  <c r="AN142" i="4"/>
  <c r="AM142" i="4"/>
  <c r="AL142" i="4"/>
  <c r="AK142" i="4"/>
  <c r="AJ142" i="4"/>
  <c r="AI142" i="4"/>
  <c r="AH142" i="4"/>
  <c r="AG142" i="4"/>
  <c r="AF142" i="4"/>
  <c r="AE142" i="4"/>
  <c r="AD142" i="4"/>
  <c r="AC142" i="4"/>
  <c r="AB142" i="4"/>
  <c r="AA142" i="4"/>
  <c r="Z142" i="4"/>
  <c r="Y142" i="4"/>
  <c r="X142" i="4"/>
  <c r="W142" i="4"/>
  <c r="V142" i="4"/>
  <c r="U142" i="4"/>
  <c r="T142" i="4"/>
  <c r="S142" i="4"/>
  <c r="R142" i="4"/>
  <c r="Q142" i="4"/>
  <c r="P142" i="4"/>
  <c r="O142" i="4"/>
  <c r="K142" i="4"/>
  <c r="I142" i="4"/>
  <c r="H142" i="4"/>
  <c r="BB140" i="4"/>
  <c r="BA140" i="4"/>
  <c r="AZ140" i="4"/>
  <c r="AY140" i="4"/>
  <c r="AX140" i="4"/>
  <c r="AW140" i="4"/>
  <c r="AV140" i="4"/>
  <c r="AU140" i="4"/>
  <c r="AT140" i="4"/>
  <c r="BB139" i="4"/>
  <c r="BA139" i="4"/>
  <c r="AZ139" i="4"/>
  <c r="AY139" i="4"/>
  <c r="AX139" i="4"/>
  <c r="AW139" i="4"/>
  <c r="AV139" i="4"/>
  <c r="AU139" i="4"/>
  <c r="AT139" i="4"/>
  <c r="BB138" i="4"/>
  <c r="BA138" i="4"/>
  <c r="AZ138" i="4"/>
  <c r="AY138" i="4"/>
  <c r="AX138" i="4"/>
  <c r="AW138" i="4"/>
  <c r="AV138" i="4"/>
  <c r="AU138" i="4"/>
  <c r="AT138" i="4"/>
  <c r="BB137" i="4"/>
  <c r="BA137" i="4"/>
  <c r="AZ137" i="4"/>
  <c r="AY137" i="4"/>
  <c r="AX137" i="4"/>
  <c r="AW137" i="4"/>
  <c r="AV137" i="4"/>
  <c r="AU137" i="4"/>
  <c r="AT137" i="4"/>
  <c r="BB136" i="4"/>
  <c r="BA136" i="4"/>
  <c r="AZ136" i="4"/>
  <c r="AY136" i="4"/>
  <c r="AX136" i="4"/>
  <c r="AW136" i="4"/>
  <c r="AV136" i="4"/>
  <c r="AU136" i="4"/>
  <c r="AT136" i="4"/>
  <c r="BB135" i="4"/>
  <c r="BA135" i="4"/>
  <c r="AZ135" i="4"/>
  <c r="AY135" i="4"/>
  <c r="AX135" i="4"/>
  <c r="AW135" i="4"/>
  <c r="AV135" i="4"/>
  <c r="AU135" i="4"/>
  <c r="AT135" i="4"/>
  <c r="BB134" i="4"/>
  <c r="BA134" i="4"/>
  <c r="AZ134" i="4"/>
  <c r="AY134" i="4"/>
  <c r="AX134" i="4"/>
  <c r="AW134" i="4"/>
  <c r="AV134" i="4"/>
  <c r="AU134" i="4"/>
  <c r="AT134" i="4"/>
  <c r="BB133" i="4"/>
  <c r="BA133" i="4"/>
  <c r="AZ133" i="4"/>
  <c r="AY133" i="4"/>
  <c r="AX133" i="4"/>
  <c r="AW133" i="4"/>
  <c r="AV133" i="4"/>
  <c r="AU133" i="4"/>
  <c r="AT133" i="4"/>
  <c r="BB132" i="4"/>
  <c r="BA132" i="4"/>
  <c r="AZ132" i="4"/>
  <c r="AY132" i="4"/>
  <c r="AX132" i="4"/>
  <c r="AW132" i="4"/>
  <c r="AV132" i="4"/>
  <c r="AU132" i="4"/>
  <c r="AT132" i="4"/>
  <c r="BB131" i="4"/>
  <c r="BA131" i="4"/>
  <c r="AZ131" i="4"/>
  <c r="AY131" i="4"/>
  <c r="AX131" i="4"/>
  <c r="AW131" i="4"/>
  <c r="AV131" i="4"/>
  <c r="AU131" i="4"/>
  <c r="AT131" i="4"/>
  <c r="BB130" i="4"/>
  <c r="BA130" i="4"/>
  <c r="AZ130" i="4"/>
  <c r="AY130" i="4"/>
  <c r="AX130" i="4"/>
  <c r="AW130" i="4"/>
  <c r="AV130" i="4"/>
  <c r="AU130" i="4"/>
  <c r="AT130" i="4"/>
  <c r="AQ129" i="4"/>
  <c r="AP129" i="4"/>
  <c r="AO129" i="4"/>
  <c r="AN129" i="4"/>
  <c r="AM129" i="4"/>
  <c r="AL129" i="4"/>
  <c r="AK129" i="4"/>
  <c r="AJ129" i="4"/>
  <c r="AI129" i="4"/>
  <c r="AH129" i="4"/>
  <c r="AG129" i="4"/>
  <c r="AF129" i="4"/>
  <c r="AE129" i="4"/>
  <c r="AD129" i="4"/>
  <c r="AC129" i="4"/>
  <c r="AB129" i="4"/>
  <c r="AA129" i="4"/>
  <c r="Z129" i="4"/>
  <c r="Y129" i="4"/>
  <c r="X129" i="4"/>
  <c r="W129" i="4"/>
  <c r="V129" i="4"/>
  <c r="U129" i="4"/>
  <c r="T129" i="4"/>
  <c r="S129" i="4"/>
  <c r="R129" i="4"/>
  <c r="Q129" i="4"/>
  <c r="P129" i="4"/>
  <c r="O129" i="4"/>
  <c r="N129" i="4"/>
  <c r="M129" i="4"/>
  <c r="L129" i="4"/>
  <c r="K129" i="4"/>
  <c r="J129" i="4"/>
  <c r="I129" i="4"/>
  <c r="H129" i="4"/>
  <c r="BB128" i="4"/>
  <c r="BA128" i="4"/>
  <c r="AZ128" i="4"/>
  <c r="BB127" i="4"/>
  <c r="BA127" i="4"/>
  <c r="AZ127" i="4"/>
  <c r="AY127" i="4"/>
  <c r="AX127" i="4"/>
  <c r="AW127" i="4"/>
  <c r="AV127" i="4"/>
  <c r="AU127" i="4"/>
  <c r="AT127" i="4"/>
  <c r="BB126" i="4"/>
  <c r="BA126" i="4"/>
  <c r="AZ126" i="4"/>
  <c r="AY126" i="4"/>
  <c r="AX126" i="4"/>
  <c r="AW126" i="4"/>
  <c r="AV126" i="4"/>
  <c r="AU126" i="4"/>
  <c r="AT126" i="4"/>
  <c r="BB125" i="4"/>
  <c r="BA125" i="4"/>
  <c r="AZ125" i="4"/>
  <c r="AY125" i="4"/>
  <c r="AX125" i="4"/>
  <c r="AW125" i="4"/>
  <c r="AV125" i="4"/>
  <c r="AU125" i="4"/>
  <c r="AT125" i="4"/>
  <c r="BB124" i="4"/>
  <c r="BA124" i="4"/>
  <c r="AZ124" i="4"/>
  <c r="AY124" i="4"/>
  <c r="AX124" i="4"/>
  <c r="AW124" i="4"/>
  <c r="AV124" i="4"/>
  <c r="AU124" i="4"/>
  <c r="AT124" i="4"/>
  <c r="BB123" i="4"/>
  <c r="BA123" i="4"/>
  <c r="AZ123" i="4"/>
  <c r="AY123" i="4"/>
  <c r="AX123" i="4"/>
  <c r="AW123" i="4"/>
  <c r="AV123" i="4"/>
  <c r="AU123" i="4"/>
  <c r="AT123" i="4"/>
  <c r="BB122" i="4"/>
  <c r="BA122" i="4"/>
  <c r="AZ122" i="4"/>
  <c r="AY122" i="4"/>
  <c r="AX122" i="4"/>
  <c r="AW122" i="4"/>
  <c r="AV122" i="4"/>
  <c r="AU122" i="4"/>
  <c r="AT122" i="4"/>
  <c r="BB121" i="4"/>
  <c r="BA121" i="4"/>
  <c r="AZ121" i="4"/>
  <c r="AY121" i="4"/>
  <c r="AX121" i="4"/>
  <c r="AW121" i="4"/>
  <c r="AV121" i="4"/>
  <c r="AU121" i="4"/>
  <c r="AT121" i="4"/>
  <c r="BB120" i="4"/>
  <c r="BA120" i="4"/>
  <c r="AZ120" i="4"/>
  <c r="AY120" i="4"/>
  <c r="AX120" i="4"/>
  <c r="AW120" i="4"/>
  <c r="AV120" i="4"/>
  <c r="AU120" i="4"/>
  <c r="AT120" i="4"/>
  <c r="BB119" i="4"/>
  <c r="BA119" i="4"/>
  <c r="AZ119" i="4"/>
  <c r="AY119" i="4"/>
  <c r="AX119" i="4"/>
  <c r="AW119" i="4"/>
  <c r="AV119" i="4"/>
  <c r="AU119" i="4"/>
  <c r="AT119" i="4"/>
  <c r="BB118" i="4"/>
  <c r="BA118" i="4"/>
  <c r="BA275" i="4" s="1"/>
  <c r="BB274" i="4" s="1"/>
  <c r="AZ118" i="4"/>
  <c r="AZ275" i="4" s="1"/>
  <c r="BA274" i="4" s="1"/>
  <c r="AY118" i="4"/>
  <c r="AY275" i="4" s="1"/>
  <c r="AZ274" i="4" s="1"/>
  <c r="AX118" i="4"/>
  <c r="AX275" i="4" s="1"/>
  <c r="AY274" i="4" s="1"/>
  <c r="AW118" i="4"/>
  <c r="AW275" i="4" s="1"/>
  <c r="AX274" i="4" s="1"/>
  <c r="AV118" i="4"/>
  <c r="AV275" i="4" s="1"/>
  <c r="AW274" i="4" s="1"/>
  <c r="AU118" i="4"/>
  <c r="AU275" i="4" s="1"/>
  <c r="AV274" i="4" s="1"/>
  <c r="AT118" i="4"/>
  <c r="AT275" i="4" s="1"/>
  <c r="AU274" i="4" s="1"/>
  <c r="AP117" i="4"/>
  <c r="AP116" i="4" s="1"/>
  <c r="AO117" i="4"/>
  <c r="AN117" i="4"/>
  <c r="AM117" i="4"/>
  <c r="AL117" i="4"/>
  <c r="AK117" i="4"/>
  <c r="AJ117" i="4"/>
  <c r="AJ116" i="4" s="1"/>
  <c r="AI117" i="4"/>
  <c r="AI116" i="4" s="1"/>
  <c r="AH117" i="4"/>
  <c r="AH116" i="4" s="1"/>
  <c r="AG117" i="4"/>
  <c r="AF117" i="4"/>
  <c r="AE117" i="4"/>
  <c r="AD117" i="4"/>
  <c r="AC117" i="4"/>
  <c r="AB117" i="4"/>
  <c r="AB116" i="4" s="1"/>
  <c r="AA117" i="4"/>
  <c r="AA116" i="4" s="1"/>
  <c r="Z117" i="4"/>
  <c r="Z116" i="4" s="1"/>
  <c r="Y117" i="4"/>
  <c r="X117" i="4"/>
  <c r="W117" i="4"/>
  <c r="V117" i="4"/>
  <c r="U117" i="4"/>
  <c r="T117" i="4"/>
  <c r="T116" i="4" s="1"/>
  <c r="S117" i="4"/>
  <c r="S116" i="4" s="1"/>
  <c r="R117" i="4"/>
  <c r="R116" i="4" s="1"/>
  <c r="Q117" i="4"/>
  <c r="P117" i="4"/>
  <c r="O117" i="4"/>
  <c r="N117" i="4"/>
  <c r="M117" i="4"/>
  <c r="L117" i="4"/>
  <c r="L116" i="4" s="1"/>
  <c r="K117" i="4"/>
  <c r="K116" i="4" s="1"/>
  <c r="J117" i="4"/>
  <c r="J116" i="4" s="1"/>
  <c r="I117" i="4"/>
  <c r="H117" i="4"/>
  <c r="BB108" i="4"/>
  <c r="BA108" i="4"/>
  <c r="AZ108" i="4"/>
  <c r="AY108" i="4"/>
  <c r="AX108" i="4"/>
  <c r="AW108" i="4"/>
  <c r="AV108" i="4"/>
  <c r="AU108" i="4"/>
  <c r="AT108" i="4"/>
  <c r="AL106" i="4"/>
  <c r="AK106" i="4"/>
  <c r="AJ106" i="4"/>
  <c r="BB102" i="4"/>
  <c r="BA102" i="4"/>
  <c r="AZ102" i="4"/>
  <c r="AQ101" i="4"/>
  <c r="AQ106" i="4" s="1"/>
  <c r="AP101" i="4"/>
  <c r="AP106" i="4" s="1"/>
  <c r="AO101" i="4"/>
  <c r="AO106" i="4" s="1"/>
  <c r="AN101" i="4"/>
  <c r="AM101" i="4"/>
  <c r="AI101" i="4"/>
  <c r="AI106" i="4" s="1"/>
  <c r="AH101" i="4"/>
  <c r="AH106" i="4" s="1"/>
  <c r="AG101" i="4"/>
  <c r="AG106" i="4" s="1"/>
  <c r="AF101" i="4"/>
  <c r="AF106" i="4" s="1"/>
  <c r="AE101" i="4"/>
  <c r="AE106" i="4" s="1"/>
  <c r="AD101" i="4"/>
  <c r="AC101" i="4"/>
  <c r="AC106" i="4" s="1"/>
  <c r="AB101" i="4"/>
  <c r="AB106" i="4" s="1"/>
  <c r="AA101" i="4"/>
  <c r="AA106" i="4" s="1"/>
  <c r="Z101" i="4"/>
  <c r="Z106" i="4" s="1"/>
  <c r="Y101" i="4"/>
  <c r="X101" i="4"/>
  <c r="X106" i="4" s="1"/>
  <c r="W101" i="4"/>
  <c r="V101" i="4"/>
  <c r="U101" i="4"/>
  <c r="T101" i="4"/>
  <c r="S101" i="4"/>
  <c r="R101" i="4"/>
  <c r="Q101" i="4"/>
  <c r="P101" i="4"/>
  <c r="O101" i="4"/>
  <c r="N101" i="4"/>
  <c r="M101" i="4"/>
  <c r="L101" i="4"/>
  <c r="K101" i="4"/>
  <c r="J101" i="4"/>
  <c r="I101" i="4"/>
  <c r="H101" i="4"/>
  <c r="BB92" i="4"/>
  <c r="BA92" i="4"/>
  <c r="AZ92" i="4"/>
  <c r="AY92" i="4"/>
  <c r="AX92" i="4"/>
  <c r="AW92" i="4"/>
  <c r="AV92" i="4"/>
  <c r="AU92" i="4"/>
  <c r="AT92" i="4"/>
  <c r="AQ90" i="4"/>
  <c r="AP90" i="4"/>
  <c r="AO90" i="4"/>
  <c r="AN90" i="4"/>
  <c r="AM90" i="4"/>
  <c r="AL90" i="4"/>
  <c r="AK90" i="4"/>
  <c r="AJ90" i="4"/>
  <c r="AI90" i="4"/>
  <c r="AH90" i="4"/>
  <c r="AG90" i="4"/>
  <c r="AF90" i="4"/>
  <c r="AE90" i="4"/>
  <c r="AD90" i="4"/>
  <c r="AC90" i="4"/>
  <c r="AB90" i="4"/>
  <c r="AA90" i="4"/>
  <c r="Z90" i="4"/>
  <c r="Y90" i="4"/>
  <c r="X90" i="4"/>
  <c r="W90" i="4"/>
  <c r="V90" i="4"/>
  <c r="U90" i="4"/>
  <c r="T90" i="4"/>
  <c r="S90" i="4"/>
  <c r="R90" i="4"/>
  <c r="Q90" i="4"/>
  <c r="P90" i="4"/>
  <c r="O90" i="4"/>
  <c r="N90" i="4"/>
  <c r="M90" i="4"/>
  <c r="L90" i="4"/>
  <c r="K90" i="4"/>
  <c r="J90" i="4"/>
  <c r="I90" i="4"/>
  <c r="H90" i="4"/>
  <c r="BB89" i="4"/>
  <c r="BA89" i="4"/>
  <c r="AZ89" i="4"/>
  <c r="AY89" i="4"/>
  <c r="AX89" i="4"/>
  <c r="AW89" i="4"/>
  <c r="AV89" i="4"/>
  <c r="AU89" i="4"/>
  <c r="AT89" i="4"/>
  <c r="BB88" i="4"/>
  <c r="BA88" i="4"/>
  <c r="AZ88" i="4"/>
  <c r="AY88" i="4"/>
  <c r="AX88" i="4"/>
  <c r="AW88" i="4"/>
  <c r="AV88" i="4"/>
  <c r="AU88" i="4"/>
  <c r="AT88" i="4"/>
  <c r="AQ86" i="4"/>
  <c r="AP86" i="4"/>
  <c r="AO86" i="4"/>
  <c r="AN86" i="4"/>
  <c r="AL86" i="4"/>
  <c r="AK86" i="4"/>
  <c r="AJ86" i="4"/>
  <c r="AI86" i="4"/>
  <c r="AH86" i="4"/>
  <c r="AG86" i="4"/>
  <c r="AF86" i="4"/>
  <c r="AE86" i="4"/>
  <c r="AD86" i="4"/>
  <c r="AC86" i="4"/>
  <c r="AB86" i="4"/>
  <c r="AA86" i="4"/>
  <c r="Z86" i="4"/>
  <c r="Y86" i="4"/>
  <c r="X86" i="4"/>
  <c r="W86" i="4"/>
  <c r="V86" i="4"/>
  <c r="U86" i="4"/>
  <c r="T86" i="4"/>
  <c r="S86" i="4"/>
  <c r="R86" i="4"/>
  <c r="Q86" i="4"/>
  <c r="P86" i="4"/>
  <c r="O86" i="4"/>
  <c r="N86" i="4"/>
  <c r="M86" i="4"/>
  <c r="L86" i="4"/>
  <c r="K86" i="4"/>
  <c r="J86" i="4"/>
  <c r="I86" i="4"/>
  <c r="H86" i="4"/>
  <c r="BB85" i="4"/>
  <c r="AZ85" i="4"/>
  <c r="AY85" i="4"/>
  <c r="AX85" i="4"/>
  <c r="AW85" i="4"/>
  <c r="AV85" i="4"/>
  <c r="AU85" i="4"/>
  <c r="AT85" i="4"/>
  <c r="AM85" i="4"/>
  <c r="AM85" i="5" s="1"/>
  <c r="BB84" i="4"/>
  <c r="AZ84" i="4"/>
  <c r="AY84" i="4"/>
  <c r="AX84" i="4"/>
  <c r="AW84" i="4"/>
  <c r="AV84" i="4"/>
  <c r="AU84" i="4"/>
  <c r="AT84" i="4"/>
  <c r="AM84" i="4"/>
  <c r="BA84" i="4" s="1"/>
  <c r="BB81" i="4"/>
  <c r="BA81" i="4"/>
  <c r="AZ81" i="4"/>
  <c r="AY81" i="4"/>
  <c r="AX81" i="4"/>
  <c r="AW81" i="4"/>
  <c r="AV81" i="4"/>
  <c r="AU81" i="4"/>
  <c r="AT81" i="4"/>
  <c r="BB80" i="4"/>
  <c r="BA80" i="4"/>
  <c r="AZ80" i="4"/>
  <c r="AY80" i="4"/>
  <c r="AX80" i="4"/>
  <c r="AW80" i="4"/>
  <c r="AV80" i="4"/>
  <c r="AU80" i="4"/>
  <c r="AT80" i="4"/>
  <c r="BB79" i="4"/>
  <c r="BA79" i="4"/>
  <c r="AZ79" i="4"/>
  <c r="AY79" i="4"/>
  <c r="AX79" i="4"/>
  <c r="AW79" i="4"/>
  <c r="AV79" i="4"/>
  <c r="AU79" i="4"/>
  <c r="AT79" i="4"/>
  <c r="BB78" i="4"/>
  <c r="BA78" i="4"/>
  <c r="AZ78" i="4"/>
  <c r="AY78" i="4"/>
  <c r="AX78" i="4"/>
  <c r="AW78" i="4"/>
  <c r="AV78" i="4"/>
  <c r="AU78" i="4"/>
  <c r="AT78" i="4"/>
  <c r="BB77" i="4"/>
  <c r="BA77" i="4"/>
  <c r="AZ77" i="4"/>
  <c r="AY77" i="4"/>
  <c r="AX77" i="4"/>
  <c r="AW77" i="4"/>
  <c r="AV77" i="4"/>
  <c r="AT77" i="4"/>
  <c r="O77" i="4"/>
  <c r="N77" i="4"/>
  <c r="BB76" i="4"/>
  <c r="BA76" i="4"/>
  <c r="AZ76" i="4"/>
  <c r="AY76" i="4"/>
  <c r="AX76" i="4"/>
  <c r="AW76" i="4"/>
  <c r="AV76" i="4"/>
  <c r="AT76" i="4"/>
  <c r="O76" i="4"/>
  <c r="O76" i="5" s="1"/>
  <c r="N76" i="4"/>
  <c r="BB75" i="4"/>
  <c r="BA75" i="4"/>
  <c r="AZ75" i="4"/>
  <c r="AY75" i="4"/>
  <c r="AX75" i="4"/>
  <c r="AW75" i="4"/>
  <c r="AV75" i="4"/>
  <c r="AU75" i="4"/>
  <c r="AT75" i="4"/>
  <c r="BB74" i="4"/>
  <c r="BA74" i="4"/>
  <c r="AZ74" i="4"/>
  <c r="AY74" i="4"/>
  <c r="AX74" i="4"/>
  <c r="AW74" i="4"/>
  <c r="AV74" i="4"/>
  <c r="AU74" i="4"/>
  <c r="AT74" i="4"/>
  <c r="BB73" i="4"/>
  <c r="BA73" i="4"/>
  <c r="AZ73" i="4"/>
  <c r="AW73" i="4"/>
  <c r="AV73" i="4"/>
  <c r="AU73" i="4"/>
  <c r="AT73" i="4"/>
  <c r="AC73" i="4"/>
  <c r="AC73" i="5" s="1"/>
  <c r="AB73" i="4"/>
  <c r="AB73" i="5" s="1"/>
  <c r="AA73" i="4"/>
  <c r="Z73" i="4"/>
  <c r="Y73" i="4"/>
  <c r="AQ72" i="4"/>
  <c r="AP72" i="4"/>
  <c r="AO72" i="4"/>
  <c r="AN72" i="4"/>
  <c r="AM72" i="4"/>
  <c r="AL72" i="4"/>
  <c r="AK72" i="4"/>
  <c r="AJ72" i="4"/>
  <c r="AI72" i="4"/>
  <c r="AH72" i="4"/>
  <c r="AG72" i="4"/>
  <c r="AF72" i="4"/>
  <c r="AE72" i="4"/>
  <c r="AD72" i="4"/>
  <c r="X72" i="4"/>
  <c r="W72" i="4"/>
  <c r="V72" i="4"/>
  <c r="U72" i="4"/>
  <c r="T72" i="4"/>
  <c r="S72" i="4"/>
  <c r="R72" i="4"/>
  <c r="Q72" i="4"/>
  <c r="P72" i="4"/>
  <c r="M72" i="4"/>
  <c r="L72" i="4"/>
  <c r="K72" i="4"/>
  <c r="J72" i="4"/>
  <c r="I72" i="4"/>
  <c r="H72" i="4"/>
  <c r="BB71" i="4"/>
  <c r="BA71" i="4"/>
  <c r="AZ71" i="4"/>
  <c r="AY71" i="4"/>
  <c r="AX71" i="4"/>
  <c r="AW71" i="4"/>
  <c r="AV71" i="4"/>
  <c r="AU71" i="4"/>
  <c r="AT71" i="4"/>
  <c r="BB70" i="4"/>
  <c r="BA70" i="4"/>
  <c r="AZ70" i="4"/>
  <c r="AY70" i="4"/>
  <c r="AX70" i="4"/>
  <c r="AW70" i="4"/>
  <c r="AV70" i="4"/>
  <c r="AU70" i="4"/>
  <c r="AT70" i="4"/>
  <c r="BB69" i="4"/>
  <c r="BA69" i="4"/>
  <c r="AZ69" i="4"/>
  <c r="AY69" i="4"/>
  <c r="AX69" i="4"/>
  <c r="AW69" i="4"/>
  <c r="AV69" i="4"/>
  <c r="AU69" i="4"/>
  <c r="AT69" i="4"/>
  <c r="BB68" i="4"/>
  <c r="BA68" i="4"/>
  <c r="AZ68" i="4"/>
  <c r="AY68" i="4"/>
  <c r="AX68" i="4"/>
  <c r="AW68" i="4"/>
  <c r="AV68" i="4"/>
  <c r="AU68" i="4"/>
  <c r="AT68" i="4"/>
  <c r="BB67" i="4"/>
  <c r="BA67" i="4"/>
  <c r="AZ67" i="4"/>
  <c r="AY67" i="4"/>
  <c r="AX67" i="4"/>
  <c r="AW67" i="4"/>
  <c r="AV67" i="4"/>
  <c r="AU67" i="4"/>
  <c r="AT67" i="4"/>
  <c r="AQ66" i="4"/>
  <c r="AP66" i="4"/>
  <c r="AO66" i="4"/>
  <c r="AN66" i="4"/>
  <c r="AM66" i="4"/>
  <c r="AM82" i="4" s="1"/>
  <c r="AL66" i="4"/>
  <c r="AK66" i="4"/>
  <c r="AJ66" i="4"/>
  <c r="AI66" i="4"/>
  <c r="AH66" i="4"/>
  <c r="AG66" i="4"/>
  <c r="AF66" i="4"/>
  <c r="AF82" i="4" s="1"/>
  <c r="AE66" i="4"/>
  <c r="AD66" i="4"/>
  <c r="AC66" i="4"/>
  <c r="AB66" i="4"/>
  <c r="AA66" i="4"/>
  <c r="Z66" i="4"/>
  <c r="Y66" i="4"/>
  <c r="X66" i="4"/>
  <c r="W66" i="4"/>
  <c r="V66" i="4"/>
  <c r="U66" i="4"/>
  <c r="T66" i="4"/>
  <c r="S66" i="4"/>
  <c r="R66" i="4"/>
  <c r="Q66" i="4"/>
  <c r="P66" i="4"/>
  <c r="O66" i="4"/>
  <c r="N66" i="4"/>
  <c r="M66" i="4"/>
  <c r="L66" i="4"/>
  <c r="K66" i="4"/>
  <c r="J66" i="4"/>
  <c r="I66" i="4"/>
  <c r="H66"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BB62" i="4"/>
  <c r="BA62" i="4"/>
  <c r="AZ62" i="4"/>
  <c r="AY62" i="4"/>
  <c r="AX62" i="4"/>
  <c r="AW62" i="4"/>
  <c r="AV62" i="4"/>
  <c r="AU62" i="4"/>
  <c r="AT62" i="4"/>
  <c r="BB61" i="4"/>
  <c r="BA61" i="4"/>
  <c r="AZ61" i="4"/>
  <c r="AY61" i="4"/>
  <c r="AX61" i="4"/>
  <c r="AW61" i="4"/>
  <c r="AV61" i="4"/>
  <c r="AU61" i="4"/>
  <c r="AT61" i="4"/>
  <c r="BB60" i="4"/>
  <c r="BA60" i="4"/>
  <c r="AZ60" i="4"/>
  <c r="AY60" i="4"/>
  <c r="AX60" i="4"/>
  <c r="AW60" i="4"/>
  <c r="AV60" i="4"/>
  <c r="AU60" i="4"/>
  <c r="AT60" i="4"/>
  <c r="BB59" i="4"/>
  <c r="BA59" i="4"/>
  <c r="AZ59" i="4"/>
  <c r="AY59" i="4"/>
  <c r="AX59" i="4"/>
  <c r="AW59" i="4"/>
  <c r="AV59" i="4"/>
  <c r="AU59" i="4"/>
  <c r="AT59" i="4"/>
  <c r="BB58" i="4"/>
  <c r="BA58" i="4"/>
  <c r="AZ58" i="4"/>
  <c r="AY58" i="4"/>
  <c r="AX58" i="4"/>
  <c r="AW58" i="4"/>
  <c r="AV58" i="4"/>
  <c r="AU58" i="4"/>
  <c r="AT58" i="4"/>
  <c r="AQ57" i="4"/>
  <c r="AP57" i="4"/>
  <c r="AO57" i="4"/>
  <c r="AO64" i="4" s="1"/>
  <c r="AN57" i="4"/>
  <c r="AM57" i="4"/>
  <c r="AL57" i="4"/>
  <c r="AK57" i="4"/>
  <c r="AJ57" i="4"/>
  <c r="AI57" i="4"/>
  <c r="AH57" i="4"/>
  <c r="AG57" i="4"/>
  <c r="AG64" i="4" s="1"/>
  <c r="AE57" i="4"/>
  <c r="AE64" i="4" s="1"/>
  <c r="AD57" i="4"/>
  <c r="AD64" i="4" s="1"/>
  <c r="AC57" i="4"/>
  <c r="AB57" i="4"/>
  <c r="AA57" i="4"/>
  <c r="Z57" i="4"/>
  <c r="Z64" i="4" s="1"/>
  <c r="Z65" i="4" s="1"/>
  <c r="Y57" i="4"/>
  <c r="Y64" i="4" s="1"/>
  <c r="X57" i="4"/>
  <c r="X64" i="4" s="1"/>
  <c r="W57" i="4"/>
  <c r="W64" i="4" s="1"/>
  <c r="W65" i="4" s="1"/>
  <c r="V57" i="4"/>
  <c r="V64" i="4" s="1"/>
  <c r="V65" i="4" s="1"/>
  <c r="U57" i="4"/>
  <c r="T57" i="4"/>
  <c r="S57" i="4"/>
  <c r="R57" i="4"/>
  <c r="Q57" i="4"/>
  <c r="Q64" i="4" s="1"/>
  <c r="P57" i="4"/>
  <c r="P64" i="4" s="1"/>
  <c r="O57" i="4"/>
  <c r="O64" i="4" s="1"/>
  <c r="N57" i="4"/>
  <c r="N64" i="4" s="1"/>
  <c r="N65" i="4" s="1"/>
  <c r="M57" i="4"/>
  <c r="L57" i="4"/>
  <c r="K57" i="4"/>
  <c r="J57" i="4"/>
  <c r="J64" i="4" s="1"/>
  <c r="J65" i="4" s="1"/>
  <c r="I57" i="4"/>
  <c r="I64" i="4" s="1"/>
  <c r="H57" i="4"/>
  <c r="H64" i="4" s="1"/>
  <c r="BB56" i="4"/>
  <c r="BA56" i="4"/>
  <c r="AY56" i="4"/>
  <c r="AX56" i="4"/>
  <c r="AW56" i="4"/>
  <c r="AV56" i="4"/>
  <c r="AU56" i="4"/>
  <c r="AT56" i="4"/>
  <c r="AF56" i="4"/>
  <c r="AF56" i="5" s="1"/>
  <c r="BB55" i="4"/>
  <c r="BA55" i="4"/>
  <c r="AZ55" i="4"/>
  <c r="AY55" i="4"/>
  <c r="AX55" i="4"/>
  <c r="AW55" i="4"/>
  <c r="AV55" i="4"/>
  <c r="AU55" i="4"/>
  <c r="AT55" i="4"/>
  <c r="BB54" i="4"/>
  <c r="BA54" i="4"/>
  <c r="AZ54" i="4"/>
  <c r="AY54" i="4"/>
  <c r="AX54" i="4"/>
  <c r="AW54" i="4"/>
  <c r="AV54" i="4"/>
  <c r="AU54" i="4"/>
  <c r="AT54" i="4"/>
  <c r="AQ43" i="4"/>
  <c r="AQ50" i="4" s="1"/>
  <c r="AP43" i="4"/>
  <c r="AP50" i="4" s="1"/>
  <c r="AO43" i="4"/>
  <c r="AO50" i="4" s="1"/>
  <c r="AN43" i="4"/>
  <c r="AN50" i="4" s="1"/>
  <c r="AM43" i="4"/>
  <c r="AM50" i="4" s="1"/>
  <c r="AL43" i="4"/>
  <c r="AL50" i="4" s="1"/>
  <c r="AK43" i="4"/>
  <c r="AK50" i="4" s="1"/>
  <c r="AJ43" i="4"/>
  <c r="AJ50" i="4" s="1"/>
  <c r="AI43" i="4"/>
  <c r="AI50" i="4" s="1"/>
  <c r="AH43" i="4"/>
  <c r="AH50" i="4" s="1"/>
  <c r="AG43" i="4"/>
  <c r="AG50" i="4" s="1"/>
  <c r="AF43" i="4"/>
  <c r="AF50" i="4" s="1"/>
  <c r="AE39" i="4"/>
  <c r="AD39" i="4"/>
  <c r="AC39" i="4"/>
  <c r="AB39" i="4"/>
  <c r="AA39" i="4"/>
  <c r="Z39" i="4"/>
  <c r="Y39" i="4"/>
  <c r="X39" i="4"/>
  <c r="W39" i="4"/>
  <c r="V39" i="4"/>
  <c r="U39" i="4"/>
  <c r="T39" i="4"/>
  <c r="S39" i="4"/>
  <c r="R39" i="4"/>
  <c r="Q39" i="4"/>
  <c r="P39" i="4"/>
  <c r="O39" i="4"/>
  <c r="N39" i="4"/>
  <c r="M39" i="4"/>
  <c r="L39" i="4"/>
  <c r="K39" i="4"/>
  <c r="AE38" i="4"/>
  <c r="AD38" i="4"/>
  <c r="AC38" i="4"/>
  <c r="AB38" i="4"/>
  <c r="AA38" i="4"/>
  <c r="Z38" i="4"/>
  <c r="Y38" i="4"/>
  <c r="X38" i="4"/>
  <c r="W38" i="4"/>
  <c r="V38" i="4"/>
  <c r="U38" i="4"/>
  <c r="T38" i="4"/>
  <c r="S38" i="4"/>
  <c r="R38" i="4"/>
  <c r="Q38" i="4"/>
  <c r="P38" i="4"/>
  <c r="O38" i="4"/>
  <c r="N38" i="4"/>
  <c r="M38" i="4"/>
  <c r="L38" i="4"/>
  <c r="K38" i="4"/>
  <c r="AE34" i="4"/>
  <c r="AD34" i="4"/>
  <c r="AC34" i="4"/>
  <c r="AB34" i="4"/>
  <c r="AA34" i="4"/>
  <c r="Z34" i="4"/>
  <c r="Y34" i="4"/>
  <c r="X34" i="4"/>
  <c r="W34" i="4"/>
  <c r="V34" i="4"/>
  <c r="U34" i="4"/>
  <c r="T34" i="4"/>
  <c r="S34" i="4"/>
  <c r="R34" i="4"/>
  <c r="Q34" i="4"/>
  <c r="P34" i="4"/>
  <c r="O34" i="4"/>
  <c r="N34" i="4"/>
  <c r="M34" i="4"/>
  <c r="L34" i="4"/>
  <c r="K34" i="4"/>
  <c r="AE33" i="4"/>
  <c r="AD33" i="4"/>
  <c r="AC33" i="4"/>
  <c r="AB33" i="4"/>
  <c r="AA33" i="4"/>
  <c r="Z33" i="4"/>
  <c r="Y33" i="4"/>
  <c r="X33" i="4"/>
  <c r="W33" i="4"/>
  <c r="V33" i="4"/>
  <c r="U33" i="4"/>
  <c r="T33" i="4"/>
  <c r="S33" i="4"/>
  <c r="R33" i="4"/>
  <c r="Q33" i="4"/>
  <c r="P33" i="4"/>
  <c r="O33" i="4"/>
  <c r="N33" i="4"/>
  <c r="M33" i="4"/>
  <c r="L33" i="4"/>
  <c r="K33"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H21"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H9" i="4"/>
  <c r="Z284" i="4" l="1"/>
  <c r="AH284" i="4"/>
  <c r="AR82" i="5"/>
  <c r="AR116" i="5"/>
  <c r="AT86" i="4"/>
  <c r="AX90" i="4"/>
  <c r="AR141" i="5"/>
  <c r="H82" i="4"/>
  <c r="M284" i="4"/>
  <c r="AM284" i="4"/>
  <c r="J11" i="9"/>
  <c r="AD11" i="9" s="1"/>
  <c r="AV86" i="4"/>
  <c r="AM230" i="4"/>
  <c r="AM230" i="5" s="1"/>
  <c r="P284" i="4"/>
  <c r="AF284" i="4"/>
  <c r="AR64" i="5"/>
  <c r="AR65" i="5" s="1"/>
  <c r="M11" i="9"/>
  <c r="AG11" i="9" s="1"/>
  <c r="P14" i="9"/>
  <c r="AJ14" i="9" s="1"/>
  <c r="AR65" i="4"/>
  <c r="P82" i="4"/>
  <c r="X82" i="4"/>
  <c r="AB72" i="4"/>
  <c r="AB82" i="4" s="1"/>
  <c r="BA90" i="4"/>
  <c r="AB284" i="4"/>
  <c r="O272" i="5"/>
  <c r="W272" i="5"/>
  <c r="AE272" i="5"/>
  <c r="M285" i="5"/>
  <c r="AU57" i="4"/>
  <c r="AM64" i="4"/>
  <c r="AW63" i="4"/>
  <c r="I82" i="4"/>
  <c r="I83" i="4" s="1"/>
  <c r="AM116" i="4"/>
  <c r="O90" i="5"/>
  <c r="W90" i="5"/>
  <c r="AE90" i="5"/>
  <c r="AM90" i="5"/>
  <c r="H272" i="5"/>
  <c r="P272" i="5"/>
  <c r="AF272" i="5"/>
  <c r="AM255" i="4"/>
  <c r="AM255" i="5" s="1"/>
  <c r="BA255" i="5" s="1"/>
  <c r="N283" i="5"/>
  <c r="BB57" i="4"/>
  <c r="S82" i="4"/>
  <c r="AM263" i="4"/>
  <c r="AM263" i="5" s="1"/>
  <c r="AV57" i="4"/>
  <c r="AH64" i="4"/>
  <c r="AH65" i="4" s="1"/>
  <c r="AV90" i="4"/>
  <c r="N142" i="4"/>
  <c r="Q284" i="4"/>
  <c r="AC33" i="5"/>
  <c r="AB38" i="5"/>
  <c r="AR98" i="4"/>
  <c r="AR87" i="4"/>
  <c r="AR91" i="4" s="1"/>
  <c r="AR93" i="4" s="1"/>
  <c r="AG15" i="9"/>
  <c r="S14" i="9"/>
  <c r="AM14" i="9" s="1"/>
  <c r="N15" i="9"/>
  <c r="R15" i="9"/>
  <c r="AL15" i="9" s="1"/>
  <c r="O15" i="9"/>
  <c r="AI15" i="9" s="1"/>
  <c r="AC33" i="9"/>
  <c r="H11" i="9"/>
  <c r="AB11" i="9" s="1"/>
  <c r="O16" i="9"/>
  <c r="AI16" i="9" s="1"/>
  <c r="AG32" i="9"/>
  <c r="AD33" i="9"/>
  <c r="AM15" i="9"/>
  <c r="S32" i="9"/>
  <c r="AE33" i="9"/>
  <c r="AC14" i="9"/>
  <c r="AD106" i="5"/>
  <c r="V66" i="5"/>
  <c r="AD66" i="5"/>
  <c r="AY57" i="4"/>
  <c r="AB141" i="4"/>
  <c r="BA155" i="4"/>
  <c r="AA141" i="4"/>
  <c r="AY272" i="4"/>
  <c r="AV283" i="4"/>
  <c r="AD284" i="4"/>
  <c r="AL284" i="4"/>
  <c r="M272" i="5"/>
  <c r="U272" i="5"/>
  <c r="AC272" i="5"/>
  <c r="R82" i="4"/>
  <c r="AZ272" i="4"/>
  <c r="S86" i="5"/>
  <c r="BA208" i="4"/>
  <c r="AU90" i="4"/>
  <c r="AY285" i="4"/>
  <c r="AV79" i="5"/>
  <c r="T86" i="5"/>
  <c r="AM217" i="4"/>
  <c r="AM217" i="5" s="1"/>
  <c r="BA217" i="5" s="1"/>
  <c r="AO272" i="5"/>
  <c r="AP64" i="4"/>
  <c r="AA284" i="4"/>
  <c r="AM204" i="4"/>
  <c r="AM204" i="5" s="1"/>
  <c r="BA204" i="5" s="1"/>
  <c r="O116" i="4"/>
  <c r="W116" i="4"/>
  <c r="AE116" i="4"/>
  <c r="BA262" i="5"/>
  <c r="AM214" i="4"/>
  <c r="AD82" i="4"/>
  <c r="AD83" i="4" s="1"/>
  <c r="AL82" i="4"/>
  <c r="AV183" i="4"/>
  <c r="J86" i="5"/>
  <c r="R86" i="5"/>
  <c r="Z86" i="5"/>
  <c r="AH86" i="5"/>
  <c r="AQ86" i="5"/>
  <c r="AU220" i="5"/>
  <c r="G42" i="9"/>
  <c r="AA42" i="9" s="1"/>
  <c r="AA41" i="9"/>
  <c r="Q16" i="9"/>
  <c r="AK16" i="9" s="1"/>
  <c r="Z34" i="9"/>
  <c r="AC37" i="9"/>
  <c r="I41" i="9"/>
  <c r="AC41" i="9" s="1"/>
  <c r="BA176" i="4"/>
  <c r="BA167" i="4" s="1"/>
  <c r="AM167" i="4"/>
  <c r="AM141" i="4" s="1"/>
  <c r="AM261" i="4"/>
  <c r="S9" i="5"/>
  <c r="AV59" i="5"/>
  <c r="V129" i="5"/>
  <c r="M129" i="5"/>
  <c r="O11" i="9"/>
  <c r="AI11" i="9" s="1"/>
  <c r="Z37" i="9"/>
  <c r="Z41" i="9"/>
  <c r="O18" i="9"/>
  <c r="AI18" i="9" s="1"/>
  <c r="AI21" i="9"/>
  <c r="P24" i="9"/>
  <c r="AJ24" i="9" s="1"/>
  <c r="AJ31" i="9"/>
  <c r="AU142" i="4"/>
  <c r="AT92" i="5"/>
  <c r="AV230" i="5"/>
  <c r="BB269" i="5"/>
  <c r="Q283" i="5"/>
  <c r="AG285" i="5"/>
  <c r="N16" i="9"/>
  <c r="AH16" i="9" s="1"/>
  <c r="AH15" i="9"/>
  <c r="R18" i="9"/>
  <c r="AL18" i="9" s="1"/>
  <c r="N18" i="9"/>
  <c r="AH18" i="9" s="1"/>
  <c r="AH22" i="9"/>
  <c r="AF32" i="9"/>
  <c r="R32" i="9"/>
  <c r="L24" i="9"/>
  <c r="AF24" i="9" s="1"/>
  <c r="B34" i="9"/>
  <c r="AA37" i="9"/>
  <c r="K141" i="4"/>
  <c r="K178" i="4" s="1"/>
  <c r="AK167" i="4"/>
  <c r="AK141" i="4" s="1"/>
  <c r="AL219" i="5"/>
  <c r="AM219" i="4"/>
  <c r="AM219" i="5" s="1"/>
  <c r="Q14" i="9"/>
  <c r="AK14" i="9" s="1"/>
  <c r="K11" i="9"/>
  <c r="AE11" i="9" s="1"/>
  <c r="S18" i="9"/>
  <c r="AM18" i="9" s="1"/>
  <c r="C34" i="9"/>
  <c r="AM106" i="4"/>
  <c r="BA106" i="4" s="1"/>
  <c r="BA101" i="4"/>
  <c r="AL240" i="5"/>
  <c r="AL239" i="4"/>
  <c r="R14" i="9"/>
  <c r="L11" i="9"/>
  <c r="AF11" i="9" s="1"/>
  <c r="AF14" i="9"/>
  <c r="AM202" i="4"/>
  <c r="AM202" i="5" s="1"/>
  <c r="BA202" i="5" s="1"/>
  <c r="P18" i="9"/>
  <c r="AJ18" i="9" s="1"/>
  <c r="AJ21" i="9"/>
  <c r="AV66" i="4"/>
  <c r="AL64" i="4"/>
  <c r="AL83" i="4" s="1"/>
  <c r="AL87" i="4" s="1"/>
  <c r="AL91" i="4" s="1"/>
  <c r="AL93" i="4" s="1"/>
  <c r="AL94" i="4" s="1"/>
  <c r="AV63" i="4"/>
  <c r="AV64" i="4" s="1"/>
  <c r="AV65" i="4" s="1"/>
  <c r="AX73" i="4"/>
  <c r="AX72" i="4" s="1"/>
  <c r="AU86" i="4"/>
  <c r="AY90" i="4"/>
  <c r="AM226" i="4"/>
  <c r="AM226" i="5" s="1"/>
  <c r="BA226" i="5" s="1"/>
  <c r="AM232" i="4"/>
  <c r="AM232" i="5" s="1"/>
  <c r="BA232" i="5" s="1"/>
  <c r="AL249" i="5"/>
  <c r="BA249" i="5" s="1"/>
  <c r="AM249" i="4"/>
  <c r="AM249" i="5" s="1"/>
  <c r="AM13" i="9"/>
  <c r="Q24" i="9"/>
  <c r="O24" i="9"/>
  <c r="AI24" i="9" s="1"/>
  <c r="AI31" i="9"/>
  <c r="H41" i="9"/>
  <c r="AB41" i="9" s="1"/>
  <c r="Q82" i="4"/>
  <c r="Q83" i="4" s="1"/>
  <c r="AY66" i="4"/>
  <c r="AZ90" i="4"/>
  <c r="AL141" i="4"/>
  <c r="AW218" i="4"/>
  <c r="Y284" i="4"/>
  <c r="AG284" i="4"/>
  <c r="AT73" i="5"/>
  <c r="AV73" i="5"/>
  <c r="AY77" i="5"/>
  <c r="AY213" i="5"/>
  <c r="AY219" i="5"/>
  <c r="AX224" i="5"/>
  <c r="H227" i="5"/>
  <c r="P227" i="5"/>
  <c r="I272" i="5"/>
  <c r="Y272" i="5"/>
  <c r="AQ272" i="5"/>
  <c r="AU244" i="5"/>
  <c r="AY244" i="5"/>
  <c r="BA244" i="5"/>
  <c r="AV245" i="5"/>
  <c r="AC285" i="5"/>
  <c r="N14" i="9"/>
  <c r="P15" i="9"/>
  <c r="N33" i="9"/>
  <c r="D34" i="9"/>
  <c r="J41" i="9"/>
  <c r="AD41" i="9" s="1"/>
  <c r="AX57" i="4"/>
  <c r="J82" i="4"/>
  <c r="J83" i="4" s="1"/>
  <c r="AX86" i="4"/>
  <c r="AT90" i="4"/>
  <c r="M116" i="4"/>
  <c r="U116" i="4"/>
  <c r="AC116" i="4"/>
  <c r="AK116" i="4"/>
  <c r="O141" i="4"/>
  <c r="O178" i="4" s="1"/>
  <c r="W141" i="4"/>
  <c r="AL218" i="4"/>
  <c r="AZ283" i="4"/>
  <c r="AZ285" i="4"/>
  <c r="AN43" i="5"/>
  <c r="T57" i="5"/>
  <c r="AV76" i="5"/>
  <c r="AU194" i="5"/>
  <c r="AY194" i="5"/>
  <c r="J272" i="5"/>
  <c r="R272" i="5"/>
  <c r="Z272" i="5"/>
  <c r="I11" i="9"/>
  <c r="AC11" i="9" s="1"/>
  <c r="E34" i="9"/>
  <c r="K41" i="9"/>
  <c r="AE41" i="9" s="1"/>
  <c r="N116" i="4"/>
  <c r="V116" i="4"/>
  <c r="AD116" i="4"/>
  <c r="AL116" i="4"/>
  <c r="AN141" i="4"/>
  <c r="AT176" i="4"/>
  <c r="AT167" i="4" s="1"/>
  <c r="AI284" i="4"/>
  <c r="P34" i="5"/>
  <c r="X34" i="5"/>
  <c r="V39" i="5"/>
  <c r="AT201" i="5"/>
  <c r="AV201" i="5"/>
  <c r="AX201" i="5"/>
  <c r="AZ205" i="5"/>
  <c r="BB205" i="5"/>
  <c r="AV215" i="5"/>
  <c r="AX215" i="5"/>
  <c r="AZ215" i="5"/>
  <c r="K272" i="5"/>
  <c r="S272" i="5"/>
  <c r="AA272" i="5"/>
  <c r="V283" i="5"/>
  <c r="AD283" i="5"/>
  <c r="AL283" i="5"/>
  <c r="L41" i="9"/>
  <c r="AF41" i="9" s="1"/>
  <c r="R64" i="4"/>
  <c r="R65" i="4" s="1"/>
  <c r="AT63" i="4"/>
  <c r="AY63" i="4"/>
  <c r="BB63" i="4"/>
  <c r="T82" i="4"/>
  <c r="K82" i="4"/>
  <c r="AX227" i="4"/>
  <c r="L86" i="5"/>
  <c r="AU192" i="5"/>
  <c r="BB194" i="5"/>
  <c r="AU63" i="4"/>
  <c r="L64" i="4"/>
  <c r="T64" i="4"/>
  <c r="T83" i="4" s="1"/>
  <c r="T98" i="4" s="1"/>
  <c r="T99" i="4" s="1"/>
  <c r="AB64" i="4"/>
  <c r="AB65" i="4" s="1"/>
  <c r="AJ64" i="4"/>
  <c r="AJ65" i="4" s="1"/>
  <c r="AU66" i="4"/>
  <c r="AT66" i="4"/>
  <c r="AZ66" i="4"/>
  <c r="V82" i="4"/>
  <c r="V83" i="4" s="1"/>
  <c r="N72" i="4"/>
  <c r="N82" i="4" s="1"/>
  <c r="N83" i="4" s="1"/>
  <c r="AW90" i="4"/>
  <c r="I116" i="4"/>
  <c r="Q116" i="4"/>
  <c r="Y116" i="4"/>
  <c r="AG116" i="4"/>
  <c r="AO116" i="4"/>
  <c r="AJ141" i="4"/>
  <c r="AM200" i="4"/>
  <c r="AM200" i="5" s="1"/>
  <c r="AV252" i="4"/>
  <c r="AV270" i="4" s="1"/>
  <c r="AT252" i="4"/>
  <c r="AT270" i="4" s="1"/>
  <c r="AU280" i="4"/>
  <c r="AU283" i="4" s="1"/>
  <c r="AC284" i="4"/>
  <c r="AK284" i="4"/>
  <c r="Z9" i="5"/>
  <c r="Q34" i="5"/>
  <c r="Y34" i="5"/>
  <c r="O38" i="5"/>
  <c r="W39" i="5"/>
  <c r="AE38" i="5"/>
  <c r="AZ74" i="5"/>
  <c r="AV75" i="5"/>
  <c r="AX75" i="5"/>
  <c r="AD129" i="5"/>
  <c r="BB230" i="5"/>
  <c r="AH272" i="5"/>
  <c r="AV263" i="5"/>
  <c r="AZ263" i="5"/>
  <c r="X38" i="5"/>
  <c r="Z106" i="5"/>
  <c r="AH106" i="5"/>
  <c r="T272" i="5"/>
  <c r="AB272" i="5"/>
  <c r="AV246" i="5"/>
  <c r="AY247" i="5"/>
  <c r="AZ257" i="5"/>
  <c r="BB261" i="5"/>
  <c r="AY265" i="5"/>
  <c r="L34" i="5"/>
  <c r="T33" i="5"/>
  <c r="AB33" i="5"/>
  <c r="AF43" i="5"/>
  <c r="AF50" i="5" s="1"/>
  <c r="P57" i="5"/>
  <c r="L57" i="5"/>
  <c r="J72" i="5"/>
  <c r="AV92" i="5"/>
  <c r="BB92" i="5"/>
  <c r="AW106" i="5"/>
  <c r="AW228" i="5"/>
  <c r="K239" i="5"/>
  <c r="K251" i="5" s="1"/>
  <c r="S239" i="5"/>
  <c r="S251" i="5" s="1"/>
  <c r="AA239" i="5"/>
  <c r="AA251" i="5" s="1"/>
  <c r="AI239" i="5"/>
  <c r="AI251" i="5" s="1"/>
  <c r="P283" i="5"/>
  <c r="AG43" i="5"/>
  <c r="AO43" i="5"/>
  <c r="AO50" i="5" s="1"/>
  <c r="AK43" i="5"/>
  <c r="AK50" i="5" s="1"/>
  <c r="I57" i="5"/>
  <c r="Y57" i="5"/>
  <c r="AG57" i="5"/>
  <c r="M63" i="5"/>
  <c r="W66" i="5"/>
  <c r="AB90" i="5"/>
  <c r="AJ90" i="5"/>
  <c r="AE142" i="5"/>
  <c r="AT198" i="5"/>
  <c r="N272" i="5"/>
  <c r="V272" i="5"/>
  <c r="AD272" i="5"/>
  <c r="BB265" i="5"/>
  <c r="AV267" i="5"/>
  <c r="Q285" i="5"/>
  <c r="Y285" i="5"/>
  <c r="AL285" i="5"/>
  <c r="R9" i="5"/>
  <c r="AH43" i="5"/>
  <c r="AH50" i="5" s="1"/>
  <c r="AP43" i="5"/>
  <c r="AP50" i="5" s="1"/>
  <c r="AL43" i="5"/>
  <c r="AL50" i="5" s="1"/>
  <c r="N63" i="5"/>
  <c r="V63" i="5"/>
  <c r="AL63" i="5"/>
  <c r="BB73" i="5"/>
  <c r="M90" i="5"/>
  <c r="U90" i="5"/>
  <c r="AC90" i="5"/>
  <c r="Q90" i="5"/>
  <c r="AO90" i="5"/>
  <c r="AT106" i="5"/>
  <c r="AV106" i="5"/>
  <c r="AW184" i="5"/>
  <c r="BB197" i="5"/>
  <c r="BA222" i="5"/>
  <c r="AT223" i="5"/>
  <c r="AV223" i="5"/>
  <c r="AX223" i="5"/>
  <c r="AX226" i="5"/>
  <c r="BB226" i="5"/>
  <c r="AT262" i="5"/>
  <c r="AI9" i="5"/>
  <c r="N90" i="5"/>
  <c r="V90" i="5"/>
  <c r="AD90" i="5"/>
  <c r="AL90" i="5"/>
  <c r="J90" i="5"/>
  <c r="Y218" i="5"/>
  <c r="BB247" i="5"/>
  <c r="AW248" i="5"/>
  <c r="AU254" i="5"/>
  <c r="AW254" i="5"/>
  <c r="AY261" i="5"/>
  <c r="AU106" i="5"/>
  <c r="AZ59" i="5"/>
  <c r="Y106" i="5"/>
  <c r="AG106" i="5"/>
  <c r="AY85" i="5"/>
  <c r="AT108" i="5"/>
  <c r="AV108" i="5"/>
  <c r="AX108" i="5"/>
  <c r="AZ108" i="5"/>
  <c r="BB108" i="5"/>
  <c r="BB195" i="5"/>
  <c r="AU196" i="5"/>
  <c r="AW196" i="5"/>
  <c r="AX197" i="5"/>
  <c r="BB214" i="5"/>
  <c r="AT234" i="5"/>
  <c r="AZ234" i="5"/>
  <c r="AN272" i="5"/>
  <c r="AU249" i="5"/>
  <c r="BB268" i="5"/>
  <c r="U283" i="5"/>
  <c r="AC283" i="5"/>
  <c r="AK283" i="5"/>
  <c r="AM66" i="5"/>
  <c r="U129" i="5"/>
  <c r="K33" i="5"/>
  <c r="S33" i="5"/>
  <c r="AA33" i="5"/>
  <c r="R34" i="5"/>
  <c r="Z34" i="5"/>
  <c r="O39" i="5"/>
  <c r="AJ43" i="5"/>
  <c r="AJ50" i="5" s="1"/>
  <c r="AW54" i="5"/>
  <c r="AU61" i="5"/>
  <c r="Q72" i="5"/>
  <c r="AP86" i="5"/>
  <c r="AU89" i="5"/>
  <c r="AV212" i="5"/>
  <c r="AZ217" i="5"/>
  <c r="I227" i="5"/>
  <c r="Q227" i="5"/>
  <c r="AZ228" i="5"/>
  <c r="O227" i="5"/>
  <c r="AP272" i="5"/>
  <c r="AZ242" i="5"/>
  <c r="AZ255" i="5"/>
  <c r="AU257" i="5"/>
  <c r="AW257" i="5"/>
  <c r="AY257" i="5"/>
  <c r="BA257" i="5"/>
  <c r="AT258" i="5"/>
  <c r="AV258" i="5"/>
  <c r="BB262" i="5"/>
  <c r="AT266" i="5"/>
  <c r="BB266" i="5"/>
  <c r="M283" i="5"/>
  <c r="M284" i="5" s="1"/>
  <c r="AW283" i="5"/>
  <c r="AM283" i="5"/>
  <c r="AE66" i="5"/>
  <c r="AC129" i="5"/>
  <c r="AX261" i="5"/>
  <c r="H9" i="5"/>
  <c r="P9" i="5"/>
  <c r="X9" i="5"/>
  <c r="AH9" i="5"/>
  <c r="AP9" i="5"/>
  <c r="N9" i="5"/>
  <c r="V9" i="5"/>
  <c r="AD9" i="5"/>
  <c r="AN9" i="5"/>
  <c r="T34" i="5"/>
  <c r="N39" i="5"/>
  <c r="AD39" i="5"/>
  <c r="W38" i="5"/>
  <c r="AU56" i="5"/>
  <c r="AY56" i="5"/>
  <c r="AV62" i="5"/>
  <c r="AZ62" i="5"/>
  <c r="BA75" i="5"/>
  <c r="AG90" i="5"/>
  <c r="AZ102" i="5"/>
  <c r="AW192" i="5"/>
  <c r="AY192" i="5"/>
  <c r="BA192" i="5"/>
  <c r="AT193" i="5"/>
  <c r="AV193" i="5"/>
  <c r="AX193" i="5"/>
  <c r="AZ193" i="5"/>
  <c r="AT200" i="5"/>
  <c r="AZ201" i="5"/>
  <c r="AT214" i="5"/>
  <c r="N227" i="5"/>
  <c r="AD227" i="5"/>
  <c r="Y239" i="5"/>
  <c r="Y251" i="5" s="1"/>
  <c r="BB250" i="5"/>
  <c r="AJ252" i="5"/>
  <c r="AJ270" i="5" s="1"/>
  <c r="AZ264" i="5"/>
  <c r="W283" i="5"/>
  <c r="S285" i="5"/>
  <c r="AI285" i="5"/>
  <c r="T227" i="5"/>
  <c r="M9" i="5"/>
  <c r="U9" i="5"/>
  <c r="AC9" i="5"/>
  <c r="AM9" i="5"/>
  <c r="Q33" i="5"/>
  <c r="AV55" i="5"/>
  <c r="AZ55" i="5"/>
  <c r="Z63" i="5"/>
  <c r="AH63" i="5"/>
  <c r="AH72" i="5"/>
  <c r="AP72" i="5"/>
  <c r="AX77" i="5"/>
  <c r="AU78" i="5"/>
  <c r="AW78" i="5"/>
  <c r="AY78" i="5"/>
  <c r="BA78" i="5"/>
  <c r="K86" i="5"/>
  <c r="AA86" i="5"/>
  <c r="AI86" i="5"/>
  <c r="AB106" i="5"/>
  <c r="BA102" i="5"/>
  <c r="BB188" i="5"/>
  <c r="AT232" i="5"/>
  <c r="AZ232" i="5"/>
  <c r="AT256" i="5"/>
  <c r="AV256" i="5"/>
  <c r="AZ267" i="5"/>
  <c r="AV68" i="5"/>
  <c r="AK129" i="5"/>
  <c r="AN50" i="5"/>
  <c r="O57" i="5"/>
  <c r="W57" i="5"/>
  <c r="AE57" i="5"/>
  <c r="BB56" i="5"/>
  <c r="K63" i="5"/>
  <c r="S63" i="5"/>
  <c r="AA63" i="5"/>
  <c r="AI63" i="5"/>
  <c r="AQ63" i="5"/>
  <c r="S66" i="5"/>
  <c r="AQ66" i="5"/>
  <c r="AY80" i="5"/>
  <c r="BA80" i="5"/>
  <c r="AT81" i="5"/>
  <c r="AV81" i="5"/>
  <c r="BB81" i="5"/>
  <c r="AU84" i="5"/>
  <c r="AB86" i="5"/>
  <c r="AJ86" i="5"/>
  <c r="K90" i="5"/>
  <c r="S90" i="5"/>
  <c r="AA90" i="5"/>
  <c r="AI90" i="5"/>
  <c r="AQ90" i="5"/>
  <c r="H117" i="5"/>
  <c r="W155" i="5"/>
  <c r="AU190" i="5"/>
  <c r="AW190" i="5"/>
  <c r="AY190" i="5"/>
  <c r="BA190" i="5"/>
  <c r="AT191" i="5"/>
  <c r="AV191" i="5"/>
  <c r="AX191" i="5"/>
  <c r="AZ191" i="5"/>
  <c r="BB199" i="5"/>
  <c r="AT202" i="5"/>
  <c r="AV202" i="5"/>
  <c r="AX202" i="5"/>
  <c r="AZ202" i="5"/>
  <c r="BB203" i="5"/>
  <c r="AY204" i="5"/>
  <c r="AU214" i="5"/>
  <c r="AW214" i="5"/>
  <c r="AY214" i="5"/>
  <c r="AI272" i="5"/>
  <c r="AU258" i="5"/>
  <c r="AW263" i="5"/>
  <c r="O66" i="5"/>
  <c r="AO227" i="5"/>
  <c r="K9" i="5"/>
  <c r="AA9" i="5"/>
  <c r="AK9" i="5"/>
  <c r="O33" i="5"/>
  <c r="W33" i="5"/>
  <c r="AE33" i="5"/>
  <c r="P38" i="5"/>
  <c r="AE39" i="5"/>
  <c r="AT54" i="5"/>
  <c r="AX54" i="5"/>
  <c r="AN57" i="5"/>
  <c r="AW55" i="5"/>
  <c r="AY55" i="5"/>
  <c r="BA55" i="5"/>
  <c r="BA58" i="5"/>
  <c r="AY60" i="5"/>
  <c r="AT61" i="5"/>
  <c r="AV61" i="5"/>
  <c r="AX61" i="5"/>
  <c r="AZ61" i="5"/>
  <c r="BB61" i="5"/>
  <c r="AW62" i="5"/>
  <c r="AY69" i="5"/>
  <c r="BA69" i="5"/>
  <c r="AT70" i="5"/>
  <c r="BB70" i="5"/>
  <c r="AU71" i="5"/>
  <c r="AY71" i="5"/>
  <c r="BA71" i="5"/>
  <c r="AT89" i="5"/>
  <c r="AV89" i="5"/>
  <c r="AX89" i="5"/>
  <c r="AZ89" i="5"/>
  <c r="V142" i="5"/>
  <c r="AJ176" i="5"/>
  <c r="AJ167" i="5" s="1"/>
  <c r="AT194" i="5"/>
  <c r="AV213" i="5"/>
  <c r="I218" i="5"/>
  <c r="AG218" i="5"/>
  <c r="AO218" i="5"/>
  <c r="AC218" i="5"/>
  <c r="AK218" i="5"/>
  <c r="AT240" i="5"/>
  <c r="AV240" i="5"/>
  <c r="AY243" i="5"/>
  <c r="AT244" i="5"/>
  <c r="AV244" i="5"/>
  <c r="AX244" i="5"/>
  <c r="AZ244" i="5"/>
  <c r="AU245" i="5"/>
  <c r="AY245" i="5"/>
  <c r="BA245" i="5"/>
  <c r="AZ250" i="5"/>
  <c r="R283" i="5"/>
  <c r="Z283" i="5"/>
  <c r="AH283" i="5"/>
  <c r="AP283" i="5"/>
  <c r="U285" i="5"/>
  <c r="AK285" i="5"/>
  <c r="AD106" i="4"/>
  <c r="AY106" i="4" s="1"/>
  <c r="AY101" i="4"/>
  <c r="S34" i="5"/>
  <c r="AF57" i="4"/>
  <c r="AF64" i="4" s="1"/>
  <c r="AT117" i="4"/>
  <c r="AV142" i="4"/>
  <c r="AX142" i="4"/>
  <c r="AM231" i="4"/>
  <c r="AM231" i="5" s="1"/>
  <c r="BA231" i="5" s="1"/>
  <c r="AY239" i="4"/>
  <c r="AY251" i="4" s="1"/>
  <c r="K72" i="5"/>
  <c r="AT78" i="5"/>
  <c r="AL210" i="5"/>
  <c r="AM210" i="4"/>
  <c r="AW57" i="4"/>
  <c r="U82" i="4"/>
  <c r="AU117" i="4"/>
  <c r="AF236" i="4"/>
  <c r="AF271" i="4" s="1"/>
  <c r="AJ284" i="4"/>
  <c r="AA34" i="5"/>
  <c r="AL256" i="5"/>
  <c r="AM256" i="4"/>
  <c r="AM256" i="5" s="1"/>
  <c r="AF275" i="5"/>
  <c r="AF117" i="5"/>
  <c r="AN275" i="5"/>
  <c r="AN117" i="5"/>
  <c r="AL216" i="5"/>
  <c r="AM216" i="4"/>
  <c r="AM216" i="5" s="1"/>
  <c r="AM194" i="4"/>
  <c r="AM194" i="5" s="1"/>
  <c r="BA194" i="5" s="1"/>
  <c r="M82" i="4"/>
  <c r="AY142" i="4"/>
  <c r="AZ176" i="4"/>
  <c r="AZ167" i="4" s="1"/>
  <c r="AI167" i="4"/>
  <c r="AI141" i="4" s="1"/>
  <c r="AQ167" i="4"/>
  <c r="AQ141" i="4" s="1"/>
  <c r="BB176" i="4"/>
  <c r="BB167" i="4" s="1"/>
  <c r="AZ227" i="4"/>
  <c r="K34" i="5"/>
  <c r="AP65" i="4"/>
  <c r="W82" i="4"/>
  <c r="W83" i="4" s="1"/>
  <c r="AT106" i="4"/>
  <c r="AY252" i="4"/>
  <c r="AY270" i="4" s="1"/>
  <c r="AW252" i="4"/>
  <c r="AW270" i="4" s="1"/>
  <c r="X57" i="5"/>
  <c r="AU143" i="5"/>
  <c r="AU142" i="5" s="1"/>
  <c r="O142" i="5"/>
  <c r="AW143" i="5"/>
  <c r="AW142" i="5" s="1"/>
  <c r="W142" i="5"/>
  <c r="BA142" i="5"/>
  <c r="AN82" i="4"/>
  <c r="AW66" i="4"/>
  <c r="AV72" i="4"/>
  <c r="AZ106" i="4"/>
  <c r="AW117" i="4"/>
  <c r="AV117" i="4"/>
  <c r="P141" i="4"/>
  <c r="X141" i="4"/>
  <c r="AF141" i="4"/>
  <c r="AY155" i="4"/>
  <c r="R141" i="4"/>
  <c r="AH141" i="4"/>
  <c r="AX176" i="4"/>
  <c r="AX167" i="4" s="1"/>
  <c r="AT218" i="4"/>
  <c r="AH236" i="4"/>
  <c r="AH238" i="4" s="1"/>
  <c r="AH273" i="4" s="1"/>
  <c r="N283" i="4"/>
  <c r="L33" i="5"/>
  <c r="AG50" i="5"/>
  <c r="AV54" i="5"/>
  <c r="BB54" i="5"/>
  <c r="AB57" i="5"/>
  <c r="H142" i="5"/>
  <c r="P142" i="5"/>
  <c r="X142" i="5"/>
  <c r="AF142" i="5"/>
  <c r="AN142" i="5"/>
  <c r="AT245" i="5"/>
  <c r="I239" i="5"/>
  <c r="I251" i="5" s="1"/>
  <c r="AG82" i="4"/>
  <c r="AG83" i="4" s="1"/>
  <c r="AO82" i="4"/>
  <c r="AO83" i="4" s="1"/>
  <c r="AX66" i="4"/>
  <c r="AW72" i="4"/>
  <c r="BB86" i="4"/>
  <c r="AX101" i="4"/>
  <c r="AX117" i="4"/>
  <c r="BA117" i="4"/>
  <c r="Q141" i="4"/>
  <c r="Y141" i="4"/>
  <c r="AG141" i="4"/>
  <c r="AO141" i="4"/>
  <c r="AW142" i="4"/>
  <c r="AZ155" i="4"/>
  <c r="S141" i="4"/>
  <c r="AM221" i="4"/>
  <c r="BA221" i="4" s="1"/>
  <c r="AW227" i="4"/>
  <c r="AY283" i="4"/>
  <c r="O9" i="5"/>
  <c r="W9" i="5"/>
  <c r="AE9" i="5"/>
  <c r="AO9" i="5"/>
  <c r="I9" i="5"/>
  <c r="Q9" i="5"/>
  <c r="Y9" i="5"/>
  <c r="M34" i="5"/>
  <c r="U34" i="5"/>
  <c r="AC34" i="5"/>
  <c r="L39" i="5"/>
  <c r="T39" i="5"/>
  <c r="AB39" i="5"/>
  <c r="J57" i="5"/>
  <c r="R57" i="5"/>
  <c r="Z57" i="5"/>
  <c r="AZ54" i="5"/>
  <c r="AP57" i="5"/>
  <c r="AU55" i="5"/>
  <c r="AT56" i="5"/>
  <c r="AV56" i="5"/>
  <c r="AX56" i="5"/>
  <c r="AJ57" i="5"/>
  <c r="AY58" i="5"/>
  <c r="AT59" i="5"/>
  <c r="BB59" i="5"/>
  <c r="BA60" i="5"/>
  <c r="AT77" i="5"/>
  <c r="BA85" i="5"/>
  <c r="AU92" i="5"/>
  <c r="AW92" i="5"/>
  <c r="AY92" i="5"/>
  <c r="BA92" i="5"/>
  <c r="AJ106" i="5"/>
  <c r="J117" i="5"/>
  <c r="R117" i="5"/>
  <c r="Z117" i="5"/>
  <c r="AH117" i="5"/>
  <c r="AP117" i="5"/>
  <c r="AO129" i="5"/>
  <c r="AH82" i="4"/>
  <c r="AP82" i="4"/>
  <c r="AP83" i="4" s="1"/>
  <c r="AC72" i="4"/>
  <c r="AC82" i="4" s="1"/>
  <c r="AY73" i="4"/>
  <c r="AY72" i="4" s="1"/>
  <c r="AY82" i="4" s="1"/>
  <c r="AT72" i="4"/>
  <c r="AZ101" i="4"/>
  <c r="N142" i="5"/>
  <c r="T141" i="4"/>
  <c r="BB228" i="4"/>
  <c r="L9" i="5"/>
  <c r="T9" i="5"/>
  <c r="AB9" i="5"/>
  <c r="AL9" i="5"/>
  <c r="J9" i="5"/>
  <c r="AJ9" i="5"/>
  <c r="AB34" i="5"/>
  <c r="M39" i="5"/>
  <c r="U39" i="5"/>
  <c r="AC39" i="5"/>
  <c r="L38" i="5"/>
  <c r="AI43" i="5"/>
  <c r="AI50" i="5" s="1"/>
  <c r="AQ43" i="5"/>
  <c r="AQ50" i="5" s="1"/>
  <c r="AM43" i="5"/>
  <c r="AM50" i="5" s="1"/>
  <c r="K57" i="5"/>
  <c r="S57" i="5"/>
  <c r="S64" i="5" s="1"/>
  <c r="AA57" i="5"/>
  <c r="AI57" i="5"/>
  <c r="AI64" i="5" s="1"/>
  <c r="AQ57" i="5"/>
  <c r="AV84" i="5"/>
  <c r="H90" i="5"/>
  <c r="P90" i="5"/>
  <c r="X90" i="5"/>
  <c r="AF90" i="5"/>
  <c r="AZ88" i="5"/>
  <c r="AN90" i="5"/>
  <c r="J129" i="5"/>
  <c r="R129" i="5"/>
  <c r="Z129" i="5"/>
  <c r="AH129" i="5"/>
  <c r="AP129" i="5"/>
  <c r="Q239" i="5"/>
  <c r="Q251" i="5" s="1"/>
  <c r="AG239" i="5"/>
  <c r="AG251" i="5" s="1"/>
  <c r="AI82" i="4"/>
  <c r="AQ82" i="4"/>
  <c r="AZ72" i="4"/>
  <c r="AZ82" i="4" s="1"/>
  <c r="AY117" i="4"/>
  <c r="AZ117" i="4"/>
  <c r="AY129" i="4"/>
  <c r="BA129" i="4"/>
  <c r="AZ129" i="4"/>
  <c r="AZ116" i="4" s="1"/>
  <c r="AM191" i="4"/>
  <c r="AM191" i="5" s="1"/>
  <c r="BA191" i="5" s="1"/>
  <c r="AU183" i="4"/>
  <c r="AT227" i="4"/>
  <c r="BA283" i="4"/>
  <c r="O34" i="5"/>
  <c r="W34" i="5"/>
  <c r="AE34" i="5"/>
  <c r="U33" i="5"/>
  <c r="N38" i="5"/>
  <c r="V38" i="5"/>
  <c r="AD38" i="5"/>
  <c r="H63" i="5"/>
  <c r="P63" i="5"/>
  <c r="X63" i="5"/>
  <c r="AF63" i="5"/>
  <c r="AN63" i="5"/>
  <c r="AZ67" i="5"/>
  <c r="AD72" i="5"/>
  <c r="AL72" i="5"/>
  <c r="BB78" i="5"/>
  <c r="I90" i="5"/>
  <c r="Y90" i="5"/>
  <c r="L82" i="4"/>
  <c r="AJ82" i="4"/>
  <c r="AE82" i="4"/>
  <c r="AE83" i="4" s="1"/>
  <c r="AY86" i="4"/>
  <c r="I141" i="4"/>
  <c r="AX183" i="4"/>
  <c r="AW183" i="4"/>
  <c r="AT183" i="4"/>
  <c r="AM234" i="4"/>
  <c r="AM234" i="5" s="1"/>
  <c r="BA234" i="5" s="1"/>
  <c r="AZ239" i="4"/>
  <c r="AZ251" i="4" s="1"/>
  <c r="AX252" i="4"/>
  <c r="AX270" i="4" s="1"/>
  <c r="AU252" i="4"/>
  <c r="AU270" i="4" s="1"/>
  <c r="AM265" i="4"/>
  <c r="AM265" i="5" s="1"/>
  <c r="BA265" i="5" s="1"/>
  <c r="AU272" i="4"/>
  <c r="AW272" i="4"/>
  <c r="AT280" i="4"/>
  <c r="AT283" i="4" s="1"/>
  <c r="BB283" i="4"/>
  <c r="P33" i="5"/>
  <c r="X33" i="5"/>
  <c r="Y33" i="5"/>
  <c r="H57" i="5"/>
  <c r="AD63" i="5"/>
  <c r="R72" i="5"/>
  <c r="AP90" i="5"/>
  <c r="BB72" i="4"/>
  <c r="AC72" i="5"/>
  <c r="AZ86" i="4"/>
  <c r="BB101" i="4"/>
  <c r="Y106" i="4"/>
  <c r="AX106" i="4" s="1"/>
  <c r="AT142" i="4"/>
  <c r="BB142" i="4"/>
  <c r="BA142" i="4"/>
  <c r="AU218" i="4"/>
  <c r="AV218" i="4"/>
  <c r="AT285" i="4"/>
  <c r="BB285" i="4"/>
  <c r="BA285" i="4"/>
  <c r="T38" i="5"/>
  <c r="N57" i="5"/>
  <c r="V57" i="5"/>
  <c r="AD57" i="5"/>
  <c r="AL57" i="5"/>
  <c r="AW56" i="5"/>
  <c r="BA56" i="5"/>
  <c r="J63" i="5"/>
  <c r="R63" i="5"/>
  <c r="AP63" i="5"/>
  <c r="J66" i="5"/>
  <c r="R66" i="5"/>
  <c r="Z66" i="5"/>
  <c r="AH66" i="5"/>
  <c r="AP66" i="5"/>
  <c r="N66" i="5"/>
  <c r="AL66" i="5"/>
  <c r="S72" i="5"/>
  <c r="I129" i="5"/>
  <c r="Q129" i="5"/>
  <c r="Y129" i="5"/>
  <c r="AG129" i="5"/>
  <c r="AU62" i="5"/>
  <c r="AY62" i="5"/>
  <c r="AU67" i="5"/>
  <c r="AW67" i="5"/>
  <c r="AY67" i="5"/>
  <c r="BA67" i="5"/>
  <c r="AU70" i="5"/>
  <c r="AW70" i="5"/>
  <c r="AY70" i="5"/>
  <c r="BA70" i="5"/>
  <c r="AW71" i="5"/>
  <c r="L72" i="5"/>
  <c r="AW77" i="5"/>
  <c r="BA77" i="5"/>
  <c r="W72" i="5"/>
  <c r="AU81" i="5"/>
  <c r="AW81" i="5"/>
  <c r="AY81" i="5"/>
  <c r="BA81" i="5"/>
  <c r="M86" i="5"/>
  <c r="AT85" i="5"/>
  <c r="AV85" i="5"/>
  <c r="AX85" i="5"/>
  <c r="AZ85" i="5"/>
  <c r="R90" i="5"/>
  <c r="Z90" i="5"/>
  <c r="AH90" i="5"/>
  <c r="O117" i="5"/>
  <c r="P117" i="5"/>
  <c r="X117" i="5"/>
  <c r="K129" i="5"/>
  <c r="S129" i="5"/>
  <c r="AI129" i="5"/>
  <c r="I142" i="5"/>
  <c r="I155" i="5"/>
  <c r="Q155" i="5"/>
  <c r="Y155" i="5"/>
  <c r="AG155" i="5"/>
  <c r="AO155" i="5"/>
  <c r="BB186" i="5"/>
  <c r="BA187" i="5"/>
  <c r="BB193" i="5"/>
  <c r="AX199" i="5"/>
  <c r="AT215" i="5"/>
  <c r="BB215" i="5"/>
  <c r="Q218" i="5"/>
  <c r="AZ220" i="5"/>
  <c r="AU222" i="5"/>
  <c r="AW222" i="5"/>
  <c r="U218" i="5"/>
  <c r="AY222" i="5"/>
  <c r="Y227" i="5"/>
  <c r="AG227" i="5"/>
  <c r="AN239" i="5"/>
  <c r="AN251" i="5" s="1"/>
  <c r="AW61" i="5"/>
  <c r="AY61" i="5"/>
  <c r="BA61" i="5"/>
  <c r="AX68" i="5"/>
  <c r="K66" i="5"/>
  <c r="AA66" i="5"/>
  <c r="AI66" i="5"/>
  <c r="M72" i="5"/>
  <c r="U72" i="5"/>
  <c r="AA106" i="5"/>
  <c r="AI106" i="5"/>
  <c r="AI72" i="5"/>
  <c r="AQ72" i="5"/>
  <c r="AX76" i="5"/>
  <c r="AZ76" i="5"/>
  <c r="BB76" i="5"/>
  <c r="AT79" i="5"/>
  <c r="AX79" i="5"/>
  <c r="AZ79" i="5"/>
  <c r="BB79" i="5"/>
  <c r="N86" i="5"/>
  <c r="V86" i="5"/>
  <c r="AD86" i="5"/>
  <c r="AL86" i="5"/>
  <c r="AX92" i="5"/>
  <c r="AZ92" i="5"/>
  <c r="AE117" i="5"/>
  <c r="AU118" i="5"/>
  <c r="AU275" i="5" s="1"/>
  <c r="AV274" i="5" s="1"/>
  <c r="I117" i="5"/>
  <c r="Q117" i="5"/>
  <c r="Y117" i="5"/>
  <c r="AG117" i="5"/>
  <c r="AO117" i="5"/>
  <c r="L129" i="5"/>
  <c r="T129" i="5"/>
  <c r="AB129" i="5"/>
  <c r="N129" i="5"/>
  <c r="R142" i="5"/>
  <c r="Z142" i="5"/>
  <c r="AH142" i="5"/>
  <c r="AP142" i="5"/>
  <c r="L218" i="5"/>
  <c r="T218" i="5"/>
  <c r="AJ218" i="5"/>
  <c r="AT226" i="5"/>
  <c r="AV226" i="5"/>
  <c r="AZ226" i="5"/>
  <c r="J227" i="5"/>
  <c r="R227" i="5"/>
  <c r="AW241" i="5"/>
  <c r="AO239" i="5"/>
  <c r="AO251" i="5" s="1"/>
  <c r="M239" i="5"/>
  <c r="M251" i="5" s="1"/>
  <c r="U239" i="5"/>
  <c r="U251" i="5" s="1"/>
  <c r="AC239" i="5"/>
  <c r="AC251" i="5" s="1"/>
  <c r="BA62" i="5"/>
  <c r="I66" i="5"/>
  <c r="Q66" i="5"/>
  <c r="Q82" i="5" s="1"/>
  <c r="Y66" i="5"/>
  <c r="AG66" i="5"/>
  <c r="AO66" i="5"/>
  <c r="AT71" i="5"/>
  <c r="AV71" i="5"/>
  <c r="AX71" i="5"/>
  <c r="AZ71" i="5"/>
  <c r="BB71" i="5"/>
  <c r="V72" i="5"/>
  <c r="V82" i="5" s="1"/>
  <c r="AU75" i="5"/>
  <c r="AW75" i="5"/>
  <c r="AY75" i="5"/>
  <c r="AX78" i="5"/>
  <c r="AZ78" i="5"/>
  <c r="AU80" i="5"/>
  <c r="AW80" i="5"/>
  <c r="O86" i="5"/>
  <c r="W86" i="5"/>
  <c r="AE86" i="5"/>
  <c r="BB84" i="5"/>
  <c r="AU88" i="5"/>
  <c r="AW88" i="5"/>
  <c r="AY88" i="5"/>
  <c r="BA118" i="5"/>
  <c r="BA275" i="5" s="1"/>
  <c r="W117" i="5"/>
  <c r="AY129" i="5"/>
  <c r="K155" i="5"/>
  <c r="S155" i="5"/>
  <c r="AX155" i="5"/>
  <c r="AZ155" i="5"/>
  <c r="M176" i="5"/>
  <c r="M167" i="5" s="1"/>
  <c r="U176" i="5"/>
  <c r="U167" i="5" s="1"/>
  <c r="AC176" i="5"/>
  <c r="AC167" i="5" s="1"/>
  <c r="AJ183" i="5"/>
  <c r="O183" i="5"/>
  <c r="AE183" i="5"/>
  <c r="BB191" i="5"/>
  <c r="J183" i="5"/>
  <c r="R183" i="5"/>
  <c r="Z183" i="5"/>
  <c r="AT211" i="5"/>
  <c r="AV211" i="5"/>
  <c r="AX211" i="5"/>
  <c r="AZ211" i="5"/>
  <c r="BA212" i="5"/>
  <c r="AT230" i="5"/>
  <c r="Y283" i="5"/>
  <c r="Y284" i="5" s="1"/>
  <c r="AG283" i="5"/>
  <c r="AO283" i="5"/>
  <c r="U63" i="5"/>
  <c r="AC63" i="5"/>
  <c r="AK63" i="5"/>
  <c r="AX59" i="5"/>
  <c r="AT62" i="5"/>
  <c r="AX62" i="5"/>
  <c r="BB62" i="5"/>
  <c r="AC106" i="5"/>
  <c r="AT76" i="5"/>
  <c r="AV78" i="5"/>
  <c r="AT84" i="5"/>
  <c r="AK90" i="5"/>
  <c r="AW108" i="5"/>
  <c r="AY108" i="5"/>
  <c r="AM117" i="5"/>
  <c r="AE129" i="5"/>
  <c r="AL129" i="5"/>
  <c r="AT156" i="5"/>
  <c r="AT155" i="5" s="1"/>
  <c r="N155" i="5"/>
  <c r="V155" i="5"/>
  <c r="AD155" i="5"/>
  <c r="N176" i="5"/>
  <c r="N167" i="5" s="1"/>
  <c r="V176" i="5"/>
  <c r="V167" i="5" s="1"/>
  <c r="AD176" i="5"/>
  <c r="AD167" i="5" s="1"/>
  <c r="AL176" i="5"/>
  <c r="AL167" i="5" s="1"/>
  <c r="AV203" i="5"/>
  <c r="N218" i="5"/>
  <c r="V218" i="5"/>
  <c r="AD218" i="5"/>
  <c r="AN218" i="5"/>
  <c r="V227" i="5"/>
  <c r="AY229" i="5"/>
  <c r="BB231" i="5"/>
  <c r="AU232" i="5"/>
  <c r="AW232" i="5"/>
  <c r="AY232" i="5"/>
  <c r="Z227" i="5"/>
  <c r="AH227" i="5"/>
  <c r="AX233" i="5"/>
  <c r="AW235" i="5"/>
  <c r="AY235" i="5"/>
  <c r="AY237" i="5"/>
  <c r="AW249" i="5"/>
  <c r="AY249" i="5"/>
  <c r="AX70" i="5"/>
  <c r="AZ70" i="5"/>
  <c r="AK72" i="5"/>
  <c r="AV77" i="5"/>
  <c r="AZ77" i="5"/>
  <c r="BB77" i="5"/>
  <c r="AX81" i="5"/>
  <c r="AZ81" i="5"/>
  <c r="AU85" i="5"/>
  <c r="AW85" i="5"/>
  <c r="BA88" i="5"/>
  <c r="H129" i="5"/>
  <c r="P129" i="5"/>
  <c r="X129" i="5"/>
  <c r="AF129" i="5"/>
  <c r="AN129" i="5"/>
  <c r="AU176" i="5"/>
  <c r="AU167" i="5" s="1"/>
  <c r="AU185" i="5"/>
  <c r="AW185" i="5"/>
  <c r="AY185" i="5"/>
  <c r="M218" i="5"/>
  <c r="AW231" i="5"/>
  <c r="AY231" i="5"/>
  <c r="M227" i="5"/>
  <c r="AV234" i="5"/>
  <c r="AX234" i="5"/>
  <c r="AU235" i="5"/>
  <c r="BA269" i="5"/>
  <c r="BB283" i="5"/>
  <c r="N285" i="5"/>
  <c r="AD142" i="5"/>
  <c r="AL142" i="5"/>
  <c r="AU202" i="5"/>
  <c r="AY202" i="5"/>
  <c r="AV204" i="5"/>
  <c r="AZ216" i="5"/>
  <c r="AT228" i="5"/>
  <c r="AV228" i="5"/>
  <c r="AX228" i="5"/>
  <c r="X227" i="5"/>
  <c r="W285" i="5"/>
  <c r="AW286" i="5"/>
  <c r="AW285" i="5" s="1"/>
  <c r="AK176" i="5"/>
  <c r="AK167" i="5" s="1"/>
  <c r="AT176" i="5"/>
  <c r="AT167" i="5" s="1"/>
  <c r="AU184" i="5"/>
  <c r="U183" i="5"/>
  <c r="AC183" i="5"/>
  <c r="AZ186" i="5"/>
  <c r="BB187" i="5"/>
  <c r="AT189" i="5"/>
  <c r="AV189" i="5"/>
  <c r="AX189" i="5"/>
  <c r="AZ189" i="5"/>
  <c r="AY196" i="5"/>
  <c r="BA196" i="5"/>
  <c r="AT197" i="5"/>
  <c r="AV197" i="5"/>
  <c r="AZ197" i="5"/>
  <c r="AU198" i="5"/>
  <c r="AW198" i="5"/>
  <c r="AY198" i="5"/>
  <c r="AT199" i="5"/>
  <c r="AV199" i="5"/>
  <c r="AZ199" i="5"/>
  <c r="AU200" i="5"/>
  <c r="AW200" i="5"/>
  <c r="AY200" i="5"/>
  <c r="AW202" i="5"/>
  <c r="BB209" i="5"/>
  <c r="AU210" i="5"/>
  <c r="AW210" i="5"/>
  <c r="AY210" i="5"/>
  <c r="AT212" i="5"/>
  <c r="AX212" i="5"/>
  <c r="AZ212" i="5"/>
  <c r="BB212" i="5"/>
  <c r="AY216" i="5"/>
  <c r="X218" i="5"/>
  <c r="AU233" i="5"/>
  <c r="AW233" i="5"/>
  <c r="AY233" i="5"/>
  <c r="AU237" i="5"/>
  <c r="AJ272" i="5"/>
  <c r="AU240" i="5"/>
  <c r="T239" i="5"/>
  <c r="T251" i="5" s="1"/>
  <c r="AY240" i="5"/>
  <c r="H239" i="5"/>
  <c r="H251" i="5" s="1"/>
  <c r="P239" i="5"/>
  <c r="P251" i="5" s="1"/>
  <c r="X239" i="5"/>
  <c r="X251" i="5" s="1"/>
  <c r="AF239" i="5"/>
  <c r="AF251" i="5" s="1"/>
  <c r="AP239" i="5"/>
  <c r="AP251" i="5" s="1"/>
  <c r="AU243" i="5"/>
  <c r="BA243" i="5"/>
  <c r="AW246" i="5"/>
  <c r="AY246" i="5"/>
  <c r="BA246" i="5"/>
  <c r="AT247" i="5"/>
  <c r="AV247" i="5"/>
  <c r="AY254" i="5"/>
  <c r="AX256" i="5"/>
  <c r="AZ256" i="5"/>
  <c r="AU266" i="5"/>
  <c r="AW266" i="5"/>
  <c r="AY266" i="5"/>
  <c r="BA266" i="5"/>
  <c r="AZ247" i="5"/>
  <c r="AY260" i="5"/>
  <c r="T252" i="5"/>
  <c r="T270" i="5" s="1"/>
  <c r="BB263" i="5"/>
  <c r="H252" i="5"/>
  <c r="H270" i="5" s="1"/>
  <c r="P252" i="5"/>
  <c r="P270" i="5" s="1"/>
  <c r="BB285" i="5"/>
  <c r="BA186" i="5"/>
  <c r="AH183" i="5"/>
  <c r="AP183" i="5"/>
  <c r="AW194" i="5"/>
  <c r="AW204" i="5"/>
  <c r="BB207" i="5"/>
  <c r="BB210" i="5"/>
  <c r="AU213" i="5"/>
  <c r="AW213" i="5"/>
  <c r="BA213" i="5"/>
  <c r="AV214" i="5"/>
  <c r="AX214" i="5"/>
  <c r="AZ214" i="5"/>
  <c r="AW220" i="5"/>
  <c r="AY220" i="5"/>
  <c r="AU223" i="5"/>
  <c r="AW223" i="5"/>
  <c r="AY223" i="5"/>
  <c r="O218" i="5"/>
  <c r="W218" i="5"/>
  <c r="AE218" i="5"/>
  <c r="BA225" i="5"/>
  <c r="AV232" i="5"/>
  <c r="AX232" i="5"/>
  <c r="AP227" i="5"/>
  <c r="AN227" i="5"/>
  <c r="AT235" i="5"/>
  <c r="AV235" i="5"/>
  <c r="AX235" i="5"/>
  <c r="AZ235" i="5"/>
  <c r="N239" i="5"/>
  <c r="N251" i="5" s="1"/>
  <c r="V239" i="5"/>
  <c r="V251" i="5" s="1"/>
  <c r="AD239" i="5"/>
  <c r="AD251" i="5" s="1"/>
  <c r="J239" i="5"/>
  <c r="J251" i="5" s="1"/>
  <c r="R239" i="5"/>
  <c r="R251" i="5" s="1"/>
  <c r="Z239" i="5"/>
  <c r="Z251" i="5" s="1"/>
  <c r="AH239" i="5"/>
  <c r="AH251" i="5" s="1"/>
  <c r="AT242" i="5"/>
  <c r="AV242" i="5"/>
  <c r="AX242" i="5"/>
  <c r="AT246" i="5"/>
  <c r="AX246" i="5"/>
  <c r="AZ246" i="5"/>
  <c r="AU248" i="5"/>
  <c r="AX249" i="5"/>
  <c r="AZ249" i="5"/>
  <c r="AW258" i="5"/>
  <c r="AZ259" i="5"/>
  <c r="AV262" i="5"/>
  <c r="AX262" i="5"/>
  <c r="AU264" i="5"/>
  <c r="AW264" i="5"/>
  <c r="AY264" i="5"/>
  <c r="BA264" i="5"/>
  <c r="AT267" i="5"/>
  <c r="BB267" i="5"/>
  <c r="AV269" i="5"/>
  <c r="AX269" i="5"/>
  <c r="T283" i="5"/>
  <c r="AB283" i="5"/>
  <c r="AJ283" i="5"/>
  <c r="R285" i="5"/>
  <c r="Z285" i="5"/>
  <c r="AH285" i="5"/>
  <c r="BB185" i="5"/>
  <c r="AV194" i="5"/>
  <c r="AX194" i="5"/>
  <c r="AZ194" i="5"/>
  <c r="AT196" i="5"/>
  <c r="AV196" i="5"/>
  <c r="AX196" i="5"/>
  <c r="BB196" i="5"/>
  <c r="BB198" i="5"/>
  <c r="AW201" i="5"/>
  <c r="AY201" i="5"/>
  <c r="AT203" i="5"/>
  <c r="AX203" i="5"/>
  <c r="AU204" i="5"/>
  <c r="AU211" i="5"/>
  <c r="AW211" i="5"/>
  <c r="AY211" i="5"/>
  <c r="AX219" i="5"/>
  <c r="BB220" i="5"/>
  <c r="AT224" i="5"/>
  <c r="AV224" i="5"/>
  <c r="AV225" i="5"/>
  <c r="AX225" i="5"/>
  <c r="AU226" i="5"/>
  <c r="AW226" i="5"/>
  <c r="AY226" i="5"/>
  <c r="AU228" i="5"/>
  <c r="U227" i="5"/>
  <c r="AC227" i="5"/>
  <c r="AK227" i="5"/>
  <c r="K227" i="5"/>
  <c r="S227" i="5"/>
  <c r="AA227" i="5"/>
  <c r="AI227" i="5"/>
  <c r="AX230" i="5"/>
  <c r="AZ230" i="5"/>
  <c r="AU234" i="5"/>
  <c r="AW234" i="5"/>
  <c r="AY234" i="5"/>
  <c r="BB242" i="5"/>
  <c r="AW243" i="5"/>
  <c r="AU255" i="5"/>
  <c r="AY258" i="5"/>
  <c r="AZ262" i="5"/>
  <c r="AT263" i="5"/>
  <c r="AZ276" i="5"/>
  <c r="AE283" i="5"/>
  <c r="AW197" i="5"/>
  <c r="AY197" i="5"/>
  <c r="AV198" i="5"/>
  <c r="AX198" i="5"/>
  <c r="AZ198" i="5"/>
  <c r="AW199" i="5"/>
  <c r="AY199" i="5"/>
  <c r="AV200" i="5"/>
  <c r="AX200" i="5"/>
  <c r="AZ200" i="5"/>
  <c r="AU201" i="5"/>
  <c r="BB204" i="5"/>
  <c r="AT210" i="5"/>
  <c r="AV210" i="5"/>
  <c r="AX210" i="5"/>
  <c r="AZ210" i="5"/>
  <c r="AU221" i="5"/>
  <c r="AW221" i="5"/>
  <c r="AY221" i="5"/>
  <c r="K218" i="5"/>
  <c r="S218" i="5"/>
  <c r="AA218" i="5"/>
  <c r="AI218" i="5"/>
  <c r="BB223" i="5"/>
  <c r="AT225" i="5"/>
  <c r="AZ225" i="5"/>
  <c r="BB225" i="5"/>
  <c r="AU229" i="5"/>
  <c r="AW229" i="5"/>
  <c r="AT233" i="5"/>
  <c r="AV233" i="5"/>
  <c r="AZ233" i="5"/>
  <c r="AX237" i="5"/>
  <c r="AZ237" i="5"/>
  <c r="AX240" i="5"/>
  <c r="AZ240" i="5"/>
  <c r="BB244" i="5"/>
  <c r="AW245" i="5"/>
  <c r="AU247" i="5"/>
  <c r="BA247" i="5"/>
  <c r="O239" i="5"/>
  <c r="O251" i="5" s="1"/>
  <c r="W239" i="5"/>
  <c r="W251" i="5" s="1"/>
  <c r="AE239" i="5"/>
  <c r="AE251" i="5" s="1"/>
  <c r="AU253" i="5"/>
  <c r="AW253" i="5"/>
  <c r="AY253" i="5"/>
  <c r="BA253" i="5"/>
  <c r="AT254" i="5"/>
  <c r="AV254" i="5"/>
  <c r="AX260" i="5"/>
  <c r="AZ260" i="5"/>
  <c r="AU267" i="5"/>
  <c r="AY267" i="5"/>
  <c r="BA267" i="5"/>
  <c r="BA280" i="5"/>
  <c r="BA283" i="5" s="1"/>
  <c r="N183" i="5"/>
  <c r="V183" i="5"/>
  <c r="AD183" i="5"/>
  <c r="AZ196" i="5"/>
  <c r="AU197" i="5"/>
  <c r="AU199" i="5"/>
  <c r="BB201" i="5"/>
  <c r="AZ203" i="5"/>
  <c r="BA205" i="5"/>
  <c r="AT213" i="5"/>
  <c r="AX213" i="5"/>
  <c r="AZ213" i="5"/>
  <c r="BB213" i="5"/>
  <c r="AW215" i="5"/>
  <c r="BB217" i="5"/>
  <c r="AT220" i="5"/>
  <c r="AV220" i="5"/>
  <c r="AX220" i="5"/>
  <c r="AU224" i="5"/>
  <c r="AW224" i="5"/>
  <c r="AY224" i="5"/>
  <c r="W227" i="5"/>
  <c r="AE227" i="5"/>
  <c r="AG272" i="5"/>
  <c r="BB240" i="5"/>
  <c r="AU241" i="5"/>
  <c r="AY241" i="5"/>
  <c r="AT243" i="5"/>
  <c r="AV243" i="5"/>
  <c r="AZ243" i="5"/>
  <c r="AX245" i="5"/>
  <c r="BB245" i="5"/>
  <c r="AT248" i="5"/>
  <c r="AV248" i="5"/>
  <c r="AX248" i="5"/>
  <c r="AZ248" i="5"/>
  <c r="BB248" i="5"/>
  <c r="AY256" i="5"/>
  <c r="AZ261" i="5"/>
  <c r="AT264" i="5"/>
  <c r="AV264" i="5"/>
  <c r="AX264" i="5"/>
  <c r="BB264" i="5"/>
  <c r="AY283" i="5"/>
  <c r="O252" i="5"/>
  <c r="O270" i="5" s="1"/>
  <c r="W252" i="5"/>
  <c r="W270" i="5" s="1"/>
  <c r="AE252" i="5"/>
  <c r="AE270" i="5" s="1"/>
  <c r="K252" i="5"/>
  <c r="S252" i="5"/>
  <c r="S270" i="5" s="1"/>
  <c r="AA252" i="5"/>
  <c r="AA270" i="5" s="1"/>
  <c r="AI252" i="5"/>
  <c r="AI270" i="5" s="1"/>
  <c r="AT255" i="5"/>
  <c r="AV255" i="5"/>
  <c r="AU256" i="5"/>
  <c r="AU259" i="5"/>
  <c r="AW259" i="5"/>
  <c r="AY259" i="5"/>
  <c r="AU262" i="5"/>
  <c r="AW262" i="5"/>
  <c r="AY262" i="5"/>
  <c r="AW267" i="5"/>
  <c r="AZ283" i="5"/>
  <c r="V285" i="5"/>
  <c r="AD285" i="5"/>
  <c r="O65" i="4"/>
  <c r="I65" i="4"/>
  <c r="Y65" i="4"/>
  <c r="AO65" i="4"/>
  <c r="X65" i="4"/>
  <c r="X83" i="4"/>
  <c r="Q65" i="4"/>
  <c r="AD65" i="4"/>
  <c r="H65" i="4"/>
  <c r="H83" i="4"/>
  <c r="P65" i="4"/>
  <c r="P83" i="4"/>
  <c r="BB60" i="5"/>
  <c r="AA64" i="4"/>
  <c r="AT155" i="4"/>
  <c r="AZ183" i="4"/>
  <c r="AT57" i="4"/>
  <c r="AT64" i="4" s="1"/>
  <c r="AN64" i="4"/>
  <c r="AK82" i="4"/>
  <c r="AL184" i="5"/>
  <c r="AM184" i="4"/>
  <c r="BA184" i="4" s="1"/>
  <c r="AL183" i="4"/>
  <c r="AZ56" i="4"/>
  <c r="AZ57" i="4" s="1"/>
  <c r="M64" i="4"/>
  <c r="U64" i="4"/>
  <c r="AC64" i="4"/>
  <c r="AK64" i="4"/>
  <c r="BA57" i="4"/>
  <c r="AX63" i="4"/>
  <c r="BA72" i="4"/>
  <c r="AX129" i="4"/>
  <c r="AY218" i="4"/>
  <c r="AL228" i="5"/>
  <c r="AM228" i="4"/>
  <c r="BA228" i="4" s="1"/>
  <c r="Z73" i="5"/>
  <c r="Z72" i="5" s="1"/>
  <c r="Z72" i="4"/>
  <c r="Z82" i="4" s="1"/>
  <c r="Z83" i="4" s="1"/>
  <c r="AA73" i="5"/>
  <c r="AA72" i="5" s="1"/>
  <c r="AA72" i="4"/>
  <c r="AA82" i="4" s="1"/>
  <c r="BA276" i="4"/>
  <c r="AJ276" i="5"/>
  <c r="BA276" i="5" s="1"/>
  <c r="K64" i="4"/>
  <c r="AI64" i="4"/>
  <c r="AM83" i="4"/>
  <c r="AM65" i="4"/>
  <c r="O72" i="4"/>
  <c r="O82" i="4" s="1"/>
  <c r="O83" i="4" s="1"/>
  <c r="AZ56" i="5"/>
  <c r="AF57" i="5"/>
  <c r="BA63" i="4"/>
  <c r="AE65" i="4"/>
  <c r="L65" i="4"/>
  <c r="AI236" i="4"/>
  <c r="AL227" i="4"/>
  <c r="T87" i="4"/>
  <c r="T93" i="4" s="1"/>
  <c r="S64" i="4"/>
  <c r="T65" i="4"/>
  <c r="AZ63" i="4"/>
  <c r="BB66" i="4"/>
  <c r="AG65" i="4"/>
  <c r="Y73" i="5"/>
  <c r="Y72" i="5" s="1"/>
  <c r="Y72" i="4"/>
  <c r="Y82" i="4" s="1"/>
  <c r="Y83" i="4" s="1"/>
  <c r="N76" i="5"/>
  <c r="AU76" i="5" s="1"/>
  <c r="AU76" i="4"/>
  <c r="Z141" i="4"/>
  <c r="AP141" i="4"/>
  <c r="AE167" i="4"/>
  <c r="AE141" i="4" s="1"/>
  <c r="AY176" i="4"/>
  <c r="AY167" i="4" s="1"/>
  <c r="AL203" i="5"/>
  <c r="AM203" i="4"/>
  <c r="AM203" i="5" s="1"/>
  <c r="BA66" i="4"/>
  <c r="O77" i="5"/>
  <c r="O72" i="5" s="1"/>
  <c r="AT129" i="4"/>
  <c r="H141" i="4"/>
  <c r="L145" i="5"/>
  <c r="L142" i="5" s="1"/>
  <c r="L142" i="4"/>
  <c r="L141" i="4" s="1"/>
  <c r="L178" i="4" s="1"/>
  <c r="AU176" i="4"/>
  <c r="AU167" i="4" s="1"/>
  <c r="AV239" i="4"/>
  <c r="AV251" i="4" s="1"/>
  <c r="P39" i="5"/>
  <c r="X39" i="5"/>
  <c r="AY73" i="5"/>
  <c r="AB72" i="5"/>
  <c r="BB90" i="4"/>
  <c r="AY183" i="4"/>
  <c r="AP221" i="5"/>
  <c r="AP218" i="5" s="1"/>
  <c r="AP218" i="4"/>
  <c r="BA85" i="4"/>
  <c r="AN106" i="4"/>
  <c r="BB106" i="4" s="1"/>
  <c r="M145" i="5"/>
  <c r="M142" i="5" s="1"/>
  <c r="M142" i="4"/>
  <c r="M141" i="4" s="1"/>
  <c r="AW155" i="4"/>
  <c r="AV176" i="4"/>
  <c r="AV167" i="4" s="1"/>
  <c r="AL185" i="5"/>
  <c r="AM185" i="4"/>
  <c r="AM185" i="5" s="1"/>
  <c r="BA200" i="4"/>
  <c r="AO216" i="5"/>
  <c r="BB216" i="5" s="1"/>
  <c r="AO183" i="4"/>
  <c r="BB216" i="4"/>
  <c r="BB183" i="4" s="1"/>
  <c r="AV227" i="4"/>
  <c r="Q39" i="5"/>
  <c r="Q38" i="5"/>
  <c r="Y39" i="5"/>
  <c r="Y38" i="5"/>
  <c r="N77" i="5"/>
  <c r="AM84" i="5"/>
  <c r="AM86" i="5" s="1"/>
  <c r="AM86" i="4"/>
  <c r="BA86" i="4" s="1"/>
  <c r="J145" i="5"/>
  <c r="J142" i="5" s="1"/>
  <c r="J142" i="4"/>
  <c r="J141" i="4" s="1"/>
  <c r="J178" i="4" s="1"/>
  <c r="AU155" i="4"/>
  <c r="AL207" i="5"/>
  <c r="BA207" i="5" s="1"/>
  <c r="BA207" i="4"/>
  <c r="AQ64" i="4"/>
  <c r="AU77" i="4"/>
  <c r="AU106" i="4"/>
  <c r="AW106" i="4"/>
  <c r="AV106" i="4"/>
  <c r="H116" i="4"/>
  <c r="P116" i="4"/>
  <c r="X116" i="4"/>
  <c r="AF116" i="4"/>
  <c r="AN116" i="4"/>
  <c r="BB117" i="4"/>
  <c r="BB275" i="4"/>
  <c r="AV129" i="4"/>
  <c r="AU129" i="4"/>
  <c r="U141" i="4"/>
  <c r="AC141" i="4"/>
  <c r="AX155" i="4"/>
  <c r="AV155" i="4"/>
  <c r="AW176" i="4"/>
  <c r="AW167" i="4" s="1"/>
  <c r="AT239" i="4"/>
  <c r="AT251" i="4" s="1"/>
  <c r="AL260" i="5"/>
  <c r="AM260" i="4"/>
  <c r="AM260" i="5" s="1"/>
  <c r="AL268" i="5"/>
  <c r="BA268" i="5" s="1"/>
  <c r="BA268" i="4"/>
  <c r="AX285" i="4"/>
  <c r="AV285" i="4"/>
  <c r="AV284" i="4" s="1"/>
  <c r="BA290" i="4"/>
  <c r="K39" i="5"/>
  <c r="K38" i="5"/>
  <c r="S39" i="5"/>
  <c r="S38" i="5"/>
  <c r="AA39" i="5"/>
  <c r="AA38" i="5"/>
  <c r="R39" i="5"/>
  <c r="R38" i="5"/>
  <c r="Z39" i="5"/>
  <c r="Z38" i="5"/>
  <c r="I63" i="5"/>
  <c r="Q63" i="5"/>
  <c r="Y63" i="5"/>
  <c r="Y64" i="5" s="1"/>
  <c r="AG63" i="5"/>
  <c r="AO63" i="5"/>
  <c r="AU59" i="5"/>
  <c r="AW59" i="5"/>
  <c r="AY59" i="5"/>
  <c r="BA59" i="5"/>
  <c r="AW86" i="4"/>
  <c r="AW129" i="4"/>
  <c r="N141" i="4"/>
  <c r="V141" i="4"/>
  <c r="AD141" i="4"/>
  <c r="AZ142" i="4"/>
  <c r="AL201" i="5"/>
  <c r="AM201" i="4"/>
  <c r="AM201" i="5" s="1"/>
  <c r="AY227" i="4"/>
  <c r="AL237" i="5"/>
  <c r="AM237" i="4"/>
  <c r="BA237" i="4" s="1"/>
  <c r="AT60" i="5"/>
  <c r="AV60" i="5"/>
  <c r="AZ60" i="5"/>
  <c r="AG236" i="4"/>
  <c r="AZ218" i="4"/>
  <c r="AX218" i="4"/>
  <c r="AU239" i="4"/>
  <c r="AU251" i="4" s="1"/>
  <c r="AL242" i="5"/>
  <c r="AM242" i="4"/>
  <c r="AM242" i="5" s="1"/>
  <c r="BA256" i="4"/>
  <c r="BB274" i="5"/>
  <c r="AX283" i="4"/>
  <c r="N284" i="4"/>
  <c r="M33" i="5"/>
  <c r="L63" i="5"/>
  <c r="T63" i="5"/>
  <c r="AB63" i="5"/>
  <c r="AJ63" i="5"/>
  <c r="H66" i="5"/>
  <c r="AT67" i="5"/>
  <c r="AV67" i="5"/>
  <c r="P66" i="5"/>
  <c r="AX67" i="5"/>
  <c r="X66" i="5"/>
  <c r="AF66" i="5"/>
  <c r="AN66" i="5"/>
  <c r="BB67" i="5"/>
  <c r="AL215" i="5"/>
  <c r="AM215" i="4"/>
  <c r="AM215" i="5" s="1"/>
  <c r="BA219" i="4"/>
  <c r="AL223" i="5"/>
  <c r="AM223" i="4"/>
  <c r="AM223" i="5" s="1"/>
  <c r="AL229" i="5"/>
  <c r="AM229" i="4"/>
  <c r="AM229" i="5" s="1"/>
  <c r="AK250" i="5"/>
  <c r="AK272" i="5" s="1"/>
  <c r="AK251" i="4"/>
  <c r="AL250" i="4"/>
  <c r="AL251" i="4" s="1"/>
  <c r="AK272" i="4"/>
  <c r="AO276" i="4"/>
  <c r="BB272" i="4"/>
  <c r="L280" i="5"/>
  <c r="L283" i="5" s="1"/>
  <c r="L283" i="4"/>
  <c r="AU285" i="4"/>
  <c r="N34" i="5"/>
  <c r="N33" i="5"/>
  <c r="V34" i="5"/>
  <c r="V33" i="5"/>
  <c r="AD34" i="5"/>
  <c r="AD33" i="5"/>
  <c r="AU54" i="5"/>
  <c r="U57" i="5"/>
  <c r="AC57" i="5"/>
  <c r="AK57" i="5"/>
  <c r="AT55" i="5"/>
  <c r="AX55" i="5"/>
  <c r="BB55" i="5"/>
  <c r="AM189" i="4"/>
  <c r="AM189" i="5" s="1"/>
  <c r="BA189" i="5" s="1"/>
  <c r="AM193" i="4"/>
  <c r="AM193" i="5" s="1"/>
  <c r="BA193" i="5" s="1"/>
  <c r="AM211" i="4"/>
  <c r="AM211" i="5" s="1"/>
  <c r="BA211" i="5" s="1"/>
  <c r="AL224" i="5"/>
  <c r="AM224" i="4"/>
  <c r="AU227" i="4"/>
  <c r="AL233" i="5"/>
  <c r="AM233" i="4"/>
  <c r="AM233" i="5" s="1"/>
  <c r="AW239" i="4"/>
  <c r="AW251" i="4" s="1"/>
  <c r="AZ252" i="4"/>
  <c r="AZ270" i="4" s="1"/>
  <c r="AX272" i="4"/>
  <c r="AU68" i="5"/>
  <c r="M66" i="5"/>
  <c r="U66" i="5"/>
  <c r="AW68" i="5"/>
  <c r="AY68" i="5"/>
  <c r="AC66" i="5"/>
  <c r="BA68" i="5"/>
  <c r="AK66" i="5"/>
  <c r="AZ69" i="5"/>
  <c r="X106" i="5"/>
  <c r="AX101" i="5"/>
  <c r="K275" i="5"/>
  <c r="K117" i="5"/>
  <c r="AT118" i="5"/>
  <c r="S275" i="5"/>
  <c r="S117" i="5"/>
  <c r="AV118" i="5"/>
  <c r="AA275" i="5"/>
  <c r="AX118" i="5"/>
  <c r="AA117" i="5"/>
  <c r="AI275" i="5"/>
  <c r="AZ118" i="5"/>
  <c r="AI117" i="5"/>
  <c r="AQ275" i="5"/>
  <c r="AQ117" i="5"/>
  <c r="BB118" i="5"/>
  <c r="BB117" i="5" s="1"/>
  <c r="X155" i="5"/>
  <c r="AL220" i="5"/>
  <c r="AM220" i="4"/>
  <c r="BA230" i="4"/>
  <c r="AX239" i="4"/>
  <c r="AX251" i="4" s="1"/>
  <c r="AL254" i="5"/>
  <c r="AM254" i="4"/>
  <c r="BA254" i="4" s="1"/>
  <c r="AL252" i="4"/>
  <c r="AL270" i="4" s="1"/>
  <c r="BA263" i="4"/>
  <c r="AT272" i="4"/>
  <c r="AV272" i="4"/>
  <c r="AW285" i="4"/>
  <c r="AW284" i="4" s="1"/>
  <c r="AM57" i="5"/>
  <c r="BA54" i="5"/>
  <c r="O63" i="5"/>
  <c r="W63" i="5"/>
  <c r="AE63" i="5"/>
  <c r="AM63" i="5"/>
  <c r="AT69" i="5"/>
  <c r="AV69" i="5"/>
  <c r="AX69" i="5"/>
  <c r="BB69" i="5"/>
  <c r="AW79" i="5"/>
  <c r="AT80" i="5"/>
  <c r="I72" i="5"/>
  <c r="AG72" i="5"/>
  <c r="AZ80" i="5"/>
  <c r="BB80" i="5"/>
  <c r="AO72" i="5"/>
  <c r="AO227" i="4"/>
  <c r="BB251" i="4"/>
  <c r="O283" i="5"/>
  <c r="AU280" i="5"/>
  <c r="AU283" i="5" s="1"/>
  <c r="O283" i="4"/>
  <c r="O284" i="4" s="1"/>
  <c r="AQ9" i="5"/>
  <c r="Q57" i="5"/>
  <c r="AO57" i="5"/>
  <c r="AT58" i="5"/>
  <c r="BB58" i="5"/>
  <c r="L66" i="5"/>
  <c r="T66" i="5"/>
  <c r="AB66" i="5"/>
  <c r="AJ66" i="5"/>
  <c r="AU69" i="5"/>
  <c r="AW69" i="5"/>
  <c r="AV70" i="5"/>
  <c r="AW73" i="5"/>
  <c r="T72" i="5"/>
  <c r="AE101" i="5"/>
  <c r="AE106" i="5" s="1"/>
  <c r="AE72" i="5"/>
  <c r="AY74" i="5"/>
  <c r="AM72" i="5"/>
  <c r="AM101" i="5"/>
  <c r="BB85" i="5"/>
  <c r="AW89" i="5"/>
  <c r="AY89" i="5"/>
  <c r="BA89" i="5"/>
  <c r="L275" i="5"/>
  <c r="L117" i="5"/>
  <c r="T275" i="5"/>
  <c r="T117" i="5"/>
  <c r="AB275" i="5"/>
  <c r="AB117" i="5"/>
  <c r="AJ275" i="5"/>
  <c r="AJ117" i="5"/>
  <c r="AU131" i="5"/>
  <c r="AU129" i="5" s="1"/>
  <c r="O129" i="5"/>
  <c r="AW131" i="5"/>
  <c r="AW129" i="5" s="1"/>
  <c r="W129" i="5"/>
  <c r="BA131" i="5"/>
  <c r="BA129" i="5" s="1"/>
  <c r="AM129" i="5"/>
  <c r="AY54" i="5"/>
  <c r="AH57" i="5"/>
  <c r="AU58" i="5"/>
  <c r="AF72" i="5"/>
  <c r="AN72" i="5"/>
  <c r="AN101" i="5"/>
  <c r="BB74" i="5"/>
  <c r="AX74" i="5"/>
  <c r="U86" i="5"/>
  <c r="AW84" i="5"/>
  <c r="AY84" i="5"/>
  <c r="AC86" i="5"/>
  <c r="AK86" i="5"/>
  <c r="H155" i="5"/>
  <c r="P155" i="5"/>
  <c r="AF155" i="5"/>
  <c r="AN155" i="5"/>
  <c r="AM235" i="4"/>
  <c r="AM235" i="5" s="1"/>
  <c r="BA235" i="5" s="1"/>
  <c r="AM240" i="4"/>
  <c r="BA240" i="4" s="1"/>
  <c r="AM258" i="4"/>
  <c r="AM258" i="5" s="1"/>
  <c r="BA258" i="5" s="1"/>
  <c r="AV58" i="5"/>
  <c r="AT68" i="5"/>
  <c r="AZ68" i="5"/>
  <c r="BB68" i="5"/>
  <c r="J176" i="5"/>
  <c r="J167" i="5" s="1"/>
  <c r="R176" i="5"/>
  <c r="R167" i="5" s="1"/>
  <c r="Z176" i="5"/>
  <c r="Z167" i="5" s="1"/>
  <c r="AW58" i="5"/>
  <c r="AU60" i="5"/>
  <c r="K283" i="4"/>
  <c r="K284" i="4" s="1"/>
  <c r="R33" i="5"/>
  <c r="Z33" i="5"/>
  <c r="M38" i="5"/>
  <c r="U38" i="5"/>
  <c r="AC38" i="5"/>
  <c r="M57" i="5"/>
  <c r="AX58" i="5"/>
  <c r="H72" i="5"/>
  <c r="P72" i="5"/>
  <c r="X72" i="5"/>
  <c r="AT75" i="5"/>
  <c r="BB75" i="5"/>
  <c r="AW76" i="5"/>
  <c r="AY76" i="5"/>
  <c r="BA76" i="5"/>
  <c r="AU79" i="5"/>
  <c r="AY79" i="5"/>
  <c r="BA79" i="5"/>
  <c r="P86" i="5"/>
  <c r="X86" i="5"/>
  <c r="AF86" i="5"/>
  <c r="AO86" i="5"/>
  <c r="AM241" i="4"/>
  <c r="AM241" i="5" s="1"/>
  <c r="BA241" i="5" s="1"/>
  <c r="BB252" i="4"/>
  <c r="AQ270" i="4"/>
  <c r="BB270" i="4" s="1"/>
  <c r="AM259" i="4"/>
  <c r="AM259" i="5" s="1"/>
  <c r="BA259" i="5" s="1"/>
  <c r="K283" i="5"/>
  <c r="AT280" i="5"/>
  <c r="AT283" i="5" s="1"/>
  <c r="AW60" i="5"/>
  <c r="BA73" i="5"/>
  <c r="AJ72" i="5"/>
  <c r="I86" i="5"/>
  <c r="Q86" i="5"/>
  <c r="Y86" i="5"/>
  <c r="AG86" i="5"/>
  <c r="AT88" i="5"/>
  <c r="AU108" i="5"/>
  <c r="BA108" i="5"/>
  <c r="AU164" i="5"/>
  <c r="AU155" i="5" s="1"/>
  <c r="O155" i="5"/>
  <c r="AY164" i="5"/>
  <c r="AY155" i="5" s="1"/>
  <c r="AE155" i="5"/>
  <c r="BA164" i="5"/>
  <c r="BA155" i="5" s="1"/>
  <c r="AM155" i="5"/>
  <c r="AI183" i="5"/>
  <c r="AZ58" i="5"/>
  <c r="AX60" i="5"/>
  <c r="AU73" i="5"/>
  <c r="BA74" i="5"/>
  <c r="AZ75" i="5"/>
  <c r="AV80" i="5"/>
  <c r="AX80" i="5"/>
  <c r="AF101" i="5"/>
  <c r="AX130" i="5"/>
  <c r="AX129" i="5" s="1"/>
  <c r="AA129" i="5"/>
  <c r="J155" i="5"/>
  <c r="R155" i="5"/>
  <c r="Z155" i="5"/>
  <c r="AH155" i="5"/>
  <c r="AP155" i="5"/>
  <c r="W183" i="5"/>
  <c r="AW189" i="5"/>
  <c r="AX84" i="5"/>
  <c r="L90" i="5"/>
  <c r="T90" i="5"/>
  <c r="AJ129" i="5"/>
  <c r="AT130" i="5"/>
  <c r="AT129" i="5" s="1"/>
  <c r="Q142" i="5"/>
  <c r="Y142" i="5"/>
  <c r="AG142" i="5"/>
  <c r="AO142" i="5"/>
  <c r="K183" i="5"/>
  <c r="S183" i="5"/>
  <c r="AA183" i="5"/>
  <c r="AW118" i="5"/>
  <c r="L155" i="5"/>
  <c r="T155" i="5"/>
  <c r="AB155" i="5"/>
  <c r="AJ155" i="5"/>
  <c r="AV176" i="5"/>
  <c r="AV167" i="5" s="1"/>
  <c r="AN183" i="5"/>
  <c r="BB184" i="5"/>
  <c r="AZ84" i="5"/>
  <c r="H86" i="5"/>
  <c r="AN86" i="5"/>
  <c r="AV88" i="5"/>
  <c r="AV130" i="5"/>
  <c r="AV129" i="5" s="1"/>
  <c r="K142" i="5"/>
  <c r="AT143" i="5"/>
  <c r="AT142" i="5" s="1"/>
  <c r="S142" i="5"/>
  <c r="AV143" i="5"/>
  <c r="AV142" i="5" s="1"/>
  <c r="AX143" i="5"/>
  <c r="AX142" i="5" s="1"/>
  <c r="AA142" i="5"/>
  <c r="AI142" i="5"/>
  <c r="AQ142" i="5"/>
  <c r="BB143" i="5"/>
  <c r="BB142" i="5" s="1"/>
  <c r="T142" i="5"/>
  <c r="AB142" i="5"/>
  <c r="AJ142" i="5"/>
  <c r="M155" i="5"/>
  <c r="U155" i="5"/>
  <c r="AC155" i="5"/>
  <c r="AK155" i="5"/>
  <c r="AZ73" i="5"/>
  <c r="BB89" i="5"/>
  <c r="M117" i="5"/>
  <c r="U117" i="5"/>
  <c r="U116" i="5" s="1"/>
  <c r="AC117" i="5"/>
  <c r="AK117" i="5"/>
  <c r="AY118" i="5"/>
  <c r="AZ130" i="5"/>
  <c r="AZ129" i="5" s="1"/>
  <c r="AY142" i="5"/>
  <c r="U142" i="5"/>
  <c r="AC142" i="5"/>
  <c r="AK142" i="5"/>
  <c r="AL155" i="5"/>
  <c r="AT221" i="5"/>
  <c r="H218" i="5"/>
  <c r="AV221" i="5"/>
  <c r="P218" i="5"/>
  <c r="AF218" i="5"/>
  <c r="AZ221" i="5"/>
  <c r="AX88" i="5"/>
  <c r="N117" i="5"/>
  <c r="V117" i="5"/>
  <c r="AD117" i="5"/>
  <c r="AL117" i="5"/>
  <c r="AM142" i="5"/>
  <c r="AZ143" i="5"/>
  <c r="AZ142" i="5" s="1"/>
  <c r="AW155" i="5"/>
  <c r="AX221" i="5"/>
  <c r="AV156" i="5"/>
  <c r="AV155" i="5" s="1"/>
  <c r="O176" i="5"/>
  <c r="O167" i="5" s="1"/>
  <c r="W176" i="5"/>
  <c r="W167" i="5" s="1"/>
  <c r="AE176" i="5"/>
  <c r="AM176" i="5"/>
  <c r="AW168" i="5"/>
  <c r="AW176" i="5" s="1"/>
  <c r="AW167" i="5" s="1"/>
  <c r="H183" i="5"/>
  <c r="AT184" i="5"/>
  <c r="AV184" i="5"/>
  <c r="P183" i="5"/>
  <c r="X183" i="5"/>
  <c r="AF183" i="5"/>
  <c r="AZ184" i="5"/>
  <c r="AZ187" i="5"/>
  <c r="BA208" i="5"/>
  <c r="BB219" i="5"/>
  <c r="AT222" i="5"/>
  <c r="AV222" i="5"/>
  <c r="AX222" i="5"/>
  <c r="AZ222" i="5"/>
  <c r="BB222" i="5"/>
  <c r="AU225" i="5"/>
  <c r="AY225" i="5"/>
  <c r="AW225" i="5"/>
  <c r="H176" i="5"/>
  <c r="H167" i="5" s="1"/>
  <c r="P176" i="5"/>
  <c r="P167" i="5" s="1"/>
  <c r="X176" i="5"/>
  <c r="X167" i="5" s="1"/>
  <c r="AF176" i="5"/>
  <c r="AF167" i="5" s="1"/>
  <c r="AN176" i="5"/>
  <c r="AN167" i="5" s="1"/>
  <c r="AA155" i="5"/>
  <c r="AI155" i="5"/>
  <c r="I176" i="5"/>
  <c r="I167" i="5" s="1"/>
  <c r="Q176" i="5"/>
  <c r="Q167" i="5" s="1"/>
  <c r="Y176" i="5"/>
  <c r="Y167" i="5" s="1"/>
  <c r="AO176" i="5"/>
  <c r="AO167" i="5" s="1"/>
  <c r="AY168" i="5"/>
  <c r="AX184" i="5"/>
  <c r="J218" i="5"/>
  <c r="AT219" i="5"/>
  <c r="R218" i="5"/>
  <c r="AV219" i="5"/>
  <c r="Z218" i="5"/>
  <c r="AH218" i="5"/>
  <c r="AZ219" i="5"/>
  <c r="AP176" i="5"/>
  <c r="AP167" i="5" s="1"/>
  <c r="AT185" i="5"/>
  <c r="AV185" i="5"/>
  <c r="AX185" i="5"/>
  <c r="AZ185" i="5"/>
  <c r="AU189" i="5"/>
  <c r="AY189" i="5"/>
  <c r="AT190" i="5"/>
  <c r="AV190" i="5"/>
  <c r="AX190" i="5"/>
  <c r="AZ190" i="5"/>
  <c r="BB190" i="5"/>
  <c r="BB208" i="5"/>
  <c r="AU215" i="5"/>
  <c r="AY215" i="5"/>
  <c r="K176" i="5"/>
  <c r="K167" i="5" s="1"/>
  <c r="S176" i="5"/>
  <c r="S167" i="5" s="1"/>
  <c r="AA176" i="5"/>
  <c r="AI176" i="5"/>
  <c r="AQ176" i="5"/>
  <c r="AQ167" i="5" s="1"/>
  <c r="AU191" i="5"/>
  <c r="AW191" i="5"/>
  <c r="AY191" i="5"/>
  <c r="AT192" i="5"/>
  <c r="AX192" i="5"/>
  <c r="AZ192" i="5"/>
  <c r="BB192" i="5"/>
  <c r="BA200" i="5"/>
  <c r="BB202" i="5"/>
  <c r="BB211" i="5"/>
  <c r="L176" i="5"/>
  <c r="L167" i="5" s="1"/>
  <c r="T176" i="5"/>
  <c r="T167" i="5" s="1"/>
  <c r="AB176" i="5"/>
  <c r="AB167" i="5" s="1"/>
  <c r="AK183" i="5"/>
  <c r="I183" i="5"/>
  <c r="Q183" i="5"/>
  <c r="AV192" i="5"/>
  <c r="Y183" i="5"/>
  <c r="AG183" i="5"/>
  <c r="AU193" i="5"/>
  <c r="L183" i="5"/>
  <c r="AW193" i="5"/>
  <c r="T183" i="5"/>
  <c r="AY193" i="5"/>
  <c r="AB183" i="5"/>
  <c r="AU203" i="5"/>
  <c r="AW203" i="5"/>
  <c r="AY203" i="5"/>
  <c r="AT204" i="5"/>
  <c r="AX204" i="5"/>
  <c r="AZ204" i="5"/>
  <c r="AU212" i="5"/>
  <c r="AW212" i="5"/>
  <c r="AY212" i="5"/>
  <c r="AY184" i="5"/>
  <c r="AQ218" i="5"/>
  <c r="AY228" i="5"/>
  <c r="AT229" i="5"/>
  <c r="AV229" i="5"/>
  <c r="AX229" i="5"/>
  <c r="AZ229" i="5"/>
  <c r="AU230" i="5"/>
  <c r="AW230" i="5"/>
  <c r="AY230" i="5"/>
  <c r="AB227" i="5"/>
  <c r="BA230" i="5"/>
  <c r="AJ227" i="5"/>
  <c r="M252" i="5"/>
  <c r="M270" i="5" s="1"/>
  <c r="M183" i="5"/>
  <c r="AU242" i="5"/>
  <c r="AU219" i="5"/>
  <c r="AT231" i="5"/>
  <c r="AV231" i="5"/>
  <c r="AX231" i="5"/>
  <c r="AZ231" i="5"/>
  <c r="AV237" i="5"/>
  <c r="Q272" i="5"/>
  <c r="AX243" i="5"/>
  <c r="AW242" i="5"/>
  <c r="AY242" i="5"/>
  <c r="AW219" i="5"/>
  <c r="AK239" i="5"/>
  <c r="J252" i="5"/>
  <c r="J270" i="5" s="1"/>
  <c r="R252" i="5"/>
  <c r="R270" i="5" s="1"/>
  <c r="Z252" i="5"/>
  <c r="Z270" i="5" s="1"/>
  <c r="AH252" i="5"/>
  <c r="AH270" i="5" s="1"/>
  <c r="AZ253" i="5"/>
  <c r="AP252" i="5"/>
  <c r="AP270" i="5" s="1"/>
  <c r="AT274" i="5"/>
  <c r="BB206" i="5"/>
  <c r="X252" i="5"/>
  <c r="X270" i="5" s="1"/>
  <c r="AX265" i="5"/>
  <c r="AZ265" i="5"/>
  <c r="AF252" i="5"/>
  <c r="AF270" i="5" s="1"/>
  <c r="BB200" i="5"/>
  <c r="AB218" i="5"/>
  <c r="L227" i="5"/>
  <c r="AF227" i="5"/>
  <c r="BB229" i="5"/>
  <c r="AU231" i="5"/>
  <c r="AZ241" i="5"/>
  <c r="AW255" i="5"/>
  <c r="U252" i="5"/>
  <c r="U270" i="5" s="1"/>
  <c r="AY255" i="5"/>
  <c r="AC252" i="5"/>
  <c r="AC270" i="5" s="1"/>
  <c r="AK252" i="5"/>
  <c r="AK270" i="5" s="1"/>
  <c r="AW240" i="5"/>
  <c r="L272" i="5"/>
  <c r="L285" i="5"/>
  <c r="T285" i="5"/>
  <c r="AB285" i="5"/>
  <c r="AJ285" i="5"/>
  <c r="AJ284" i="5" s="1"/>
  <c r="AZ288" i="5"/>
  <c r="AZ285" i="5" s="1"/>
  <c r="AT241" i="5"/>
  <c r="BB241" i="5"/>
  <c r="AW247" i="5"/>
  <c r="AN252" i="5"/>
  <c r="AN270" i="5" s="1"/>
  <c r="AX263" i="5"/>
  <c r="S283" i="5"/>
  <c r="AA283" i="5"/>
  <c r="AI283" i="5"/>
  <c r="AQ283" i="5"/>
  <c r="BB233" i="5"/>
  <c r="BB235" i="5"/>
  <c r="AT237" i="5"/>
  <c r="BB237" i="5"/>
  <c r="L239" i="5"/>
  <c r="L251" i="5" s="1"/>
  <c r="AB239" i="5"/>
  <c r="AB251" i="5" s="1"/>
  <c r="AJ239" i="5"/>
  <c r="AJ251" i="5" s="1"/>
  <c r="BB246" i="5"/>
  <c r="AT249" i="5"/>
  <c r="AV249" i="5"/>
  <c r="N252" i="5"/>
  <c r="N270" i="5" s="1"/>
  <c r="V252" i="5"/>
  <c r="V270" i="5" s="1"/>
  <c r="AD252" i="5"/>
  <c r="AD270" i="5" s="1"/>
  <c r="AX255" i="5"/>
  <c r="AT259" i="5"/>
  <c r="AV259" i="5"/>
  <c r="AX259" i="5"/>
  <c r="K270" i="5"/>
  <c r="BB228" i="5"/>
  <c r="AV241" i="5"/>
  <c r="AW256" i="5"/>
  <c r="AU269" i="5"/>
  <c r="AY269" i="5"/>
  <c r="AT269" i="5"/>
  <c r="O285" i="5"/>
  <c r="AU286" i="5"/>
  <c r="AU285" i="5" s="1"/>
  <c r="AY286" i="5"/>
  <c r="AY285" i="5" s="1"/>
  <c r="AE285" i="5"/>
  <c r="BA286" i="5"/>
  <c r="BA285" i="5" s="1"/>
  <c r="AM285" i="5"/>
  <c r="AY248" i="5"/>
  <c r="BA248" i="5"/>
  <c r="BB249" i="5"/>
  <c r="AB252" i="5"/>
  <c r="AB270" i="5" s="1"/>
  <c r="AX254" i="5"/>
  <c r="AZ254" i="5"/>
  <c r="AX258" i="5"/>
  <c r="AZ258" i="5"/>
  <c r="AV266" i="5"/>
  <c r="AX266" i="5"/>
  <c r="AX267" i="5"/>
  <c r="AW269" i="5"/>
  <c r="X272" i="5"/>
  <c r="AX283" i="5"/>
  <c r="P285" i="5"/>
  <c r="X285" i="5"/>
  <c r="AF285" i="5"/>
  <c r="AW237" i="5"/>
  <c r="AX241" i="5"/>
  <c r="AX247" i="5"/>
  <c r="AT253" i="5"/>
  <c r="AV253" i="5"/>
  <c r="AX253" i="5"/>
  <c r="AT257" i="5"/>
  <c r="AV257" i="5"/>
  <c r="AX257" i="5"/>
  <c r="AU263" i="5"/>
  <c r="AY263" i="5"/>
  <c r="BA263" i="5"/>
  <c r="AZ266" i="5"/>
  <c r="AT288" i="5"/>
  <c r="AT285" i="5" s="1"/>
  <c r="K285" i="5"/>
  <c r="AX288" i="5"/>
  <c r="AX285" i="5" s="1"/>
  <c r="AA285" i="5"/>
  <c r="BB232" i="5"/>
  <c r="BB234" i="5"/>
  <c r="BB243" i="5"/>
  <c r="AW244" i="5"/>
  <c r="AZ245" i="5"/>
  <c r="AU246" i="5"/>
  <c r="L252" i="5"/>
  <c r="L270" i="5" s="1"/>
  <c r="I252" i="5"/>
  <c r="I270" i="5" s="1"/>
  <c r="Q252" i="5"/>
  <c r="Q270" i="5" s="1"/>
  <c r="Y252" i="5"/>
  <c r="Y270" i="5" s="1"/>
  <c r="AG252" i="5"/>
  <c r="AG270" i="5" s="1"/>
  <c r="AO252" i="5"/>
  <c r="AO270" i="5" s="1"/>
  <c r="BB260" i="5"/>
  <c r="X283" i="5"/>
  <c r="AF283" i="5"/>
  <c r="AN283" i="5"/>
  <c r="AV288" i="5"/>
  <c r="AV285" i="5" s="1"/>
  <c r="BB254" i="5"/>
  <c r="BB256" i="5"/>
  <c r="BB258" i="5"/>
  <c r="AZ269" i="5"/>
  <c r="BB253" i="5"/>
  <c r="BB255" i="5"/>
  <c r="BB257" i="5"/>
  <c r="BB259" i="5"/>
  <c r="AV280" i="5"/>
  <c r="AV283" i="5" s="1"/>
  <c r="AQ252" i="5"/>
  <c r="AQ239" i="5"/>
  <c r="BB239" i="4"/>
  <c r="AQ227" i="5"/>
  <c r="BB224" i="5"/>
  <c r="AQ183" i="5"/>
  <c r="BB189" i="5"/>
  <c r="BB155" i="4"/>
  <c r="BB141" i="4" s="1"/>
  <c r="BB155" i="5"/>
  <c r="AQ155" i="5"/>
  <c r="BB129" i="4"/>
  <c r="AQ129" i="5"/>
  <c r="AQ116" i="4"/>
  <c r="BB131" i="5"/>
  <c r="BB129" i="5" s="1"/>
  <c r="BB102" i="5"/>
  <c r="BB88" i="5"/>
  <c r="U64" i="5" l="1"/>
  <c r="AE82" i="5"/>
  <c r="AB116" i="5"/>
  <c r="AX90" i="5"/>
  <c r="Q284" i="5"/>
  <c r="L83" i="4"/>
  <c r="AL64" i="5"/>
  <c r="AL65" i="5" s="1"/>
  <c r="AW284" i="5"/>
  <c r="BA82" i="4"/>
  <c r="M178" i="4"/>
  <c r="BA260" i="5"/>
  <c r="AI284" i="5"/>
  <c r="AM214" i="5"/>
  <c r="BA214" i="5" s="1"/>
  <c r="BA214" i="4"/>
  <c r="AM261" i="5"/>
  <c r="BA261" i="5" s="1"/>
  <c r="BA261" i="4"/>
  <c r="AF83" i="4"/>
  <c r="AF65" i="4"/>
  <c r="AM210" i="5"/>
  <c r="BA210" i="4"/>
  <c r="AW57" i="5"/>
  <c r="AH83" i="4"/>
  <c r="AW64" i="4"/>
  <c r="AR99" i="4"/>
  <c r="AR103" i="4" s="1"/>
  <c r="AR104" i="4" s="1"/>
  <c r="BB275" i="5"/>
  <c r="N178" i="4"/>
  <c r="AG284" i="5"/>
  <c r="AO116" i="5"/>
  <c r="AD82" i="5"/>
  <c r="AG116" i="5"/>
  <c r="AB284" i="5"/>
  <c r="AZ284" i="5"/>
  <c r="L82" i="5"/>
  <c r="AF238" i="4"/>
  <c r="AF273" i="4" s="1"/>
  <c r="AU64" i="4"/>
  <c r="AU65" i="4" s="1"/>
  <c r="AZ284" i="4"/>
  <c r="AU117" i="5"/>
  <c r="AU116" i="5" s="1"/>
  <c r="K82" i="5"/>
  <c r="R16" i="9"/>
  <c r="AL16" i="9" s="1"/>
  <c r="AV272" i="5"/>
  <c r="AD116" i="5"/>
  <c r="AK64" i="5"/>
  <c r="AK65" i="5" s="1"/>
  <c r="BA185" i="4"/>
  <c r="BA217" i="4"/>
  <c r="AY272" i="5"/>
  <c r="AY284" i="4"/>
  <c r="X141" i="5"/>
  <c r="AM284" i="5"/>
  <c r="AK116" i="5"/>
  <c r="BA258" i="4"/>
  <c r="O116" i="5"/>
  <c r="AA82" i="5"/>
  <c r="AX272" i="5"/>
  <c r="V64" i="5"/>
  <c r="V65" i="5" s="1"/>
  <c r="AA64" i="5"/>
  <c r="AR83" i="5"/>
  <c r="S11" i="9"/>
  <c r="AM11" i="9" s="1"/>
  <c r="Q116" i="5"/>
  <c r="AG64" i="5"/>
  <c r="AG65" i="5" s="1"/>
  <c r="BA216" i="5"/>
  <c r="AW272" i="5"/>
  <c r="AU284" i="4"/>
  <c r="AU272" i="5"/>
  <c r="M116" i="5"/>
  <c r="L64" i="5"/>
  <c r="BA64" i="4"/>
  <c r="BA65" i="4" s="1"/>
  <c r="AY116" i="4"/>
  <c r="AT82" i="4"/>
  <c r="AT83" i="4" s="1"/>
  <c r="AT272" i="5"/>
  <c r="V116" i="5"/>
  <c r="AU57" i="5"/>
  <c r="AD284" i="5"/>
  <c r="AL284" i="5"/>
  <c r="AM221" i="5"/>
  <c r="BA221" i="5" s="1"/>
  <c r="AY90" i="5"/>
  <c r="I82" i="5"/>
  <c r="BA202" i="4"/>
  <c r="AU116" i="4"/>
  <c r="N284" i="5"/>
  <c r="BA116" i="4"/>
  <c r="AR94" i="4"/>
  <c r="AR105" i="4"/>
  <c r="AR110" i="4" s="1"/>
  <c r="AR182" i="4"/>
  <c r="AR236" i="4" s="1"/>
  <c r="AR238" i="4" s="1"/>
  <c r="AV116" i="4"/>
  <c r="AX64" i="4"/>
  <c r="AX65" i="4" s="1"/>
  <c r="AY64" i="4"/>
  <c r="AY65" i="4" s="1"/>
  <c r="AR100" i="4"/>
  <c r="BA226" i="4"/>
  <c r="AJ83" i="4"/>
  <c r="AJ98" i="4" s="1"/>
  <c r="AJ99" i="4" s="1"/>
  <c r="AG141" i="5"/>
  <c r="M82" i="5"/>
  <c r="T64" i="5"/>
  <c r="T65" i="5" s="1"/>
  <c r="BA255" i="4"/>
  <c r="BA231" i="4"/>
  <c r="BA219" i="5"/>
  <c r="BA141" i="4"/>
  <c r="AM32" i="9"/>
  <c r="S24" i="9"/>
  <c r="AH82" i="5"/>
  <c r="AN116" i="5"/>
  <c r="AZ272" i="5"/>
  <c r="AC284" i="5"/>
  <c r="BA242" i="5"/>
  <c r="BA232" i="4"/>
  <c r="BA204" i="4"/>
  <c r="AX116" i="4"/>
  <c r="BA233" i="5"/>
  <c r="BA203" i="4"/>
  <c r="W116" i="5"/>
  <c r="AB83" i="4"/>
  <c r="AB87" i="4" s="1"/>
  <c r="BB272" i="5"/>
  <c r="S116" i="5"/>
  <c r="BA234" i="4"/>
  <c r="BA191" i="4"/>
  <c r="I116" i="5"/>
  <c r="AV82" i="4"/>
  <c r="AV83" i="4" s="1"/>
  <c r="AV87" i="4" s="1"/>
  <c r="AV91" i="4" s="1"/>
  <c r="AV93" i="4" s="1"/>
  <c r="AH271" i="4"/>
  <c r="K64" i="5"/>
  <c r="K65" i="5" s="1"/>
  <c r="BA241" i="4"/>
  <c r="I178" i="4"/>
  <c r="P64" i="5"/>
  <c r="P65" i="5" s="1"/>
  <c r="AU141" i="4"/>
  <c r="W82" i="5"/>
  <c r="V34" i="9"/>
  <c r="B37" i="9"/>
  <c r="P284" i="5"/>
  <c r="AN141" i="5"/>
  <c r="AL116" i="5"/>
  <c r="AT90" i="5"/>
  <c r="AW141" i="4"/>
  <c r="AF64" i="5"/>
  <c r="AF65" i="5" s="1"/>
  <c r="BB90" i="5"/>
  <c r="AV141" i="4"/>
  <c r="AH14" i="9"/>
  <c r="N11" i="9"/>
  <c r="AH11" i="9" s="1"/>
  <c r="AX106" i="5"/>
  <c r="AL105" i="4"/>
  <c r="AL110" i="4" s="1"/>
  <c r="AL111" i="4" s="1"/>
  <c r="AP82" i="5"/>
  <c r="AT116" i="4"/>
  <c r="AH284" i="5"/>
  <c r="O34" i="9"/>
  <c r="W34" i="9"/>
  <c r="C37" i="9"/>
  <c r="AK251" i="5"/>
  <c r="AF284" i="5"/>
  <c r="AW218" i="5"/>
  <c r="AC116" i="5"/>
  <c r="I64" i="5"/>
  <c r="AL182" i="4"/>
  <c r="AL236" i="4" s="1"/>
  <c r="E37" i="9"/>
  <c r="Y34" i="9"/>
  <c r="BB284" i="5"/>
  <c r="BA284" i="4"/>
  <c r="AO183" i="5"/>
  <c r="AY57" i="5"/>
  <c r="AB82" i="5"/>
  <c r="AL239" i="5"/>
  <c r="AL65" i="4"/>
  <c r="R82" i="5"/>
  <c r="X34" i="9"/>
  <c r="D37" i="9"/>
  <c r="AK24" i="9"/>
  <c r="R11" i="9"/>
  <c r="AL11" i="9" s="1"/>
  <c r="AL14" i="9"/>
  <c r="AJ15" i="9"/>
  <c r="P11" i="9"/>
  <c r="AJ11" i="9" s="1"/>
  <c r="P16" i="9"/>
  <c r="AJ16" i="9" s="1"/>
  <c r="AL98" i="4"/>
  <c r="AL99" i="4" s="1"/>
  <c r="AL103" i="4" s="1"/>
  <c r="AL104" i="4" s="1"/>
  <c r="BA249" i="4"/>
  <c r="O82" i="5"/>
  <c r="AU72" i="4"/>
  <c r="AU82" i="4" s="1"/>
  <c r="AU83" i="4" s="1"/>
  <c r="AU87" i="4" s="1"/>
  <c r="AU91" i="4" s="1"/>
  <c r="AU93" i="4" s="1"/>
  <c r="R83" i="4"/>
  <c r="R98" i="4" s="1"/>
  <c r="R99" i="4" s="1"/>
  <c r="AT141" i="4"/>
  <c r="AI82" i="5"/>
  <c r="AI83" i="5" s="1"/>
  <c r="AX141" i="4"/>
  <c r="AH33" i="9"/>
  <c r="Q11" i="9"/>
  <c r="AK11" i="9" s="1"/>
  <c r="AL32" i="9"/>
  <c r="R24" i="9"/>
  <c r="BB116" i="4"/>
  <c r="AO82" i="5"/>
  <c r="H64" i="5"/>
  <c r="H65" i="5" s="1"/>
  <c r="BA256" i="5"/>
  <c r="BA210" i="5"/>
  <c r="AQ82" i="5"/>
  <c r="AE64" i="5"/>
  <c r="AE83" i="5" s="1"/>
  <c r="AK284" i="5"/>
  <c r="W64" i="5"/>
  <c r="W65" i="5" s="1"/>
  <c r="AU86" i="5"/>
  <c r="AU90" i="5"/>
  <c r="AX86" i="5"/>
  <c r="V141" i="5"/>
  <c r="BA90" i="5"/>
  <c r="AW90" i="5"/>
  <c r="Y116" i="5"/>
  <c r="J82" i="5"/>
  <c r="BB57" i="5"/>
  <c r="AX218" i="5"/>
  <c r="BA117" i="5"/>
  <c r="BA116" i="5" s="1"/>
  <c r="N72" i="5"/>
  <c r="N82" i="5" s="1"/>
  <c r="S82" i="5"/>
  <c r="S83" i="5" s="1"/>
  <c r="N64" i="5"/>
  <c r="N65" i="5" s="1"/>
  <c r="AX73" i="5"/>
  <c r="AX72" i="5" s="1"/>
  <c r="M64" i="5"/>
  <c r="AW86" i="5"/>
  <c r="AH64" i="5"/>
  <c r="AH65" i="5" s="1"/>
  <c r="AM82" i="5"/>
  <c r="H82" i="5"/>
  <c r="AL82" i="5"/>
  <c r="AL83" i="5" s="1"/>
  <c r="AL98" i="5" s="1"/>
  <c r="AL99" i="5" s="1"/>
  <c r="BB63" i="5"/>
  <c r="AZ90" i="5"/>
  <c r="AV57" i="5"/>
  <c r="AF236" i="5"/>
  <c r="AF271" i="5" s="1"/>
  <c r="Z141" i="5"/>
  <c r="AV72" i="5"/>
  <c r="BB72" i="5"/>
  <c r="T82" i="5"/>
  <c r="AN64" i="5"/>
  <c r="AN65" i="5" s="1"/>
  <c r="AT86" i="5"/>
  <c r="W141" i="5"/>
  <c r="AY239" i="5"/>
  <c r="AY251" i="5" s="1"/>
  <c r="AX227" i="5"/>
  <c r="AT72" i="5"/>
  <c r="AY86" i="5"/>
  <c r="M141" i="5"/>
  <c r="AU141" i="5"/>
  <c r="AQ64" i="5"/>
  <c r="AO141" i="5"/>
  <c r="O64" i="5"/>
  <c r="AB64" i="5"/>
  <c r="AB65" i="5" s="1"/>
  <c r="H116" i="5"/>
  <c r="AG82" i="5"/>
  <c r="AE116" i="5"/>
  <c r="AY63" i="5"/>
  <c r="Z64" i="5"/>
  <c r="Z65" i="5" s="1"/>
  <c r="I141" i="5"/>
  <c r="N116" i="5"/>
  <c r="AL141" i="5"/>
  <c r="AT57" i="5"/>
  <c r="AZ227" i="5"/>
  <c r="AE284" i="5"/>
  <c r="Z284" i="5"/>
  <c r="AV239" i="5"/>
  <c r="AV251" i="5" s="1"/>
  <c r="Y82" i="5"/>
  <c r="Y83" i="5" s="1"/>
  <c r="AJ64" i="5"/>
  <c r="AJ65" i="5" s="1"/>
  <c r="R64" i="5"/>
  <c r="AU239" i="5"/>
  <c r="AU251" i="5" s="1"/>
  <c r="AC82" i="5"/>
  <c r="AU252" i="5"/>
  <c r="AU270" i="5" s="1"/>
  <c r="BB227" i="5"/>
  <c r="P141" i="5"/>
  <c r="AJ116" i="5"/>
  <c r="Q64" i="5"/>
  <c r="Q65" i="5" s="1"/>
  <c r="AX66" i="5"/>
  <c r="BA284" i="5"/>
  <c r="AY218" i="5"/>
  <c r="Z82" i="5"/>
  <c r="J64" i="5"/>
  <c r="AT227" i="5"/>
  <c r="AG236" i="5"/>
  <c r="AG271" i="5" s="1"/>
  <c r="AV90" i="5"/>
  <c r="AV63" i="5"/>
  <c r="H141" i="5"/>
  <c r="AU66" i="5"/>
  <c r="AC64" i="5"/>
  <c r="BA215" i="5"/>
  <c r="BA185" i="5"/>
  <c r="AY252" i="5"/>
  <c r="AY270" i="5" s="1"/>
  <c r="X116" i="5"/>
  <c r="AV86" i="5"/>
  <c r="AP98" i="4"/>
  <c r="AP99" i="4" s="1"/>
  <c r="AP100" i="4" s="1"/>
  <c r="AP87" i="4"/>
  <c r="AP91" i="4" s="1"/>
  <c r="AP93" i="4" s="1"/>
  <c r="AP105" i="4" s="1"/>
  <c r="AP110" i="4" s="1"/>
  <c r="AP111" i="4" s="1"/>
  <c r="L87" i="4"/>
  <c r="L98" i="4"/>
  <c r="L99" i="4" s="1"/>
  <c r="L100" i="4" s="1"/>
  <c r="AH87" i="4"/>
  <c r="AH91" i="4" s="1"/>
  <c r="AH93" i="4" s="1"/>
  <c r="AH105" i="4" s="1"/>
  <c r="AH110" i="4" s="1"/>
  <c r="AH111" i="4" s="1"/>
  <c r="AH98" i="4"/>
  <c r="AH99" i="4" s="1"/>
  <c r="AH103" i="4" s="1"/>
  <c r="AH104" i="4" s="1"/>
  <c r="T116" i="5"/>
  <c r="BB221" i="5"/>
  <c r="AW141" i="5"/>
  <c r="AP116" i="5"/>
  <c r="AQ141" i="5"/>
  <c r="Y141" i="5"/>
  <c r="O141" i="5"/>
  <c r="L116" i="5"/>
  <c r="AM250" i="4"/>
  <c r="AM250" i="5" s="1"/>
  <c r="AV252" i="5"/>
  <c r="AV270" i="5" s="1"/>
  <c r="AW227" i="5"/>
  <c r="U141" i="5"/>
  <c r="Q141" i="5"/>
  <c r="AP141" i="5"/>
  <c r="AY101" i="5"/>
  <c r="AT63" i="5"/>
  <c r="AT64" i="5" s="1"/>
  <c r="BA265" i="4"/>
  <c r="BA201" i="4"/>
  <c r="BA194" i="4"/>
  <c r="T91" i="4"/>
  <c r="AZ64" i="4"/>
  <c r="AZ65" i="4" s="1"/>
  <c r="P116" i="5"/>
  <c r="Z116" i="5"/>
  <c r="AX82" i="4"/>
  <c r="AW82" i="4"/>
  <c r="AW83" i="4" s="1"/>
  <c r="AT141" i="5"/>
  <c r="AF141" i="5"/>
  <c r="AY106" i="5"/>
  <c r="AT218" i="5"/>
  <c r="N141" i="5"/>
  <c r="AC141" i="5"/>
  <c r="AU77" i="5"/>
  <c r="AU72" i="5" s="1"/>
  <c r="AI116" i="5"/>
  <c r="AH116" i="5"/>
  <c r="X64" i="5"/>
  <c r="X65" i="5" s="1"/>
  <c r="AT252" i="5"/>
  <c r="AT270" i="5" s="1"/>
  <c r="AT239" i="5"/>
  <c r="AT251" i="5" s="1"/>
  <c r="AW239" i="5"/>
  <c r="AW251" i="5" s="1"/>
  <c r="AW252" i="5"/>
  <c r="AW270" i="5" s="1"/>
  <c r="AV227" i="5"/>
  <c r="AU227" i="5"/>
  <c r="AW183" i="5"/>
  <c r="AZ218" i="5"/>
  <c r="AX183" i="5"/>
  <c r="BB86" i="5"/>
  <c r="AH141" i="5"/>
  <c r="AZ63" i="5"/>
  <c r="BA86" i="5"/>
  <c r="AO64" i="5"/>
  <c r="AL218" i="5"/>
  <c r="K116" i="5"/>
  <c r="AY66" i="5"/>
  <c r="BA201" i="5"/>
  <c r="BA203" i="5"/>
  <c r="AD141" i="5"/>
  <c r="BB284" i="4"/>
  <c r="R116" i="5"/>
  <c r="BB82" i="4"/>
  <c r="AK82" i="5"/>
  <c r="AZ239" i="5"/>
  <c r="AZ251" i="5" s="1"/>
  <c r="BB218" i="5"/>
  <c r="AW116" i="4"/>
  <c r="AD64" i="5"/>
  <c r="AD65" i="5" s="1"/>
  <c r="AU183" i="5"/>
  <c r="AI236" i="5"/>
  <c r="AZ66" i="5"/>
  <c r="BA84" i="5"/>
  <c r="BA216" i="4"/>
  <c r="AW66" i="5"/>
  <c r="AX57" i="5"/>
  <c r="AT284" i="4"/>
  <c r="J116" i="5"/>
  <c r="AK141" i="5"/>
  <c r="H178" i="4"/>
  <c r="BA242" i="4"/>
  <c r="AH236" i="5"/>
  <c r="AH238" i="5" s="1"/>
  <c r="AH273" i="5" s="1"/>
  <c r="AQ116" i="5"/>
  <c r="AX239" i="5"/>
  <c r="AX251" i="5" s="1"/>
  <c r="AY284" i="5"/>
  <c r="AA284" i="5"/>
  <c r="AU218" i="5"/>
  <c r="AZ72" i="5"/>
  <c r="AZ86" i="5"/>
  <c r="R141" i="5"/>
  <c r="AM116" i="5"/>
  <c r="U82" i="5"/>
  <c r="U83" i="5" s="1"/>
  <c r="AZ141" i="4"/>
  <c r="AY141" i="4"/>
  <c r="AZ57" i="5"/>
  <c r="AP64" i="5"/>
  <c r="AF116" i="5"/>
  <c r="Y98" i="4"/>
  <c r="Y99" i="4" s="1"/>
  <c r="Y87" i="4"/>
  <c r="Y65" i="5"/>
  <c r="O98" i="4"/>
  <c r="O99" i="4" s="1"/>
  <c r="O87" i="4"/>
  <c r="Z98" i="4"/>
  <c r="Z99" i="4" s="1"/>
  <c r="Z87" i="4"/>
  <c r="AX275" i="5"/>
  <c r="AY274" i="5" s="1"/>
  <c r="AX117" i="5"/>
  <c r="AX116" i="5" s="1"/>
  <c r="BA233" i="4"/>
  <c r="BA193" i="4"/>
  <c r="BA229" i="5"/>
  <c r="BB66" i="5"/>
  <c r="AN82" i="5"/>
  <c r="S65" i="5"/>
  <c r="AG98" i="4"/>
  <c r="AG99" i="4" s="1"/>
  <c r="AG87" i="4"/>
  <c r="AG91" i="4" s="1"/>
  <c r="AG93" i="4" s="1"/>
  <c r="V87" i="4"/>
  <c r="V98" i="4"/>
  <c r="V99" i="4" s="1"/>
  <c r="AE98" i="4"/>
  <c r="AE99" i="4" s="1"/>
  <c r="AE87" i="4"/>
  <c r="AM228" i="5"/>
  <c r="AM227" i="4"/>
  <c r="N98" i="4"/>
  <c r="N99" i="4" s="1"/>
  <c r="N87" i="4"/>
  <c r="H98" i="4"/>
  <c r="H99" i="4" s="1"/>
  <c r="H87" i="4"/>
  <c r="AJ141" i="5"/>
  <c r="AJ82" i="5"/>
  <c r="BA66" i="5"/>
  <c r="BA229" i="4"/>
  <c r="AG271" i="4"/>
  <c r="AG238" i="4"/>
  <c r="AG273" i="4" s="1"/>
  <c r="P98" i="4"/>
  <c r="P99" i="4" s="1"/>
  <c r="P87" i="4"/>
  <c r="Q98" i="4"/>
  <c r="Q99" i="4" s="1"/>
  <c r="Q87" i="4"/>
  <c r="AX284" i="5"/>
  <c r="AB141" i="5"/>
  <c r="AV218" i="5"/>
  <c r="AZ183" i="5"/>
  <c r="BA176" i="5"/>
  <c r="BA167" i="5" s="1"/>
  <c r="BA141" i="5" s="1"/>
  <c r="AM167" i="5"/>
  <c r="AM141" i="5" s="1"/>
  <c r="AY275" i="5"/>
  <c r="AZ274" i="5" s="1"/>
  <c r="AY117" i="5"/>
  <c r="AY116" i="5" s="1"/>
  <c r="T141" i="5"/>
  <c r="S141" i="5"/>
  <c r="BA72" i="5"/>
  <c r="K284" i="5"/>
  <c r="AM240" i="5"/>
  <c r="AM239" i="4"/>
  <c r="AU284" i="5"/>
  <c r="AL250" i="5"/>
  <c r="AL272" i="4"/>
  <c r="AF82" i="5"/>
  <c r="AA83" i="4"/>
  <c r="AA65" i="4"/>
  <c r="AO98" i="4"/>
  <c r="AO99" i="4" s="1"/>
  <c r="AO87" i="4"/>
  <c r="AO91" i="4" s="1"/>
  <c r="AO93" i="4" s="1"/>
  <c r="AX176" i="5"/>
  <c r="AX167" i="5" s="1"/>
  <c r="AX141" i="5" s="1"/>
  <c r="AA167" i="5"/>
  <c r="AA141" i="5" s="1"/>
  <c r="AA116" i="5"/>
  <c r="BA215" i="4"/>
  <c r="AQ83" i="4"/>
  <c r="AQ65" i="4"/>
  <c r="AI65" i="5"/>
  <c r="AI271" i="4"/>
  <c r="AI238" i="4"/>
  <c r="AI273" i="4" s="1"/>
  <c r="M65" i="4"/>
  <c r="M83" i="4"/>
  <c r="AW65" i="4"/>
  <c r="AY183" i="5"/>
  <c r="AV141" i="5"/>
  <c r="AT284" i="5"/>
  <c r="BB176" i="5"/>
  <c r="BB167" i="5" s="1"/>
  <c r="BB141" i="5" s="1"/>
  <c r="AY176" i="5"/>
  <c r="AY167" i="5" s="1"/>
  <c r="AY141" i="5" s="1"/>
  <c r="AE167" i="5"/>
  <c r="AE141" i="5" s="1"/>
  <c r="L141" i="5"/>
  <c r="J141" i="5"/>
  <c r="AF106" i="5"/>
  <c r="AZ106" i="5" s="1"/>
  <c r="AZ101" i="5"/>
  <c r="BA259" i="4"/>
  <c r="AX63" i="5"/>
  <c r="BA235" i="4"/>
  <c r="AN106" i="5"/>
  <c r="BB106" i="5" s="1"/>
  <c r="BB101" i="5"/>
  <c r="O284" i="5"/>
  <c r="AM64" i="5"/>
  <c r="AV275" i="5"/>
  <c r="AW274" i="5" s="1"/>
  <c r="AV117" i="5"/>
  <c r="AV116" i="5" s="1"/>
  <c r="BA189" i="4"/>
  <c r="U65" i="5"/>
  <c r="BA223" i="5"/>
  <c r="X82" i="5"/>
  <c r="AM237" i="5"/>
  <c r="BA223" i="4"/>
  <c r="J98" i="4"/>
  <c r="J99" i="4" s="1"/>
  <c r="J87" i="4"/>
  <c r="AL227" i="5"/>
  <c r="AN83" i="4"/>
  <c r="AN65" i="4"/>
  <c r="BB64" i="4"/>
  <c r="BB65" i="4" s="1"/>
  <c r="BB276" i="4"/>
  <c r="AO276" i="5"/>
  <c r="BB276" i="5" s="1"/>
  <c r="BB183" i="5"/>
  <c r="AV284" i="5"/>
  <c r="K141" i="5"/>
  <c r="AW72" i="5"/>
  <c r="AM254" i="5"/>
  <c r="AM252" i="4"/>
  <c r="AM270" i="4" s="1"/>
  <c r="AM224" i="5"/>
  <c r="BA224" i="5" s="1"/>
  <c r="BA224" i="4"/>
  <c r="T100" i="4"/>
  <c r="T103" i="4"/>
  <c r="T104" i="4" s="1"/>
  <c r="AM98" i="4"/>
  <c r="AM99" i="4" s="1"/>
  <c r="AM87" i="4"/>
  <c r="AM91" i="4" s="1"/>
  <c r="AM93" i="4" s="1"/>
  <c r="X98" i="4"/>
  <c r="X99" i="4" s="1"/>
  <c r="X87" i="4"/>
  <c r="T94" i="4"/>
  <c r="T182" i="4"/>
  <c r="T236" i="4" s="1"/>
  <c r="T105" i="4"/>
  <c r="AI83" i="4"/>
  <c r="AI65" i="4"/>
  <c r="AK83" i="4"/>
  <c r="AK65" i="4"/>
  <c r="AM184" i="5"/>
  <c r="AM183" i="4"/>
  <c r="AT183" i="5"/>
  <c r="AZ252" i="5"/>
  <c r="AZ270" i="5" s="1"/>
  <c r="AW275" i="5"/>
  <c r="AX274" i="5" s="1"/>
  <c r="AW117" i="5"/>
  <c r="AW116" i="5" s="1"/>
  <c r="BB227" i="4"/>
  <c r="AM220" i="5"/>
  <c r="BA220" i="5" s="1"/>
  <c r="AM218" i="4"/>
  <c r="BA218" i="4" s="1"/>
  <c r="P82" i="5"/>
  <c r="BB116" i="5"/>
  <c r="AX252" i="5"/>
  <c r="AX270" i="5" s="1"/>
  <c r="AY227" i="5"/>
  <c r="AZ176" i="5"/>
  <c r="AZ167" i="5" s="1"/>
  <c r="AZ141" i="5" s="1"/>
  <c r="AI167" i="5"/>
  <c r="AI141" i="5" s="1"/>
  <c r="AV183" i="5"/>
  <c r="AW63" i="5"/>
  <c r="AW64" i="5" s="1"/>
  <c r="BA57" i="5"/>
  <c r="AU63" i="5"/>
  <c r="AM106" i="5"/>
  <c r="BA106" i="5" s="1"/>
  <c r="BA101" i="5"/>
  <c r="AL252" i="5"/>
  <c r="AL270" i="5" s="1"/>
  <c r="BA220" i="4"/>
  <c r="AZ275" i="5"/>
  <c r="BA274" i="5" s="1"/>
  <c r="AZ117" i="5"/>
  <c r="AZ116" i="5" s="1"/>
  <c r="AT275" i="5"/>
  <c r="AU274" i="5" s="1"/>
  <c r="AT117" i="5"/>
  <c r="AT116" i="5" s="1"/>
  <c r="BA211" i="4"/>
  <c r="BB218" i="4"/>
  <c r="AV66" i="5"/>
  <c r="AX284" i="4"/>
  <c r="BA260" i="4"/>
  <c r="AZ236" i="4"/>
  <c r="AZ238" i="4" s="1"/>
  <c r="AZ273" i="4" s="1"/>
  <c r="S83" i="4"/>
  <c r="S65" i="4"/>
  <c r="K83" i="4"/>
  <c r="K65" i="4"/>
  <c r="AC83" i="4"/>
  <c r="AC65" i="4"/>
  <c r="AL183" i="5"/>
  <c r="AT65" i="4"/>
  <c r="I98" i="4"/>
  <c r="I99" i="4" s="1"/>
  <c r="I87" i="4"/>
  <c r="AT66" i="5"/>
  <c r="AT82" i="5" s="1"/>
  <c r="BA63" i="5"/>
  <c r="AY72" i="5"/>
  <c r="W98" i="4"/>
  <c r="W99" i="4" s="1"/>
  <c r="W87" i="4"/>
  <c r="U83" i="4"/>
  <c r="U65" i="4"/>
  <c r="AD98" i="4"/>
  <c r="AD99" i="4" s="1"/>
  <c r="AD87" i="4"/>
  <c r="BB252" i="5"/>
  <c r="AQ270" i="5"/>
  <c r="BB270" i="5" s="1"/>
  <c r="AQ251" i="5"/>
  <c r="BB251" i="5" s="1"/>
  <c r="BB239" i="5"/>
  <c r="AF83" i="5" l="1"/>
  <c r="AV82" i="5"/>
  <c r="AF98" i="4"/>
  <c r="AF99" i="4" s="1"/>
  <c r="AF87" i="4"/>
  <c r="AF91" i="4" s="1"/>
  <c r="AF93" i="4" s="1"/>
  <c r="L65" i="5"/>
  <c r="L83" i="5"/>
  <c r="L93" i="4"/>
  <c r="L105" i="4" s="1"/>
  <c r="L91" i="4"/>
  <c r="AR111" i="4"/>
  <c r="AZ271" i="4"/>
  <c r="AG83" i="5"/>
  <c r="Q83" i="5"/>
  <c r="AK83" i="5"/>
  <c r="BA64" i="5"/>
  <c r="BA65" i="5" s="1"/>
  <c r="AA83" i="5"/>
  <c r="AA98" i="5" s="1"/>
  <c r="AA99" i="5" s="1"/>
  <c r="V83" i="5"/>
  <c r="AA65" i="5"/>
  <c r="AU64" i="5"/>
  <c r="AB98" i="4"/>
  <c r="AB99" i="4" s="1"/>
  <c r="AB103" i="4" s="1"/>
  <c r="AB104" i="4" s="1"/>
  <c r="AZ83" i="4"/>
  <c r="AH271" i="5"/>
  <c r="AZ271" i="5" s="1"/>
  <c r="AY83" i="4"/>
  <c r="K83" i="5"/>
  <c r="K98" i="5" s="1"/>
  <c r="K99" i="5" s="1"/>
  <c r="L94" i="4"/>
  <c r="AR98" i="5"/>
  <c r="AR99" i="5" s="1"/>
  <c r="AR87" i="5"/>
  <c r="AR91" i="5" s="1"/>
  <c r="AR93" i="5" s="1"/>
  <c r="AH83" i="5"/>
  <c r="AH87" i="5" s="1"/>
  <c r="AH91" i="5" s="1"/>
  <c r="AH93" i="5" s="1"/>
  <c r="AU82" i="5"/>
  <c r="AQ83" i="5"/>
  <c r="BA250" i="4"/>
  <c r="T83" i="5"/>
  <c r="T87" i="5" s="1"/>
  <c r="AR273" i="4"/>
  <c r="AR271" i="4"/>
  <c r="BA239" i="4"/>
  <c r="AH100" i="4"/>
  <c r="AJ87" i="4"/>
  <c r="AJ91" i="4" s="1"/>
  <c r="AJ93" i="4" s="1"/>
  <c r="AJ105" i="4" s="1"/>
  <c r="AX83" i="4"/>
  <c r="AX98" i="4" s="1"/>
  <c r="AX99" i="4" s="1"/>
  <c r="M83" i="5"/>
  <c r="M87" i="5" s="1"/>
  <c r="AB83" i="5"/>
  <c r="AB87" i="5" s="1"/>
  <c r="I83" i="5"/>
  <c r="I87" i="5" s="1"/>
  <c r="P34" i="9"/>
  <c r="AM24" i="9"/>
  <c r="S34" i="9"/>
  <c r="P83" i="5"/>
  <c r="P87" i="5" s="1"/>
  <c r="AX82" i="5"/>
  <c r="H83" i="5"/>
  <c r="H98" i="5" s="1"/>
  <c r="H99" i="5" s="1"/>
  <c r="AL100" i="4"/>
  <c r="AC83" i="5"/>
  <c r="AC87" i="5" s="1"/>
  <c r="AY64" i="5"/>
  <c r="AY65" i="5" s="1"/>
  <c r="AU98" i="4"/>
  <c r="AU99" i="4" s="1"/>
  <c r="AV98" i="4"/>
  <c r="AV99" i="4" s="1"/>
  <c r="AV100" i="4" s="1"/>
  <c r="AH94" i="4"/>
  <c r="AX64" i="5"/>
  <c r="AX83" i="5" s="1"/>
  <c r="O37" i="9"/>
  <c r="AI34" i="9"/>
  <c r="AQ65" i="5"/>
  <c r="BA183" i="4"/>
  <c r="I65" i="5"/>
  <c r="Q34" i="9"/>
  <c r="AL24" i="9"/>
  <c r="R34" i="9"/>
  <c r="V37" i="9"/>
  <c r="B41" i="9"/>
  <c r="AL87" i="5"/>
  <c r="AL91" i="5" s="1"/>
  <c r="AL93" i="5" s="1"/>
  <c r="AL94" i="5" s="1"/>
  <c r="R87" i="4"/>
  <c r="R91" i="4" s="1"/>
  <c r="N34" i="9"/>
  <c r="X37" i="9"/>
  <c r="D41" i="9"/>
  <c r="AE65" i="5"/>
  <c r="AJ34" i="9"/>
  <c r="P37" i="9"/>
  <c r="AM272" i="4"/>
  <c r="BA272" i="4" s="1"/>
  <c r="AM251" i="4"/>
  <c r="O83" i="5"/>
  <c r="O87" i="5" s="1"/>
  <c r="W37" i="9"/>
  <c r="C41" i="9"/>
  <c r="AZ64" i="5"/>
  <c r="AZ65" i="5" s="1"/>
  <c r="AZ82" i="5"/>
  <c r="E41" i="9"/>
  <c r="Y37" i="9"/>
  <c r="AP94" i="4"/>
  <c r="AO83" i="5"/>
  <c r="AO98" i="5" s="1"/>
  <c r="AO99" i="5" s="1"/>
  <c r="BB82" i="5"/>
  <c r="AP182" i="4"/>
  <c r="AP236" i="4" s="1"/>
  <c r="AP238" i="4" s="1"/>
  <c r="AP271" i="4" s="1"/>
  <c r="AP103" i="4"/>
  <c r="AP104" i="4" s="1"/>
  <c r="AZ236" i="5"/>
  <c r="AZ238" i="5" s="1"/>
  <c r="AZ273" i="5" s="1"/>
  <c r="AF238" i="5"/>
  <c r="AF273" i="5" s="1"/>
  <c r="M65" i="5"/>
  <c r="AI238" i="5"/>
  <c r="AI273" i="5" s="1"/>
  <c r="AC65" i="5"/>
  <c r="W83" i="5"/>
  <c r="W98" i="5" s="1"/>
  <c r="W99" i="5" s="1"/>
  <c r="BA82" i="5"/>
  <c r="O65" i="5"/>
  <c r="N83" i="5"/>
  <c r="AG238" i="5"/>
  <c r="AG273" i="5" s="1"/>
  <c r="AV64" i="5"/>
  <c r="AV65" i="5" s="1"/>
  <c r="Z83" i="5"/>
  <c r="Z87" i="5" s="1"/>
  <c r="Z91" i="5" s="1"/>
  <c r="AT83" i="5"/>
  <c r="AT87" i="5" s="1"/>
  <c r="AT91" i="5" s="1"/>
  <c r="AT93" i="5" s="1"/>
  <c r="J65" i="5"/>
  <c r="J83" i="5"/>
  <c r="BB64" i="5"/>
  <c r="BB65" i="5" s="1"/>
  <c r="R83" i="5"/>
  <c r="R65" i="5"/>
  <c r="BA250" i="5"/>
  <c r="AI271" i="5"/>
  <c r="AO65" i="5"/>
  <c r="AL272" i="5"/>
  <c r="AM218" i="5"/>
  <c r="BA218" i="5" s="1"/>
  <c r="X83" i="5"/>
  <c r="X87" i="5" s="1"/>
  <c r="L182" i="4"/>
  <c r="L236" i="4" s="1"/>
  <c r="L271" i="4" s="1"/>
  <c r="AN83" i="5"/>
  <c r="AN87" i="5" s="1"/>
  <c r="AT65" i="5"/>
  <c r="BA252" i="4"/>
  <c r="BA270" i="4" s="1"/>
  <c r="AW82" i="5"/>
  <c r="AW83" i="5" s="1"/>
  <c r="L103" i="4"/>
  <c r="L104" i="4" s="1"/>
  <c r="AD83" i="5"/>
  <c r="BA227" i="4"/>
  <c r="AP83" i="5"/>
  <c r="AP65" i="5"/>
  <c r="AY82" i="5"/>
  <c r="AB93" i="4"/>
  <c r="AB91" i="4"/>
  <c r="AW65" i="5"/>
  <c r="AU100" i="4"/>
  <c r="AU103" i="4"/>
  <c r="AU104" i="4" s="1"/>
  <c r="W93" i="4"/>
  <c r="W91" i="4"/>
  <c r="I100" i="4"/>
  <c r="I103" i="4"/>
  <c r="I104" i="4" s="1"/>
  <c r="AV103" i="4"/>
  <c r="AV104" i="4" s="1"/>
  <c r="BA254" i="5"/>
  <c r="BA252" i="5" s="1"/>
  <c r="BA270" i="5" s="1"/>
  <c r="AM252" i="5"/>
  <c r="AM270" i="5" s="1"/>
  <c r="J100" i="4"/>
  <c r="J103" i="4"/>
  <c r="J104" i="4" s="1"/>
  <c r="AO100" i="4"/>
  <c r="AO103" i="4"/>
  <c r="AO104" i="4" s="1"/>
  <c r="AM227" i="5"/>
  <c r="BA228" i="5"/>
  <c r="BA227" i="5" s="1"/>
  <c r="AG100" i="4"/>
  <c r="AG103" i="4"/>
  <c r="AG104" i="4" s="1"/>
  <c r="Z100" i="4"/>
  <c r="Z103" i="4"/>
  <c r="Z104" i="4" s="1"/>
  <c r="W103" i="4"/>
  <c r="W104" i="4" s="1"/>
  <c r="W100" i="4"/>
  <c r="S87" i="4"/>
  <c r="S98" i="4"/>
  <c r="S99" i="4" s="1"/>
  <c r="AV182" i="4"/>
  <c r="AV94" i="4"/>
  <c r="X93" i="4"/>
  <c r="X91" i="4"/>
  <c r="AM239" i="5"/>
  <c r="AM251" i="5" s="1"/>
  <c r="BA240" i="5"/>
  <c r="BA239" i="5" s="1"/>
  <c r="L110" i="4"/>
  <c r="AE93" i="4"/>
  <c r="AE91" i="4"/>
  <c r="O93" i="4"/>
  <c r="O91" i="4"/>
  <c r="AM183" i="5"/>
  <c r="BA184" i="5"/>
  <c r="BA183" i="5" s="1"/>
  <c r="AA87" i="4"/>
  <c r="AA98" i="4"/>
  <c r="AA99" i="4" s="1"/>
  <c r="Q93" i="4"/>
  <c r="Q91" i="4"/>
  <c r="N103" i="4"/>
  <c r="N104" i="4" s="1"/>
  <c r="N100" i="4"/>
  <c r="V93" i="4"/>
  <c r="V91" i="4"/>
  <c r="AU182" i="4"/>
  <c r="AU94" i="4"/>
  <c r="AI87" i="4"/>
  <c r="AI91" i="4" s="1"/>
  <c r="AI93" i="4" s="1"/>
  <c r="AI98" i="4"/>
  <c r="AI99" i="4" s="1"/>
  <c r="AE98" i="5"/>
  <c r="AE99" i="5" s="1"/>
  <c r="AE87" i="5"/>
  <c r="AF87" i="5"/>
  <c r="AF91" i="5" s="1"/>
  <c r="AF93" i="5" s="1"/>
  <c r="AF98" i="5"/>
  <c r="AF99" i="5" s="1"/>
  <c r="AI87" i="5"/>
  <c r="AI91" i="5" s="1"/>
  <c r="AI93" i="5" s="1"/>
  <c r="AI98" i="5"/>
  <c r="AI99" i="5" s="1"/>
  <c r="AE103" i="4"/>
  <c r="AE104" i="4" s="1"/>
  <c r="AE100" i="4"/>
  <c r="O103" i="4"/>
  <c r="O104" i="4" s="1"/>
  <c r="O100" i="4"/>
  <c r="V103" i="4"/>
  <c r="V104" i="4" s="1"/>
  <c r="V100" i="4"/>
  <c r="AN98" i="4"/>
  <c r="AN87" i="4"/>
  <c r="BB83" i="4"/>
  <c r="AD103" i="4"/>
  <c r="AD104" i="4" s="1"/>
  <c r="AD100" i="4"/>
  <c r="AC87" i="4"/>
  <c r="AC98" i="4"/>
  <c r="AC99" i="4" s="1"/>
  <c r="AK87" i="4"/>
  <c r="AK98" i="4"/>
  <c r="BA83" i="4"/>
  <c r="T110" i="4"/>
  <c r="AM83" i="5"/>
  <c r="AM65" i="5"/>
  <c r="AW98" i="4"/>
  <c r="AW99" i="4" s="1"/>
  <c r="AW87" i="4"/>
  <c r="AW91" i="4" s="1"/>
  <c r="AW93" i="4" s="1"/>
  <c r="AQ98" i="4"/>
  <c r="AQ99" i="4" s="1"/>
  <c r="AQ87" i="4"/>
  <c r="AQ91" i="4" s="1"/>
  <c r="AQ93" i="4" s="1"/>
  <c r="AQ105" i="4" s="1"/>
  <c r="AQ110" i="4" s="1"/>
  <c r="AF105" i="4"/>
  <c r="AF94" i="4"/>
  <c r="Q100" i="4"/>
  <c r="Q103" i="4"/>
  <c r="Q104" i="4" s="1"/>
  <c r="R93" i="4"/>
  <c r="AZ98" i="4"/>
  <c r="AZ99" i="4" s="1"/>
  <c r="AZ87" i="4"/>
  <c r="AZ91" i="4" s="1"/>
  <c r="AZ93" i="4" s="1"/>
  <c r="Y87" i="5"/>
  <c r="Y98" i="5"/>
  <c r="Y99" i="5" s="1"/>
  <c r="AL103" i="5"/>
  <c r="AL104" i="5" s="1"/>
  <c r="AL100" i="5"/>
  <c r="X103" i="4"/>
  <c r="X104" i="4" s="1"/>
  <c r="X100" i="4"/>
  <c r="AM272" i="5"/>
  <c r="BA237" i="5"/>
  <c r="S87" i="5"/>
  <c r="S98" i="5"/>
  <c r="S99" i="5" s="1"/>
  <c r="N93" i="4"/>
  <c r="N91" i="4"/>
  <c r="T271" i="4"/>
  <c r="T238" i="4"/>
  <c r="T273" i="4" s="1"/>
  <c r="AM105" i="4"/>
  <c r="AM110" i="4" s="1"/>
  <c r="AM111" i="4" s="1"/>
  <c r="AM182" i="4"/>
  <c r="AM236" i="4" s="1"/>
  <c r="AM94" i="4"/>
  <c r="AJ100" i="4"/>
  <c r="AJ103" i="4"/>
  <c r="AJ182" i="4"/>
  <c r="AJ236" i="4" s="1"/>
  <c r="AJ94" i="4"/>
  <c r="M87" i="4"/>
  <c r="M98" i="4"/>
  <c r="M99" i="4" s="1"/>
  <c r="AF103" i="4"/>
  <c r="AF104" i="4" s="1"/>
  <c r="AF100" i="4"/>
  <c r="P93" i="4"/>
  <c r="P91" i="4"/>
  <c r="H93" i="4"/>
  <c r="H91" i="4"/>
  <c r="R100" i="4"/>
  <c r="R103" i="4"/>
  <c r="R104" i="4" s="1"/>
  <c r="Y93" i="4"/>
  <c r="Y91" i="4"/>
  <c r="AT87" i="4"/>
  <c r="AT91" i="4" s="1"/>
  <c r="AT93" i="4" s="1"/>
  <c r="AT98" i="4"/>
  <c r="AT99" i="4" s="1"/>
  <c r="AL271" i="4"/>
  <c r="AL238" i="4"/>
  <c r="AL273" i="4" s="1"/>
  <c r="AD93" i="4"/>
  <c r="AD91" i="4"/>
  <c r="U87" i="4"/>
  <c r="U98" i="4"/>
  <c r="U99" i="4" s="1"/>
  <c r="I93" i="4"/>
  <c r="I91" i="4"/>
  <c r="K87" i="4"/>
  <c r="K98" i="4"/>
  <c r="K99" i="4" s="1"/>
  <c r="AJ83" i="5"/>
  <c r="AM103" i="4"/>
  <c r="AM104" i="4" s="1"/>
  <c r="AM100" i="4"/>
  <c r="J93" i="4"/>
  <c r="J91" i="4"/>
  <c r="U87" i="5"/>
  <c r="U98" i="5"/>
  <c r="U99" i="5" s="1"/>
  <c r="AO105" i="4"/>
  <c r="AO110" i="4" s="1"/>
  <c r="AO111" i="4" s="1"/>
  <c r="AO94" i="4"/>
  <c r="AO182" i="4"/>
  <c r="AO236" i="4" s="1"/>
  <c r="AO238" i="4" s="1"/>
  <c r="AL251" i="5"/>
  <c r="P103" i="4"/>
  <c r="P104" i="4" s="1"/>
  <c r="P100" i="4"/>
  <c r="H103" i="4"/>
  <c r="H104" i="4" s="1"/>
  <c r="H100" i="4"/>
  <c r="AG105" i="4"/>
  <c r="AG110" i="4" s="1"/>
  <c r="AG111" i="4" s="1"/>
  <c r="AG94" i="4"/>
  <c r="Z93" i="4"/>
  <c r="Z91" i="4"/>
  <c r="Y100" i="4"/>
  <c r="Y103" i="4"/>
  <c r="Y104" i="4" s="1"/>
  <c r="I98" i="5"/>
  <c r="I99" i="5" s="1"/>
  <c r="L87" i="5" l="1"/>
  <c r="L98" i="5"/>
  <c r="L99" i="5" s="1"/>
  <c r="AG87" i="5"/>
  <c r="AG91" i="5" s="1"/>
  <c r="AG93" i="5" s="1"/>
  <c r="AG98" i="5"/>
  <c r="AG99" i="5" s="1"/>
  <c r="Q87" i="5"/>
  <c r="Q98" i="5"/>
  <c r="Q99" i="5" s="1"/>
  <c r="AK87" i="5"/>
  <c r="AK91" i="5" s="1"/>
  <c r="AK93" i="5" s="1"/>
  <c r="AK98" i="5"/>
  <c r="AK99" i="5" s="1"/>
  <c r="BA251" i="4"/>
  <c r="AU65" i="5"/>
  <c r="AU83" i="5"/>
  <c r="AQ87" i="5"/>
  <c r="AQ91" i="5" s="1"/>
  <c r="AQ93" i="5" s="1"/>
  <c r="AQ98" i="5"/>
  <c r="AQ99" i="5" s="1"/>
  <c r="AQ100" i="5" s="1"/>
  <c r="AA87" i="5"/>
  <c r="M98" i="5"/>
  <c r="M99" i="5" s="1"/>
  <c r="AC98" i="5"/>
  <c r="AC99" i="5" s="1"/>
  <c r="K87" i="5"/>
  <c r="AB100" i="4"/>
  <c r="Z93" i="5"/>
  <c r="AH98" i="5"/>
  <c r="AH99" i="5" s="1"/>
  <c r="AH103" i="5" s="1"/>
  <c r="AH104" i="5" s="1"/>
  <c r="O98" i="5"/>
  <c r="O99" i="5" s="1"/>
  <c r="O103" i="5" s="1"/>
  <c r="O104" i="5" s="1"/>
  <c r="H87" i="5"/>
  <c r="H93" i="5" s="1"/>
  <c r="V87" i="5"/>
  <c r="V98" i="5"/>
  <c r="V99" i="5" s="1"/>
  <c r="BB98" i="4"/>
  <c r="AY98" i="4"/>
  <c r="AY99" i="4" s="1"/>
  <c r="AY87" i="4"/>
  <c r="AY91" i="4" s="1"/>
  <c r="AY93" i="4" s="1"/>
  <c r="AR94" i="5"/>
  <c r="AR182" i="5"/>
  <c r="AR236" i="5" s="1"/>
  <c r="AR238" i="5" s="1"/>
  <c r="AR105" i="5"/>
  <c r="AR110" i="5" s="1"/>
  <c r="AR111" i="5" s="1"/>
  <c r="AR100" i="5"/>
  <c r="AR103" i="5"/>
  <c r="AR104" i="5" s="1"/>
  <c r="AZ83" i="5"/>
  <c r="AB98" i="5"/>
  <c r="AB99" i="5" s="1"/>
  <c r="AB100" i="5" s="1"/>
  <c r="T98" i="5"/>
  <c r="T99" i="5" s="1"/>
  <c r="T100" i="5" s="1"/>
  <c r="AX87" i="4"/>
  <c r="AX91" i="4" s="1"/>
  <c r="AX93" i="4" s="1"/>
  <c r="P98" i="5"/>
  <c r="P99" i="5" s="1"/>
  <c r="P103" i="5" s="1"/>
  <c r="P104" i="5" s="1"/>
  <c r="AX65" i="5"/>
  <c r="AM34" i="9"/>
  <c r="S37" i="9"/>
  <c r="AL182" i="5"/>
  <c r="AL236" i="5" s="1"/>
  <c r="AL238" i="5" s="1"/>
  <c r="AL273" i="5" s="1"/>
  <c r="AL105" i="5"/>
  <c r="AL110" i="5" s="1"/>
  <c r="AL111" i="5" s="1"/>
  <c r="AY83" i="5"/>
  <c r="AY98" i="5" s="1"/>
  <c r="AY99" i="5" s="1"/>
  <c r="AY103" i="5" s="1"/>
  <c r="AY104" i="5" s="1"/>
  <c r="N37" i="9"/>
  <c r="AH34" i="9"/>
  <c r="Y41" i="9"/>
  <c r="E42" i="9"/>
  <c r="Y42" i="9" s="1"/>
  <c r="AK34" i="9"/>
  <c r="Q37" i="9"/>
  <c r="AJ37" i="9"/>
  <c r="P41" i="9"/>
  <c r="W41" i="9"/>
  <c r="C42" i="9"/>
  <c r="W42" i="9" s="1"/>
  <c r="B42" i="9"/>
  <c r="V42" i="9" s="1"/>
  <c r="V41" i="9"/>
  <c r="BA272" i="5"/>
  <c r="AV83" i="5"/>
  <c r="X41" i="9"/>
  <c r="D42" i="9"/>
  <c r="X42" i="9" s="1"/>
  <c r="AL34" i="9"/>
  <c r="R37" i="9"/>
  <c r="AI37" i="9"/>
  <c r="O41" i="9"/>
  <c r="AP273" i="4"/>
  <c r="AO87" i="5"/>
  <c r="AO91" i="5" s="1"/>
  <c r="AO93" i="5" s="1"/>
  <c r="AO105" i="5" s="1"/>
  <c r="AO110" i="5" s="1"/>
  <c r="AO111" i="5" s="1"/>
  <c r="W87" i="5"/>
  <c r="W93" i="5" s="1"/>
  <c r="AT98" i="5"/>
  <c r="AT99" i="5" s="1"/>
  <c r="AT103" i="5" s="1"/>
  <c r="AT104" i="5" s="1"/>
  <c r="AN98" i="5"/>
  <c r="AN99" i="5" s="1"/>
  <c r="Z98" i="5"/>
  <c r="Z99" i="5" s="1"/>
  <c r="N98" i="5"/>
  <c r="N99" i="5" s="1"/>
  <c r="N87" i="5"/>
  <c r="R87" i="5"/>
  <c r="R98" i="5"/>
  <c r="R99" i="5" s="1"/>
  <c r="J87" i="5"/>
  <c r="J98" i="5"/>
  <c r="J99" i="5" s="1"/>
  <c r="BA251" i="5"/>
  <c r="AP87" i="5"/>
  <c r="AP91" i="5" s="1"/>
  <c r="AP93" i="5" s="1"/>
  <c r="AP98" i="5"/>
  <c r="AP99" i="5" s="1"/>
  <c r="L238" i="4"/>
  <c r="L273" i="4" s="1"/>
  <c r="X98" i="5"/>
  <c r="X99" i="5" s="1"/>
  <c r="X103" i="5" s="1"/>
  <c r="X104" i="5" s="1"/>
  <c r="AD87" i="5"/>
  <c r="AD98" i="5"/>
  <c r="AD99" i="5" s="1"/>
  <c r="BB83" i="5"/>
  <c r="AB105" i="4"/>
  <c r="AB110" i="4" s="1"/>
  <c r="AB94" i="4"/>
  <c r="AB182" i="4"/>
  <c r="AB236" i="4" s="1"/>
  <c r="AM271" i="4"/>
  <c r="AM238" i="4"/>
  <c r="AM273" i="4" s="1"/>
  <c r="S93" i="5"/>
  <c r="S91" i="5"/>
  <c r="AQ100" i="4"/>
  <c r="AQ103" i="4"/>
  <c r="AQ104" i="4" s="1"/>
  <c r="V182" i="4"/>
  <c r="V236" i="4" s="1"/>
  <c r="V105" i="4"/>
  <c r="V110" i="4" s="1"/>
  <c r="V111" i="4" s="1"/>
  <c r="V94" i="4"/>
  <c r="T93" i="5"/>
  <c r="T91" i="5"/>
  <c r="U103" i="4"/>
  <c r="U104" i="4" s="1"/>
  <c r="U100" i="4"/>
  <c r="K93" i="4"/>
  <c r="K91" i="4"/>
  <c r="AD182" i="4"/>
  <c r="AD236" i="4" s="1"/>
  <c r="AD94" i="4"/>
  <c r="AD105" i="4"/>
  <c r="AD110" i="4" s="1"/>
  <c r="AD111" i="4" s="1"/>
  <c r="H103" i="5"/>
  <c r="H104" i="5" s="1"/>
  <c r="H100" i="5"/>
  <c r="H182" i="4"/>
  <c r="H236" i="4" s="1"/>
  <c r="H105" i="4"/>
  <c r="H94" i="4"/>
  <c r="M103" i="4"/>
  <c r="M104" i="4" s="1"/>
  <c r="M100" i="4"/>
  <c r="AX87" i="5"/>
  <c r="AX91" i="5" s="1"/>
  <c r="AX93" i="5" s="1"/>
  <c r="AX98" i="5"/>
  <c r="AX99" i="5" s="1"/>
  <c r="AF110" i="4"/>
  <c r="M93" i="5"/>
  <c r="M91" i="5"/>
  <c r="AC103" i="4"/>
  <c r="AC104" i="4" s="1"/>
  <c r="AC100" i="4"/>
  <c r="AH94" i="5"/>
  <c r="AH105" i="5"/>
  <c r="AH110" i="5" s="1"/>
  <c r="AH111" i="5" s="1"/>
  <c r="AF94" i="5"/>
  <c r="AF105" i="5"/>
  <c r="AF110" i="5" s="1"/>
  <c r="AG94" i="5"/>
  <c r="AG105" i="5"/>
  <c r="AG110" i="5" s="1"/>
  <c r="AG111" i="5" s="1"/>
  <c r="AC93" i="5"/>
  <c r="AC91" i="5"/>
  <c r="AK182" i="5"/>
  <c r="AK236" i="5" s="1"/>
  <c r="AK105" i="5"/>
  <c r="AK110" i="5" s="1"/>
  <c r="AK111" i="5" s="1"/>
  <c r="AK94" i="5"/>
  <c r="AQ105" i="5"/>
  <c r="AQ110" i="5" s="1"/>
  <c r="Z105" i="4"/>
  <c r="Z110" i="4" s="1"/>
  <c r="Z111" i="4" s="1"/>
  <c r="Z94" i="4"/>
  <c r="Z182" i="4"/>
  <c r="Z236" i="4" s="1"/>
  <c r="J105" i="4"/>
  <c r="J110" i="4" s="1"/>
  <c r="J111" i="4" s="1"/>
  <c r="J94" i="4"/>
  <c r="J182" i="4"/>
  <c r="J236" i="4" s="1"/>
  <c r="H91" i="5"/>
  <c r="M93" i="4"/>
  <c r="M91" i="4"/>
  <c r="S103" i="5"/>
  <c r="S104" i="5" s="1"/>
  <c r="S100" i="5"/>
  <c r="AC93" i="4"/>
  <c r="AC91" i="4"/>
  <c r="AE93" i="5"/>
  <c r="AE91" i="5"/>
  <c r="AA100" i="4"/>
  <c r="AA103" i="4"/>
  <c r="AA104" i="4" s="1"/>
  <c r="AO273" i="4"/>
  <c r="AO271" i="4"/>
  <c r="W103" i="5"/>
  <c r="W104" i="5" s="1"/>
  <c r="W100" i="5"/>
  <c r="X93" i="5"/>
  <c r="X91" i="5"/>
  <c r="Q93" i="5"/>
  <c r="Q91" i="5"/>
  <c r="S100" i="4"/>
  <c r="S103" i="4"/>
  <c r="S104" i="4" s="1"/>
  <c r="W182" i="4"/>
  <c r="W236" i="4" s="1"/>
  <c r="W105" i="4"/>
  <c r="W110" i="4" s="1"/>
  <c r="W111" i="4" s="1"/>
  <c r="W94" i="4"/>
  <c r="AW98" i="5"/>
  <c r="AW99" i="5" s="1"/>
  <c r="AW87" i="5"/>
  <c r="AW91" i="5" s="1"/>
  <c r="AW93" i="5" s="1"/>
  <c r="AB93" i="5"/>
  <c r="AB91" i="5"/>
  <c r="AE182" i="4"/>
  <c r="AE236" i="4" s="1"/>
  <c r="AE105" i="4"/>
  <c r="AE110" i="4" s="1"/>
  <c r="AE111" i="4" s="1"/>
  <c r="AE94" i="4"/>
  <c r="L111" i="4"/>
  <c r="O93" i="5"/>
  <c r="O91" i="5"/>
  <c r="AJ238" i="4"/>
  <c r="AJ273" i="4" s="1"/>
  <c r="AJ271" i="4"/>
  <c r="BA271" i="4" s="1"/>
  <c r="AO103" i="5"/>
  <c r="AO104" i="5" s="1"/>
  <c r="AO100" i="5"/>
  <c r="AZ182" i="4"/>
  <c r="AZ94" i="4"/>
  <c r="AK91" i="4"/>
  <c r="BA87" i="4"/>
  <c r="AN91" i="4"/>
  <c r="BB87" i="4"/>
  <c r="AI103" i="5"/>
  <c r="AI104" i="5" s="1"/>
  <c r="AI100" i="5"/>
  <c r="L100" i="5"/>
  <c r="L103" i="5"/>
  <c r="L104" i="5" s="1"/>
  <c r="S93" i="4"/>
  <c r="S91" i="4"/>
  <c r="I103" i="5"/>
  <c r="I104" i="5" s="1"/>
  <c r="I100" i="5"/>
  <c r="I182" i="4"/>
  <c r="I236" i="4" s="1"/>
  <c r="I105" i="4"/>
  <c r="I110" i="4" s="1"/>
  <c r="I111" i="4" s="1"/>
  <c r="I94" i="4"/>
  <c r="Y182" i="4"/>
  <c r="Y236" i="4" s="1"/>
  <c r="Y105" i="4"/>
  <c r="Y110" i="4" s="1"/>
  <c r="Y111" i="4" s="1"/>
  <c r="Y94" i="4"/>
  <c r="AJ110" i="4"/>
  <c r="N182" i="4"/>
  <c r="N236" i="4" s="1"/>
  <c r="N94" i="4"/>
  <c r="N105" i="4"/>
  <c r="N110" i="4" s="1"/>
  <c r="N111" i="4" s="1"/>
  <c r="T111" i="4"/>
  <c r="P93" i="5"/>
  <c r="P91" i="5"/>
  <c r="I93" i="5"/>
  <c r="I91" i="5"/>
  <c r="AT182" i="4"/>
  <c r="AT94" i="4"/>
  <c r="K103" i="5"/>
  <c r="K104" i="5" s="1"/>
  <c r="K100" i="5"/>
  <c r="U100" i="5"/>
  <c r="U103" i="5"/>
  <c r="U104" i="5" s="1"/>
  <c r="AU87" i="5"/>
  <c r="AU91" i="5" s="1"/>
  <c r="AU93" i="5" s="1"/>
  <c r="AU98" i="5"/>
  <c r="AU99" i="5" s="1"/>
  <c r="AT182" i="5"/>
  <c r="AT94" i="5"/>
  <c r="AZ100" i="4"/>
  <c r="AZ103" i="4"/>
  <c r="AZ104" i="4" s="1"/>
  <c r="AA103" i="5"/>
  <c r="AA104" i="5" s="1"/>
  <c r="AA100" i="5"/>
  <c r="AN99" i="4"/>
  <c r="L93" i="5"/>
  <c r="L91" i="5"/>
  <c r="Q182" i="4"/>
  <c r="Q236" i="4" s="1"/>
  <c r="Q105" i="4"/>
  <c r="Q110" i="4" s="1"/>
  <c r="Q111" i="4" s="1"/>
  <c r="Q94" i="4"/>
  <c r="O182" i="4"/>
  <c r="O236" i="4" s="1"/>
  <c r="O105" i="4"/>
  <c r="O110" i="4" s="1"/>
  <c r="O111" i="4" s="1"/>
  <c r="O94" i="4"/>
  <c r="X182" i="4"/>
  <c r="X236" i="4" s="1"/>
  <c r="X105" i="4"/>
  <c r="X94" i="4"/>
  <c r="AN91" i="5"/>
  <c r="P182" i="4"/>
  <c r="P236" i="4" s="1"/>
  <c r="P105" i="4"/>
  <c r="P94" i="4"/>
  <c r="R105" i="4"/>
  <c r="R110" i="4" s="1"/>
  <c r="R111" i="4" s="1"/>
  <c r="R94" i="4"/>
  <c r="R182" i="4"/>
  <c r="R236" i="4" s="1"/>
  <c r="AE103" i="5"/>
  <c r="AE104" i="5" s="1"/>
  <c r="AE100" i="5"/>
  <c r="AA93" i="4"/>
  <c r="AA91" i="4"/>
  <c r="AT100" i="4"/>
  <c r="AT103" i="4"/>
  <c r="AT104" i="4" s="1"/>
  <c r="Y103" i="5"/>
  <c r="Y104" i="5" s="1"/>
  <c r="Y100" i="5"/>
  <c r="AW94" i="4"/>
  <c r="AW182" i="4"/>
  <c r="AI100" i="4"/>
  <c r="AI103" i="4"/>
  <c r="AI104" i="4" s="1"/>
  <c r="Q103" i="5"/>
  <c r="Q104" i="5" s="1"/>
  <c r="Q100" i="5"/>
  <c r="AB111" i="4"/>
  <c r="U93" i="4"/>
  <c r="U91" i="4"/>
  <c r="Y93" i="5"/>
  <c r="Y91" i="5"/>
  <c r="AW103" i="4"/>
  <c r="AW104" i="4" s="1"/>
  <c r="AW100" i="4"/>
  <c r="AK99" i="4"/>
  <c r="BA98" i="4"/>
  <c r="AI94" i="4"/>
  <c r="AI105" i="4"/>
  <c r="AI110" i="4" s="1"/>
  <c r="AI111" i="4" s="1"/>
  <c r="AJ87" i="5"/>
  <c r="AJ98" i="5"/>
  <c r="BA83" i="5"/>
  <c r="AM98" i="5"/>
  <c r="AM99" i="5" s="1"/>
  <c r="AM87" i="5"/>
  <c r="AM91" i="5" s="1"/>
  <c r="AM93" i="5" s="1"/>
  <c r="AI105" i="5"/>
  <c r="AI110" i="5" s="1"/>
  <c r="AI111" i="5" s="1"/>
  <c r="AI94" i="5"/>
  <c r="U93" i="5"/>
  <c r="U91" i="5"/>
  <c r="K100" i="4"/>
  <c r="K103" i="4"/>
  <c r="K104" i="4" s="1"/>
  <c r="AX103" i="4"/>
  <c r="AX104" i="4" s="1"/>
  <c r="AX100" i="4"/>
  <c r="AJ104" i="4"/>
  <c r="AQ103" i="5"/>
  <c r="AQ104" i="5" s="1"/>
  <c r="M100" i="5"/>
  <c r="M103" i="5"/>
  <c r="M104" i="5" s="1"/>
  <c r="AA93" i="5"/>
  <c r="AA91" i="5"/>
  <c r="AF103" i="5"/>
  <c r="AF104" i="5" s="1"/>
  <c r="AF100" i="5"/>
  <c r="AG103" i="5"/>
  <c r="AG104" i="5" s="1"/>
  <c r="AG100" i="5"/>
  <c r="AC100" i="5"/>
  <c r="AC103" i="5"/>
  <c r="AC104" i="5" s="1"/>
  <c r="AK103" i="5"/>
  <c r="AK104" i="5" s="1"/>
  <c r="AK100" i="5"/>
  <c r="AQ238" i="5"/>
  <c r="AQ182" i="4"/>
  <c r="AQ236" i="4" s="1"/>
  <c r="AQ94" i="4"/>
  <c r="AQ182" i="5" l="1"/>
  <c r="AQ236" i="5" s="1"/>
  <c r="AQ94" i="5"/>
  <c r="K93" i="5"/>
  <c r="K91" i="5"/>
  <c r="Z182" i="5"/>
  <c r="Z236" i="5" s="1"/>
  <c r="Z105" i="5"/>
  <c r="Z94" i="5"/>
  <c r="AX94" i="4"/>
  <c r="AX182" i="4"/>
  <c r="O100" i="5"/>
  <c r="P100" i="5"/>
  <c r="AH100" i="5"/>
  <c r="AY100" i="5"/>
  <c r="V103" i="5"/>
  <c r="V104" i="5" s="1"/>
  <c r="V100" i="5"/>
  <c r="V93" i="5"/>
  <c r="V91" i="5"/>
  <c r="AY182" i="4"/>
  <c r="AY94" i="4"/>
  <c r="AY103" i="4"/>
  <c r="AY104" i="4" s="1"/>
  <c r="AY100" i="4"/>
  <c r="AR273" i="5"/>
  <c r="AR271" i="5"/>
  <c r="AZ87" i="5"/>
  <c r="AZ91" i="5" s="1"/>
  <c r="AZ93" i="5" s="1"/>
  <c r="AZ98" i="5"/>
  <c r="AZ99" i="5" s="1"/>
  <c r="T103" i="5"/>
  <c r="T104" i="5" s="1"/>
  <c r="AT100" i="5"/>
  <c r="AB103" i="5"/>
  <c r="AB104" i="5" s="1"/>
  <c r="AL271" i="5"/>
  <c r="W91" i="5"/>
  <c r="AM37" i="9"/>
  <c r="S41" i="9"/>
  <c r="AY87" i="5"/>
  <c r="AY91" i="5" s="1"/>
  <c r="AY93" i="5" s="1"/>
  <c r="P42" i="9"/>
  <c r="AJ42" i="9" s="1"/>
  <c r="AJ41" i="9"/>
  <c r="AK37" i="9"/>
  <c r="Q41" i="9"/>
  <c r="AL37" i="9"/>
  <c r="R41" i="9"/>
  <c r="AV98" i="5"/>
  <c r="AV99" i="5" s="1"/>
  <c r="AV87" i="5"/>
  <c r="AV91" i="5" s="1"/>
  <c r="AV93" i="5" s="1"/>
  <c r="O42" i="9"/>
  <c r="AI42" i="9" s="1"/>
  <c r="AI41" i="9"/>
  <c r="AO94" i="5"/>
  <c r="N41" i="9"/>
  <c r="AH37" i="9"/>
  <c r="AO182" i="5"/>
  <c r="AO236" i="5" s="1"/>
  <c r="AO238" i="5" s="1"/>
  <c r="AO271" i="5" s="1"/>
  <c r="N103" i="5"/>
  <c r="N104" i="5" s="1"/>
  <c r="N100" i="5"/>
  <c r="N91" i="5"/>
  <c r="N93" i="5"/>
  <c r="Z103" i="5"/>
  <c r="Z104" i="5" s="1"/>
  <c r="Z100" i="5"/>
  <c r="BB87" i="5"/>
  <c r="X100" i="5"/>
  <c r="BB98" i="5"/>
  <c r="J100" i="5"/>
  <c r="J103" i="5"/>
  <c r="J104" i="5" s="1"/>
  <c r="J91" i="5"/>
  <c r="J93" i="5"/>
  <c r="R100" i="5"/>
  <c r="R103" i="5"/>
  <c r="R104" i="5" s="1"/>
  <c r="R93" i="5"/>
  <c r="R91" i="5"/>
  <c r="AD93" i="5"/>
  <c r="AD91" i="5"/>
  <c r="AD103" i="5"/>
  <c r="AD104" i="5" s="1"/>
  <c r="AD100" i="5"/>
  <c r="AB271" i="4"/>
  <c r="AB238" i="4"/>
  <c r="AB273" i="4" s="1"/>
  <c r="AP100" i="5"/>
  <c r="AP103" i="5"/>
  <c r="AP104" i="5" s="1"/>
  <c r="AP182" i="5"/>
  <c r="AP236" i="5" s="1"/>
  <c r="AP238" i="5" s="1"/>
  <c r="AP94" i="5"/>
  <c r="AP105" i="5"/>
  <c r="AP110" i="5" s="1"/>
  <c r="AP111" i="5" s="1"/>
  <c r="J271" i="4"/>
  <c r="J238" i="4"/>
  <c r="J273" i="4" s="1"/>
  <c r="AX103" i="5"/>
  <c r="AX104" i="5" s="1"/>
  <c r="AX100" i="5"/>
  <c r="K94" i="4"/>
  <c r="K105" i="4"/>
  <c r="K110" i="4" s="1"/>
  <c r="K111" i="4" s="1"/>
  <c r="K182" i="4"/>
  <c r="K236" i="4" s="1"/>
  <c r="AT236" i="4" s="1"/>
  <c r="AT238" i="4" s="1"/>
  <c r="AT273" i="4" s="1"/>
  <c r="U94" i="4"/>
  <c r="U105" i="4"/>
  <c r="U182" i="4"/>
  <c r="U236" i="4" s="1"/>
  <c r="O271" i="4"/>
  <c r="O238" i="4"/>
  <c r="O273" i="4" s="1"/>
  <c r="N271" i="4"/>
  <c r="N238" i="4"/>
  <c r="N273" i="4" s="1"/>
  <c r="I271" i="4"/>
  <c r="I238" i="4"/>
  <c r="I273" i="4" s="1"/>
  <c r="K182" i="5"/>
  <c r="K236" i="5" s="1"/>
  <c r="K105" i="5"/>
  <c r="K110" i="5" s="1"/>
  <c r="K111" i="5" s="1"/>
  <c r="K94" i="5"/>
  <c r="Q182" i="5"/>
  <c r="Q236" i="5" s="1"/>
  <c r="Q94" i="5"/>
  <c r="Q105" i="5"/>
  <c r="Q110" i="5" s="1"/>
  <c r="Q111" i="5" s="1"/>
  <c r="AK271" i="5"/>
  <c r="AK238" i="5"/>
  <c r="AK273" i="5" s="1"/>
  <c r="AX182" i="5"/>
  <c r="AX94" i="5"/>
  <c r="AM103" i="5"/>
  <c r="AM104" i="5" s="1"/>
  <c r="AM100" i="5"/>
  <c r="AJ111" i="4"/>
  <c r="AK103" i="4"/>
  <c r="AK100" i="4"/>
  <c r="BA99" i="4"/>
  <c r="BA100" i="4" s="1"/>
  <c r="I182" i="5"/>
  <c r="I236" i="5" s="1"/>
  <c r="I94" i="5"/>
  <c r="I105" i="5"/>
  <c r="I110" i="5" s="1"/>
  <c r="I111" i="5" s="1"/>
  <c r="O182" i="5"/>
  <c r="O236" i="5" s="1"/>
  <c r="O94" i="5"/>
  <c r="O105" i="5"/>
  <c r="O110" i="5" s="1"/>
  <c r="O111" i="5" s="1"/>
  <c r="AE271" i="4"/>
  <c r="AE238" i="4"/>
  <c r="AE273" i="4" s="1"/>
  <c r="X182" i="5"/>
  <c r="X236" i="5" s="1"/>
  <c r="X94" i="5"/>
  <c r="X105" i="5"/>
  <c r="X110" i="5" s="1"/>
  <c r="Z271" i="4"/>
  <c r="Z238" i="4"/>
  <c r="Z273" i="4" s="1"/>
  <c r="AZ105" i="5"/>
  <c r="S182" i="5"/>
  <c r="S236" i="5" s="1"/>
  <c r="S105" i="5"/>
  <c r="S110" i="5" s="1"/>
  <c r="S111" i="5" s="1"/>
  <c r="S94" i="5"/>
  <c r="AN103" i="4"/>
  <c r="AN100" i="4"/>
  <c r="BB99" i="4"/>
  <c r="BB100" i="4" s="1"/>
  <c r="Q238" i="4"/>
  <c r="Q273" i="4" s="1"/>
  <c r="Q271" i="4"/>
  <c r="AN103" i="5"/>
  <c r="AN100" i="5"/>
  <c r="BB99" i="5"/>
  <c r="BB100" i="5" s="1"/>
  <c r="T182" i="5"/>
  <c r="T236" i="5" s="1"/>
  <c r="T105" i="5"/>
  <c r="T94" i="5"/>
  <c r="U182" i="5"/>
  <c r="U236" i="5" s="1"/>
  <c r="U105" i="5"/>
  <c r="U110" i="5" s="1"/>
  <c r="U111" i="5" s="1"/>
  <c r="U94" i="5"/>
  <c r="P182" i="5"/>
  <c r="P236" i="5" s="1"/>
  <c r="P94" i="5"/>
  <c r="P105" i="5"/>
  <c r="X110" i="4"/>
  <c r="AN93" i="4"/>
  <c r="BB91" i="4"/>
  <c r="AB182" i="5"/>
  <c r="AB236" i="5" s="1"/>
  <c r="AB105" i="5"/>
  <c r="AB110" i="5" s="1"/>
  <c r="AB94" i="5"/>
  <c r="M94" i="4"/>
  <c r="M182" i="4"/>
  <c r="M236" i="4" s="1"/>
  <c r="M105" i="4"/>
  <c r="AC182" i="5"/>
  <c r="AC236" i="5" s="1"/>
  <c r="AC105" i="5"/>
  <c r="AC110" i="5" s="1"/>
  <c r="AC111" i="5" s="1"/>
  <c r="AC94" i="5"/>
  <c r="M182" i="5"/>
  <c r="M236" i="5" s="1"/>
  <c r="M105" i="5"/>
  <c r="M110" i="5" s="1"/>
  <c r="M111" i="5" s="1"/>
  <c r="M94" i="5"/>
  <c r="H110" i="4"/>
  <c r="AN93" i="5"/>
  <c r="BB91" i="5"/>
  <c r="W271" i="4"/>
  <c r="W238" i="4"/>
  <c r="W273" i="4" s="1"/>
  <c r="AE182" i="5"/>
  <c r="AE236" i="5" s="1"/>
  <c r="AE94" i="5"/>
  <c r="AE105" i="5"/>
  <c r="AE110" i="5" s="1"/>
  <c r="AE111" i="5" s="1"/>
  <c r="P110" i="4"/>
  <c r="X271" i="4"/>
  <c r="X238" i="4"/>
  <c r="X273" i="4" s="1"/>
  <c r="L182" i="5"/>
  <c r="L236" i="5" s="1"/>
  <c r="L105" i="5"/>
  <c r="L94" i="5"/>
  <c r="Y271" i="4"/>
  <c r="Y238" i="4"/>
  <c r="Y273" i="4" s="1"/>
  <c r="AW182" i="5"/>
  <c r="AW94" i="5"/>
  <c r="AC94" i="4"/>
  <c r="AC182" i="4"/>
  <c r="AC236" i="4" s="1"/>
  <c r="AC105" i="4"/>
  <c r="AZ105" i="4"/>
  <c r="H271" i="4"/>
  <c r="H238" i="4"/>
  <c r="H273" i="4" s="1"/>
  <c r="H275" i="4" s="1"/>
  <c r="I274" i="4" s="1"/>
  <c r="AD271" i="4"/>
  <c r="AD238" i="4"/>
  <c r="AD273" i="4" s="1"/>
  <c r="AA182" i="5"/>
  <c r="AA236" i="5" s="1"/>
  <c r="AA105" i="5"/>
  <c r="AA110" i="5" s="1"/>
  <c r="AA111" i="5" s="1"/>
  <c r="AA94" i="5"/>
  <c r="AU182" i="5"/>
  <c r="AU94" i="5"/>
  <c r="R271" i="4"/>
  <c r="R238" i="4"/>
  <c r="R273" i="4" s="1"/>
  <c r="BA98" i="5"/>
  <c r="AJ99" i="5"/>
  <c r="BA87" i="5"/>
  <c r="AJ91" i="5"/>
  <c r="AM182" i="5"/>
  <c r="AM236" i="5" s="1"/>
  <c r="AM94" i="5"/>
  <c r="AM105" i="5"/>
  <c r="AM110" i="5" s="1"/>
  <c r="AM111" i="5" s="1"/>
  <c r="Y182" i="5"/>
  <c r="Y236" i="5" s="1"/>
  <c r="Y94" i="5"/>
  <c r="Y105" i="5"/>
  <c r="Y110" i="5" s="1"/>
  <c r="Y111" i="5" s="1"/>
  <c r="AA94" i="4"/>
  <c r="AA105" i="4"/>
  <c r="AA110" i="4" s="1"/>
  <c r="AA111" i="4" s="1"/>
  <c r="AA182" i="4"/>
  <c r="AA236" i="4" s="1"/>
  <c r="AX236" i="4" s="1"/>
  <c r="AX238" i="4" s="1"/>
  <c r="AX273" i="4" s="1"/>
  <c r="P271" i="4"/>
  <c r="P238" i="4"/>
  <c r="P273" i="4" s="1"/>
  <c r="AU103" i="5"/>
  <c r="AU104" i="5" s="1"/>
  <c r="AU100" i="5"/>
  <c r="S94" i="4"/>
  <c r="S182" i="4"/>
  <c r="S236" i="4" s="1"/>
  <c r="AV236" i="4" s="1"/>
  <c r="AV238" i="4" s="1"/>
  <c r="AV273" i="4" s="1"/>
  <c r="S105" i="4"/>
  <c r="S110" i="4" s="1"/>
  <c r="S111" i="4" s="1"/>
  <c r="AK93" i="4"/>
  <c r="BA91" i="4"/>
  <c r="AW103" i="5"/>
  <c r="AW104" i="5" s="1"/>
  <c r="AW100" i="5"/>
  <c r="W182" i="5"/>
  <c r="W236" i="5" s="1"/>
  <c r="W94" i="5"/>
  <c r="W105" i="5"/>
  <c r="W110" i="5" s="1"/>
  <c r="W111" i="5" s="1"/>
  <c r="H182" i="5"/>
  <c r="H236" i="5" s="1"/>
  <c r="H94" i="5"/>
  <c r="H105" i="5"/>
  <c r="AZ110" i="4"/>
  <c r="AZ111" i="4" s="1"/>
  <c r="AF111" i="4"/>
  <c r="V271" i="4"/>
  <c r="V238" i="4"/>
  <c r="V273" i="4" s="1"/>
  <c r="AQ111" i="5"/>
  <c r="AQ271" i="5"/>
  <c r="AQ273" i="5"/>
  <c r="AQ238" i="4"/>
  <c r="Z110" i="5" l="1"/>
  <c r="Z111" i="5" s="1"/>
  <c r="Z271" i="5"/>
  <c r="Z238" i="5"/>
  <c r="Z273" i="5" s="1"/>
  <c r="V105" i="5"/>
  <c r="V110" i="5" s="1"/>
  <c r="V111" i="5" s="1"/>
  <c r="V182" i="5"/>
  <c r="V236" i="5" s="1"/>
  <c r="AW236" i="5" s="1"/>
  <c r="AW238" i="5" s="1"/>
  <c r="AW273" i="5" s="1"/>
  <c r="V94" i="5"/>
  <c r="AZ94" i="5"/>
  <c r="AZ182" i="5"/>
  <c r="AZ103" i="5"/>
  <c r="AZ104" i="5" s="1"/>
  <c r="AZ100" i="5"/>
  <c r="S42" i="9"/>
  <c r="AM42" i="9" s="1"/>
  <c r="AM41" i="9"/>
  <c r="AY182" i="5"/>
  <c r="AY94" i="5"/>
  <c r="AV182" i="5"/>
  <c r="AV94" i="5"/>
  <c r="AL41" i="9"/>
  <c r="R42" i="9"/>
  <c r="AL42" i="9" s="1"/>
  <c r="N42" i="9"/>
  <c r="AH42" i="9" s="1"/>
  <c r="AH41" i="9"/>
  <c r="AK41" i="9"/>
  <c r="Q42" i="9"/>
  <c r="AK42" i="9" s="1"/>
  <c r="AV100" i="5"/>
  <c r="AV103" i="5"/>
  <c r="AV104" i="5" s="1"/>
  <c r="AO273" i="5"/>
  <c r="N94" i="5"/>
  <c r="N182" i="5"/>
  <c r="N236" i="5" s="1"/>
  <c r="AU236" i="5" s="1"/>
  <c r="AU238" i="5" s="1"/>
  <c r="AU273" i="5" s="1"/>
  <c r="N105" i="5"/>
  <c r="N110" i="5" s="1"/>
  <c r="N111" i="5" s="1"/>
  <c r="R94" i="5"/>
  <c r="R105" i="5"/>
  <c r="R110" i="5" s="1"/>
  <c r="R111" i="5" s="1"/>
  <c r="R182" i="5"/>
  <c r="R236" i="5" s="1"/>
  <c r="AV236" i="5" s="1"/>
  <c r="AV238" i="5" s="1"/>
  <c r="AV273" i="5" s="1"/>
  <c r="J94" i="5"/>
  <c r="J182" i="5"/>
  <c r="J236" i="5" s="1"/>
  <c r="AT236" i="5" s="1"/>
  <c r="AT238" i="5" s="1"/>
  <c r="AT273" i="5" s="1"/>
  <c r="J105" i="5"/>
  <c r="J110" i="5" s="1"/>
  <c r="J111" i="5" s="1"/>
  <c r="AP273" i="5"/>
  <c r="AP271" i="5"/>
  <c r="AD182" i="5"/>
  <c r="AD236" i="5" s="1"/>
  <c r="AY236" i="5" s="1"/>
  <c r="AY238" i="5" s="1"/>
  <c r="AY273" i="5" s="1"/>
  <c r="AD94" i="5"/>
  <c r="AD105" i="5"/>
  <c r="AD110" i="5" s="1"/>
  <c r="AD111" i="5" s="1"/>
  <c r="AC271" i="5"/>
  <c r="AC238" i="5"/>
  <c r="AC273" i="5" s="1"/>
  <c r="AN105" i="4"/>
  <c r="AN110" i="4" s="1"/>
  <c r="AN182" i="4"/>
  <c r="AN236" i="4" s="1"/>
  <c r="AN94" i="4"/>
  <c r="BB93" i="4"/>
  <c r="U271" i="5"/>
  <c r="U238" i="5"/>
  <c r="U273" i="5" s="1"/>
  <c r="AF111" i="5"/>
  <c r="AZ110" i="5"/>
  <c r="AZ111" i="5" s="1"/>
  <c r="AN182" i="5"/>
  <c r="AN236" i="5" s="1"/>
  <c r="AN94" i="5"/>
  <c r="AN105" i="5"/>
  <c r="AN110" i="5" s="1"/>
  <c r="BB93" i="5"/>
  <c r="AC110" i="4"/>
  <c r="AY105" i="4"/>
  <c r="L110" i="5"/>
  <c r="AT105" i="4"/>
  <c r="M110" i="4"/>
  <c r="AU105" i="4"/>
  <c r="AX105" i="4"/>
  <c r="Q271" i="5"/>
  <c r="Q238" i="5"/>
  <c r="Q273" i="5" s="1"/>
  <c r="W271" i="5"/>
  <c r="W238" i="5"/>
  <c r="W273" i="5" s="1"/>
  <c r="Y271" i="5"/>
  <c r="Y238" i="5"/>
  <c r="Y273" i="5" s="1"/>
  <c r="AA238" i="5"/>
  <c r="AA273" i="5" s="1"/>
  <c r="AA271" i="5"/>
  <c r="AC271" i="4"/>
  <c r="AY271" i="4" s="1"/>
  <c r="AC238" i="4"/>
  <c r="AC273" i="4" s="1"/>
  <c r="AY236" i="4"/>
  <c r="AY238" i="4" s="1"/>
  <c r="AY273" i="4" s="1"/>
  <c r="L271" i="5"/>
  <c r="L238" i="5"/>
  <c r="L273" i="5" s="1"/>
  <c r="AT110" i="4"/>
  <c r="AT111" i="4" s="1"/>
  <c r="H111" i="4"/>
  <c r="M238" i="4"/>
  <c r="M273" i="4" s="1"/>
  <c r="M271" i="4"/>
  <c r="AU271" i="4" s="1"/>
  <c r="AU236" i="4"/>
  <c r="AU238" i="4" s="1"/>
  <c r="AU273" i="4" s="1"/>
  <c r="AX110" i="4"/>
  <c r="AX111" i="4" s="1"/>
  <c r="X111" i="4"/>
  <c r="T110" i="5"/>
  <c r="O238" i="5"/>
  <c r="O273" i="5" s="1"/>
  <c r="O271" i="5"/>
  <c r="AK104" i="4"/>
  <c r="BA103" i="4"/>
  <c r="BA104" i="4" s="1"/>
  <c r="AJ100" i="5"/>
  <c r="AJ103" i="5"/>
  <c r="BA99" i="5"/>
  <c r="BA100" i="5" s="1"/>
  <c r="H110" i="5"/>
  <c r="P110" i="5"/>
  <c r="T271" i="5"/>
  <c r="T238" i="5"/>
  <c r="T273" i="5" s="1"/>
  <c r="AN104" i="4"/>
  <c r="BB103" i="4"/>
  <c r="BB104" i="4" s="1"/>
  <c r="AX105" i="5"/>
  <c r="U238" i="4"/>
  <c r="U273" i="4" s="1"/>
  <c r="U271" i="4"/>
  <c r="AW271" i="4" s="1"/>
  <c r="AW236" i="4"/>
  <c r="AW238" i="4" s="1"/>
  <c r="AW273" i="4" s="1"/>
  <c r="AE238" i="5"/>
  <c r="AE273" i="5" s="1"/>
  <c r="AE271" i="5"/>
  <c r="K238" i="5"/>
  <c r="K273" i="5" s="1"/>
  <c r="K271" i="5"/>
  <c r="U110" i="4"/>
  <c r="AW105" i="4"/>
  <c r="AK182" i="4"/>
  <c r="AK236" i="4" s="1"/>
  <c r="AK94" i="4"/>
  <c r="AK105" i="4"/>
  <c r="BA93" i="4"/>
  <c r="H271" i="5"/>
  <c r="H238" i="5"/>
  <c r="H273" i="5" s="1"/>
  <c r="H275" i="5" s="1"/>
  <c r="AA271" i="4"/>
  <c r="AX271" i="4" s="1"/>
  <c r="AA238" i="4"/>
  <c r="AA273" i="4" s="1"/>
  <c r="AM271" i="5"/>
  <c r="AM238" i="5"/>
  <c r="AM273" i="5" s="1"/>
  <c r="M271" i="5"/>
  <c r="M238" i="5"/>
  <c r="M273" i="5" s="1"/>
  <c r="P271" i="5"/>
  <c r="P238" i="5"/>
  <c r="P273" i="5" s="1"/>
  <c r="X271" i="5"/>
  <c r="X238" i="5"/>
  <c r="X273" i="5" s="1"/>
  <c r="AX236" i="5"/>
  <c r="AX238" i="5" s="1"/>
  <c r="AX273" i="5" s="1"/>
  <c r="I271" i="5"/>
  <c r="I238" i="5"/>
  <c r="I273" i="5" s="1"/>
  <c r="P111" i="4"/>
  <c r="AV110" i="4"/>
  <c r="AV111" i="4" s="1"/>
  <c r="S271" i="4"/>
  <c r="AV271" i="4" s="1"/>
  <c r="S238" i="4"/>
  <c r="S273" i="4" s="1"/>
  <c r="AJ93" i="5"/>
  <c r="BA91" i="5"/>
  <c r="I274" i="5"/>
  <c r="I275" i="4"/>
  <c r="J274" i="4" s="1"/>
  <c r="J274" i="5" s="1"/>
  <c r="AV105" i="4"/>
  <c r="AB271" i="5"/>
  <c r="AB238" i="5"/>
  <c r="AB273" i="5" s="1"/>
  <c r="AN104" i="5"/>
  <c r="BB103" i="5"/>
  <c r="BB104" i="5" s="1"/>
  <c r="S238" i="5"/>
  <c r="S273" i="5" s="1"/>
  <c r="S271" i="5"/>
  <c r="K271" i="4"/>
  <c r="AT271" i="4" s="1"/>
  <c r="K238" i="4"/>
  <c r="K273" i="4" s="1"/>
  <c r="AQ273" i="4"/>
  <c r="AQ271" i="4"/>
  <c r="AQ111" i="4"/>
  <c r="AW105" i="5" l="1"/>
  <c r="V271" i="5"/>
  <c r="V238" i="5"/>
  <c r="V273" i="5" s="1"/>
  <c r="AV105" i="5"/>
  <c r="AU105" i="5"/>
  <c r="N271" i="5"/>
  <c r="AU271" i="5" s="1"/>
  <c r="N238" i="5"/>
  <c r="N273" i="5" s="1"/>
  <c r="AY105" i="5"/>
  <c r="J271" i="5"/>
  <c r="AT271" i="5" s="1"/>
  <c r="J238" i="5"/>
  <c r="J273" i="5" s="1"/>
  <c r="R238" i="5"/>
  <c r="R273" i="5" s="1"/>
  <c r="R271" i="5"/>
  <c r="AV271" i="5" s="1"/>
  <c r="AT105" i="5"/>
  <c r="AD238" i="5"/>
  <c r="AD273" i="5" s="1"/>
  <c r="AD271" i="5"/>
  <c r="AY271" i="5" s="1"/>
  <c r="AX271" i="5"/>
  <c r="AK110" i="4"/>
  <c r="BA105" i="4"/>
  <c r="T111" i="5"/>
  <c r="AW110" i="5"/>
  <c r="AW111" i="5" s="1"/>
  <c r="BA103" i="5"/>
  <c r="BA104" i="5" s="1"/>
  <c r="AJ104" i="5"/>
  <c r="M111" i="4"/>
  <c r="AU110" i="4"/>
  <c r="AU111" i="4" s="1"/>
  <c r="H111" i="5"/>
  <c r="AT110" i="5"/>
  <c r="AT111" i="5" s="1"/>
  <c r="BB94" i="5"/>
  <c r="BB182" i="5"/>
  <c r="AK238" i="4"/>
  <c r="AK273" i="4" s="1"/>
  <c r="AK271" i="4"/>
  <c r="AN271" i="5"/>
  <c r="BB271" i="5" s="1"/>
  <c r="AN238" i="5"/>
  <c r="BB236" i="5"/>
  <c r="AN271" i="4"/>
  <c r="BB271" i="4" s="1"/>
  <c r="AN238" i="4"/>
  <c r="BB236" i="4"/>
  <c r="AW271" i="5"/>
  <c r="L111" i="5"/>
  <c r="AU110" i="5"/>
  <c r="AU111" i="5" s="1"/>
  <c r="BB105" i="4"/>
  <c r="BB105" i="5"/>
  <c r="I275" i="5"/>
  <c r="U111" i="4"/>
  <c r="AW110" i="4"/>
  <c r="AW111" i="4" s="1"/>
  <c r="BA182" i="4"/>
  <c r="BA236" i="4" s="1"/>
  <c r="BA238" i="4" s="1"/>
  <c r="BA273" i="4" s="1"/>
  <c r="BA94" i="4"/>
  <c r="AV110" i="5"/>
  <c r="AV111" i="5" s="1"/>
  <c r="P111" i="5"/>
  <c r="BB182" i="4"/>
  <c r="BB94" i="4"/>
  <c r="AY110" i="5"/>
  <c r="AY111" i="5" s="1"/>
  <c r="AB111" i="5"/>
  <c r="AJ182" i="5"/>
  <c r="AJ236" i="5" s="1"/>
  <c r="AJ105" i="5"/>
  <c r="AJ110" i="5" s="1"/>
  <c r="BA93" i="5"/>
  <c r="AJ94" i="5"/>
  <c r="AX110" i="5"/>
  <c r="AX111" i="5" s="1"/>
  <c r="X111" i="5"/>
  <c r="AC111" i="4"/>
  <c r="AY110" i="4"/>
  <c r="AY111" i="4" s="1"/>
  <c r="BA182" i="5" l="1"/>
  <c r="BA236" i="5" s="1"/>
  <c r="BA238" i="5" s="1"/>
  <c r="BA273" i="5" s="1"/>
  <c r="BA94" i="5"/>
  <c r="AN273" i="4"/>
  <c r="BB273" i="4" s="1"/>
  <c r="BB238" i="4"/>
  <c r="AN111" i="5"/>
  <c r="BB110" i="5"/>
  <c r="BB111" i="5" s="1"/>
  <c r="AJ271" i="5"/>
  <c r="BA271" i="5" s="1"/>
  <c r="AJ238" i="5"/>
  <c r="AJ273" i="5" s="1"/>
  <c r="BA105" i="5"/>
  <c r="AN111" i="4"/>
  <c r="BB110" i="4"/>
  <c r="BB111" i="4" s="1"/>
  <c r="AN273" i="5"/>
  <c r="BB273" i="5" s="1"/>
  <c r="BB238" i="5"/>
  <c r="AK111" i="4"/>
  <c r="BA110" i="4"/>
  <c r="BA111" i="4" s="1"/>
  <c r="AJ111" i="5" l="1"/>
  <c r="BA110" i="5"/>
  <c r="BA111" i="5" s="1"/>
</calcChain>
</file>

<file path=xl/sharedStrings.xml><?xml version="1.0" encoding="utf-8"?>
<sst xmlns="http://schemas.openxmlformats.org/spreadsheetml/2006/main" count="2632" uniqueCount="885">
  <si>
    <t>Idioma / Language</t>
  </si>
  <si>
    <t>Contato / Contact</t>
  </si>
  <si>
    <t>Português</t>
  </si>
  <si>
    <t>English</t>
  </si>
  <si>
    <t>Guilherme Nahuz</t>
  </si>
  <si>
    <t>Investor Relations Director</t>
  </si>
  <si>
    <t>Renato Bello</t>
  </si>
  <si>
    <t>Investor Relations Manager</t>
  </si>
  <si>
    <t>ri@hapvida.com.br</t>
  </si>
  <si>
    <r>
      <t>Indicadores operacionais</t>
    </r>
    <r>
      <rPr>
        <b/>
        <vertAlign val="superscript"/>
        <sz val="10.5"/>
        <rFont val="Arial"/>
        <family val="2"/>
      </rPr>
      <t>(1)</t>
    </r>
  </si>
  <si>
    <t>Item</t>
  </si>
  <si>
    <t>Unidade</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</si>
  <si>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</si>
  <si>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</si>
  <si>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</si>
  <si>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</si>
  <si>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</si>
  <si>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</si>
  <si>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</si>
  <si>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</si>
  <si>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</si>
  <si>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</si>
  <si>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</si>
  <si>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</si>
  <si>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</si>
  <si>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</si>
  <si>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</si>
  <si>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</si>
  <si>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</si>
  <si>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</si>
  <si>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</si>
  <si>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</si>
  <si>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</si>
  <si>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</si>
  <si>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</si>
  <si>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</si>
  <si>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</si>
  <si>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</si>
  <si>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</si>
  <si>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</si>
  <si>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</si>
  <si>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</si>
  <si>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</si>
  <si>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</si>
  <si>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</si>
  <si>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</si>
  <si>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</si>
  <si>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</si>
  <si>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</si>
  <si>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</si>
  <si>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3T25</t>
  </si>
  <si>
    <t>4T25</t>
  </si>
  <si>
    <t>Unidades da rede própria</t>
  </si>
  <si>
    <t>#</t>
  </si>
  <si>
    <t>Hospitais</t>
  </si>
  <si>
    <t>Número de leitos</t>
  </si>
  <si>
    <t>Pronto atendimento</t>
  </si>
  <si>
    <t>Clínicas</t>
  </si>
  <si>
    <t>Diagnóstico de imagem e laboratórios</t>
  </si>
  <si>
    <r>
      <rPr>
        <b/>
        <i/>
        <sz val="10.5"/>
        <color theme="1"/>
        <rFont val="Arial"/>
        <family val="2"/>
      </rPr>
      <t>Ticket</t>
    </r>
    <r>
      <rPr>
        <b/>
        <sz val="10.5"/>
        <color theme="1"/>
        <rFont val="Arial"/>
        <family val="2"/>
      </rPr>
      <t xml:space="preserve"> médio (saúde)</t>
    </r>
  </si>
  <si>
    <t>R$</t>
  </si>
  <si>
    <t>Individual</t>
  </si>
  <si>
    <t>Coletivo</t>
  </si>
  <si>
    <t>    158,70</t>
  </si>
  <si>
    <r>
      <rPr>
        <b/>
        <i/>
        <sz val="10.5"/>
        <color rgb="FF000000"/>
        <rFont val="Arial"/>
        <family val="2"/>
      </rPr>
      <t>Ticket</t>
    </r>
    <r>
      <rPr>
        <b/>
        <sz val="10.5"/>
        <color rgb="FF000000"/>
        <rFont val="Arial"/>
        <family val="2"/>
      </rPr>
      <t xml:space="preserve"> médio (odonto)</t>
    </r>
  </si>
  <si>
    <t>Beneficiários (saúde)</t>
  </si>
  <si>
    <t># milhares</t>
  </si>
  <si>
    <t>Beneficiários (odonto)</t>
  </si>
  <si>
    <t>Patrimônio mínimo ajustado, margem de solvência e ativos garantidores</t>
  </si>
  <si>
    <t xml:space="preserve">4T20 </t>
  </si>
  <si>
    <t>Solvência Exigida - da operadora</t>
  </si>
  <si>
    <t>R$ milhões</t>
  </si>
  <si>
    <t>-</t>
  </si>
  <si>
    <t>Patrimônio Mínimo Ajustado (PMA) - da operadora</t>
  </si>
  <si>
    <t>Excesso de Solvência</t>
  </si>
  <si>
    <t>Excesso de Solvência em %</t>
  </si>
  <si>
    <t>%</t>
  </si>
  <si>
    <t>Ativos garantidores exigidos</t>
  </si>
  <si>
    <t>Ativos garantidores efetivos</t>
  </si>
  <si>
    <t>Outros ativos vinculados</t>
  </si>
  <si>
    <t>Suficiência apurada</t>
  </si>
  <si>
    <t>Suficiência apurada em %</t>
  </si>
  <si>
    <t>(R$ mihões)</t>
  </si>
  <si>
    <t>Capital Baseado em Riscos (CBR)</t>
  </si>
  <si>
    <t>Patrimônio Líquido Ajustado (PLA)</t>
  </si>
  <si>
    <t>Patrimônio Líquido Operadoras</t>
  </si>
  <si>
    <t>(-) Ativo Intangível</t>
  </si>
  <si>
    <t>(-) Investimentos</t>
  </si>
  <si>
    <t>(-) Despesas Comerciais Diferidas</t>
  </si>
  <si>
    <t>(-) Créditos tributários sobre prejuízos fiscais </t>
  </si>
  <si>
    <t>(-) Despesas antecipadas </t>
  </si>
  <si>
    <t xml:space="preserve">Superávit de Capital Regulatório </t>
  </si>
  <si>
    <t xml:space="preserve">Demonstração do Resultado do Exercício </t>
  </si>
  <si>
    <r>
      <t>1T23</t>
    </r>
    <r>
      <rPr>
        <b/>
        <vertAlign val="superscript"/>
        <sz val="10.5"/>
        <color theme="0"/>
        <rFont val="Arial"/>
        <family val="2"/>
      </rPr>
      <t>(2)(4)</t>
    </r>
  </si>
  <si>
    <r>
      <t>2T23</t>
    </r>
    <r>
      <rPr>
        <b/>
        <vertAlign val="superscript"/>
        <sz val="10.5"/>
        <color theme="0"/>
        <rFont val="Arial"/>
        <family val="2"/>
      </rPr>
      <t>(2)(4)</t>
    </r>
  </si>
  <si>
    <r>
      <t>3T23</t>
    </r>
    <r>
      <rPr>
        <b/>
        <vertAlign val="superscript"/>
        <sz val="10.5"/>
        <color theme="0"/>
        <rFont val="Arial"/>
        <family val="2"/>
      </rPr>
      <t>(2)(4)</t>
    </r>
  </si>
  <si>
    <r>
      <t>4T23</t>
    </r>
    <r>
      <rPr>
        <b/>
        <vertAlign val="superscript"/>
        <sz val="10.5"/>
        <color theme="0"/>
        <rFont val="Arial"/>
        <family val="2"/>
      </rPr>
      <t>(2)(4)</t>
    </r>
  </si>
  <si>
    <t>2023 Reapresentado</t>
  </si>
  <si>
    <t>Receita de contraprestações brutas</t>
  </si>
  <si>
    <t>Receita com outras atividades</t>
  </si>
  <si>
    <t>Deduções</t>
  </si>
  <si>
    <t>Receita líquida</t>
  </si>
  <si>
    <t>Custo médico-hospitalar e outros</t>
  </si>
  <si>
    <t xml:space="preserve">     Aluguel com partes relacionadas</t>
  </si>
  <si>
    <t>Depreciação e amortização</t>
  </si>
  <si>
    <t>Variação da PEONA</t>
  </si>
  <si>
    <t>Variação da provisão de ressarcimento ao SUS</t>
  </si>
  <si>
    <t>Custo total</t>
  </si>
  <si>
    <t>Lucro bruto</t>
  </si>
  <si>
    <t>Margem bruta</t>
  </si>
  <si>
    <t>Despesas de vendas</t>
  </si>
  <si>
    <t>Despesas com publicidade e propaganda</t>
  </si>
  <si>
    <t>Despesas com comissões</t>
  </si>
  <si>
    <t>Provisão para perdas sobre créditos</t>
  </si>
  <si>
    <t>Despesas com pessoal</t>
  </si>
  <si>
    <t>Outras despesas com vendas</t>
  </si>
  <si>
    <t>Despesas administrativas</t>
  </si>
  <si>
    <t>Pessoal</t>
  </si>
  <si>
    <t>Incentivo de Longo Prazo (ILP)</t>
  </si>
  <si>
    <t>Serviços de terceiros</t>
  </si>
  <si>
    <t>Localização e funcionamento</t>
  </si>
  <si>
    <t>Tributos</t>
  </si>
  <si>
    <t>Provisões para riscos cíveis, trabalhista e tributário</t>
  </si>
  <si>
    <t>Despesas diversas</t>
  </si>
  <si>
    <t>Outras despesas/receitas operacionais</t>
  </si>
  <si>
    <t>Despesas totais</t>
  </si>
  <si>
    <t>Lucro operacional</t>
  </si>
  <si>
    <t>Receitas financeiras</t>
  </si>
  <si>
    <t>Despesas financeiras</t>
  </si>
  <si>
    <t>Resultado financeiro</t>
  </si>
  <si>
    <t>Lucro antes de IR e CSLL</t>
  </si>
  <si>
    <t>IR e CSLL corrente</t>
  </si>
  <si>
    <t>IR e CSLL diferido</t>
  </si>
  <si>
    <t>IR e CSLL</t>
  </si>
  <si>
    <t>(Prejuízo)/Lucro líquido das operações continuadas do período</t>
  </si>
  <si>
    <t>(Prejuízo)/Lucro líquido das operações descontinuadas do período</t>
  </si>
  <si>
    <t>(Prejuízo)/Lucro líquido do período</t>
  </si>
  <si>
    <t>Margem líquida</t>
  </si>
  <si>
    <t>Ebitda e Lucro Líquido Ajustado</t>
  </si>
  <si>
    <t>Ebit</t>
  </si>
  <si>
    <t>Ebitda</t>
  </si>
  <si>
    <t>Margem Ebitda</t>
  </si>
  <si>
    <t>Despesas não-recorrentes</t>
  </si>
  <si>
    <t>Ebitda Ajustado</t>
  </si>
  <si>
    <t>Margem Ebitda Ajustado</t>
  </si>
  <si>
    <t>(Prejuízo)/Lucro líquido</t>
  </si>
  <si>
    <t>Incentivo de Longo Prazo (ILP) e Despesas não-recorrentes</t>
  </si>
  <si>
    <t>Amortização do intangivel</t>
  </si>
  <si>
    <t>Lucro líquido Ajustado</t>
  </si>
  <si>
    <t>Margem líquida  Ajustada</t>
  </si>
  <si>
    <t>Balanço Patrimonial</t>
  </si>
  <si>
    <t>4T23
Reapresentado</t>
  </si>
  <si>
    <r>
      <t>1T24</t>
    </r>
    <r>
      <rPr>
        <b/>
        <vertAlign val="superscript"/>
        <sz val="10.5"/>
        <color theme="0"/>
        <rFont val="Arial"/>
        <family val="2"/>
      </rPr>
      <t>(2)(5)</t>
    </r>
  </si>
  <si>
    <r>
      <t>2T24</t>
    </r>
    <r>
      <rPr>
        <b/>
        <vertAlign val="superscript"/>
        <sz val="10.5"/>
        <color theme="0"/>
        <rFont val="Arial"/>
        <family val="2"/>
      </rPr>
      <t>(2)(5)</t>
    </r>
  </si>
  <si>
    <r>
      <t>3T24</t>
    </r>
    <r>
      <rPr>
        <b/>
        <vertAlign val="superscript"/>
        <sz val="10.5"/>
        <color theme="0"/>
        <rFont val="Arial"/>
        <family val="2"/>
      </rPr>
      <t>(2)(5)</t>
    </r>
  </si>
  <si>
    <t>Ativo</t>
  </si>
  <si>
    <t>Ativo circulante</t>
  </si>
  <si>
    <t>Caixa e equivalentes de caixa</t>
  </si>
  <si>
    <t>Aplicações financeiras de curto prazo</t>
  </si>
  <si>
    <t>Contas a receber de clientes</t>
  </si>
  <si>
    <t>Estoques</t>
  </si>
  <si>
    <t>Impostos a recuperar</t>
  </si>
  <si>
    <t>Dividendos e juros sobre capital próprio a receber</t>
  </si>
  <si>
    <t>Instrumentos financeiros derivativos</t>
  </si>
  <si>
    <t>Adiantamentos a fornecedores</t>
  </si>
  <si>
    <t>Despesa de comercialização diferida</t>
  </si>
  <si>
    <t>Outros ativos</t>
  </si>
  <si>
    <t>Ativos líquidos de controladas destinados para venda</t>
  </si>
  <si>
    <t>Ativo não circulante</t>
  </si>
  <si>
    <t>Aplicações financeiras de longo prazo</t>
  </si>
  <si>
    <t>Impostos diferidos</t>
  </si>
  <si>
    <t>Tributos a recuperar</t>
  </si>
  <si>
    <t>Depósitos judiciais</t>
  </si>
  <si>
    <t>Outros créditos com partes relacionadas</t>
  </si>
  <si>
    <t>Investimentos</t>
  </si>
  <si>
    <t>Imobilizado</t>
  </si>
  <si>
    <t>Intangível</t>
  </si>
  <si>
    <t>Passivo e patrimônio líquido</t>
  </si>
  <si>
    <t>Passivo circulante</t>
  </si>
  <si>
    <t>Empréstimos, financiamentos e debêntures</t>
  </si>
  <si>
    <t>Fornecedores</t>
  </si>
  <si>
    <t>Provisões técnicas e operações de assistência à saúde</t>
  </si>
  <si>
    <t>Débitos de operações de assistência à saúde</t>
  </si>
  <si>
    <t>Obrigações sociais</t>
  </si>
  <si>
    <t>Tributos e contribuições a recolher</t>
  </si>
  <si>
    <t>Imposto de renda e contribuição social</t>
  </si>
  <si>
    <t>Dividendos e juros sobre capital próprio a pagar</t>
  </si>
  <si>
    <t>Arrendamentos a pagar</t>
  </si>
  <si>
    <t>Outros débitos com partes relacionadas</t>
  </si>
  <si>
    <t>Outras contas a pagar</t>
  </si>
  <si>
    <t>Passivo não circulante</t>
  </si>
  <si>
    <t>Provisões técnicas de operações de assistência à saúde</t>
  </si>
  <si>
    <t>Passivo fiscal diferido</t>
  </si>
  <si>
    <t>Provisão para riscos fiscais, cíveis e trabalhistas</t>
  </si>
  <si>
    <t>Provisão pra perdas em investimentos</t>
  </si>
  <si>
    <t>Adiantamento para futuro aumento de capital</t>
  </si>
  <si>
    <t>Patrimônio líquido</t>
  </si>
  <si>
    <t>Capital social</t>
  </si>
  <si>
    <t>Ações em tesouraria</t>
  </si>
  <si>
    <t>Reserva legal</t>
  </si>
  <si>
    <t>Reserva de capital</t>
  </si>
  <si>
    <t>Lucros acumulados</t>
  </si>
  <si>
    <t>Reserva de lucros</t>
  </si>
  <si>
    <t>Outros resultados abrangentes</t>
  </si>
  <si>
    <t>Prejuízos/Lucros acumulados do período</t>
  </si>
  <si>
    <t>Patrimônio líquido atribuível aos controladores</t>
  </si>
  <si>
    <t>Participação de não controladores</t>
  </si>
  <si>
    <t>Fluxo de Caixa</t>
  </si>
  <si>
    <r>
      <t>1T23</t>
    </r>
    <r>
      <rPr>
        <b/>
        <vertAlign val="superscript"/>
        <sz val="10.5"/>
        <color theme="0"/>
        <rFont val="Arial"/>
        <family val="2"/>
      </rPr>
      <t>(2)(3)</t>
    </r>
  </si>
  <si>
    <r>
      <t>2T23</t>
    </r>
    <r>
      <rPr>
        <b/>
        <vertAlign val="superscript"/>
        <sz val="10.5"/>
        <color theme="0"/>
        <rFont val="Arial"/>
        <family val="2"/>
      </rPr>
      <t>(2)(3)</t>
    </r>
  </si>
  <si>
    <r>
      <t>3T23</t>
    </r>
    <r>
      <rPr>
        <b/>
        <vertAlign val="superscript"/>
        <sz val="10.5"/>
        <color theme="0"/>
        <rFont val="Arial"/>
        <family val="2"/>
      </rPr>
      <t>(2)(3)</t>
    </r>
  </si>
  <si>
    <r>
      <t>4T23</t>
    </r>
    <r>
      <rPr>
        <b/>
        <vertAlign val="superscript"/>
        <sz val="10.5"/>
        <color theme="0"/>
        <rFont val="Arial"/>
        <family val="2"/>
      </rPr>
      <t>(2)(3)</t>
    </r>
  </si>
  <si>
    <t>Lucro líquido</t>
  </si>
  <si>
    <t xml:space="preserve">Ajustes para reconciliar o lucro líquido com o caixa </t>
  </si>
  <si>
    <t>Amortização de direito de uso</t>
  </si>
  <si>
    <t>Baixa de mais valia de imobilizado</t>
  </si>
  <si>
    <r>
      <rPr>
        <i/>
        <sz val="10.5"/>
        <rFont val="Arial"/>
        <family val="2"/>
      </rPr>
      <t>Sale &amp; Leaseback</t>
    </r>
    <r>
      <rPr>
        <sz val="10.5"/>
        <rFont val="Arial"/>
        <family val="2"/>
      </rPr>
      <t xml:space="preserve"> - Retroarrendamentos</t>
    </r>
  </si>
  <si>
    <t>Provisão/(Reversão) de glosa esperada</t>
  </si>
  <si>
    <t>Equivalência Patrimonial</t>
  </si>
  <si>
    <t>Provisão para perdas sobre créditos e baixa por perda efetiva</t>
  </si>
  <si>
    <t>Provisão para perdas em investimentos</t>
  </si>
  <si>
    <t>Baixa de ativo imobilizado</t>
  </si>
  <si>
    <t>Baixa do intangível</t>
  </si>
  <si>
    <t>Baixa de investimento</t>
  </si>
  <si>
    <t>Perda do intangível</t>
  </si>
  <si>
    <t>Provisão para perda de adiantamento a fornecedores</t>
  </si>
  <si>
    <t>Apropriação prêmio de retenção</t>
  </si>
  <si>
    <t>Remensurações de direito de uso/arrendamentos a pagar</t>
  </si>
  <si>
    <t>Rendimento de aplicação financeira</t>
  </si>
  <si>
    <t xml:space="preserve">   Perda (Ganho) com instrumentos financeiros derivativos</t>
  </si>
  <si>
    <t>Juros e atualizações monetárias de arrendamento</t>
  </si>
  <si>
    <t>Juros e encargos financeiros de empréstimos, financiamentos e debêntures</t>
  </si>
  <si>
    <t>Atualizações monetárias de provisão para provisão para riscos fiscais, cíveis e trabalhistas</t>
  </si>
  <si>
    <t>Atualizações monetárias de depósitos judiciais</t>
  </si>
  <si>
    <t>Atualizações monetárias SUS</t>
  </si>
  <si>
    <t>Atualização monetária de obrigações contratuais</t>
  </si>
  <si>
    <t>Efeito líquido de ativos indenizatórios</t>
  </si>
  <si>
    <t>Variação cambial</t>
  </si>
  <si>
    <t xml:space="preserve">   Transações de pagamento baseado em ações</t>
  </si>
  <si>
    <t>Mudança no valor justo passivo contingente</t>
  </si>
  <si>
    <t>Outros</t>
  </si>
  <si>
    <t>Imposto e contribuição social</t>
  </si>
  <si>
    <t>Amortização de despesas de comercialização diferidas</t>
  </si>
  <si>
    <t>Ajuste a valor de mercado de aplicações financeiras</t>
  </si>
  <si>
    <t>(Aumento) diminuição das contas do ativo:</t>
  </si>
  <si>
    <t>Contas a receber</t>
  </si>
  <si>
    <t>Aplicações financeiras</t>
  </si>
  <si>
    <t>Adiantamentos</t>
  </si>
  <si>
    <t>Aumento (diminuição) das contas do passivo:</t>
  </si>
  <si>
    <t>Provisões técnicas de operações de assistência a saúde</t>
  </si>
  <si>
    <t>Débitos de operações de assistência a saúde</t>
  </si>
  <si>
    <t xml:space="preserve">Fornecedores </t>
  </si>
  <si>
    <t>Imposto de renda e contribuição social pagos</t>
  </si>
  <si>
    <t>Fluxo de caixa das atividades operacionais continuadas</t>
  </si>
  <si>
    <t>Fluxo de caixa líquido proveniente das atividades operacionais descontinuadas</t>
  </si>
  <si>
    <t>Caixa líquido gerado pelas atividades operacionais</t>
  </si>
  <si>
    <t>Fluxo de caixa das atividades de investimento continuadas</t>
  </si>
  <si>
    <t>(Pagamentos) Recebimento a partes relacionadas</t>
  </si>
  <si>
    <t>Aquisição de imobilizado</t>
  </si>
  <si>
    <t>Aquisição de intangíveis</t>
  </si>
  <si>
    <t>Aquisição de arrendamento</t>
  </si>
  <si>
    <t>Aquisição de investimentos</t>
  </si>
  <si>
    <t>Ajuste de preço de combinação de negócios</t>
  </si>
  <si>
    <t>Saldos atribuídos à aquisição de investidas</t>
  </si>
  <si>
    <t>Recebimento de dividendos</t>
  </si>
  <si>
    <r>
      <t xml:space="preserve">Recursos recebidos de operações de </t>
    </r>
    <r>
      <rPr>
        <i/>
        <sz val="10.5"/>
        <color theme="1"/>
        <rFont val="Arial"/>
        <family val="2"/>
      </rPr>
      <t>Sale &amp; Leaseback</t>
    </r>
  </si>
  <si>
    <t>Resgates (aplicações) de aplicações financeiras</t>
  </si>
  <si>
    <t>Fluxo de caixa (utilizado nas) proveniente das atividades de investimento descontinuadas</t>
  </si>
  <si>
    <t>Caixa líquido gerado pelas atividades investimento</t>
  </si>
  <si>
    <t>Fluxo de caixa das atividades de financiamento continuadas</t>
  </si>
  <si>
    <t>Recebimento de partes relacionadas</t>
  </si>
  <si>
    <t>Emissão de debêntures</t>
  </si>
  <si>
    <t xml:space="preserve">Captação de empréstimos e financiamentos </t>
  </si>
  <si>
    <t>(Pagamento) / Recebimento de instrumentos financeiros derivativos</t>
  </si>
  <si>
    <t>Gasto com emissão de ação</t>
  </si>
  <si>
    <t>Pagamento de empréstimos, financiamentos e debêntures</t>
  </si>
  <si>
    <t>Pagamento de juros de empréstimos, financiamentos e debêntures</t>
  </si>
  <si>
    <t>Custos de transação relacionados à captações</t>
  </si>
  <si>
    <t>Aquisição de controladas - Pagamentos</t>
  </si>
  <si>
    <t>Pagamento de dividendos e juros sobre capital próprio</t>
  </si>
  <si>
    <t>Pagamento de arrendamento</t>
  </si>
  <si>
    <t>Recursos provenientes da emissão de ações</t>
  </si>
  <si>
    <t>Recompra de ações próprias</t>
  </si>
  <si>
    <t>Participação de sócios não controladores</t>
  </si>
  <si>
    <t>Pagamento de plano de remuneração baseado em ações - Stock grant</t>
  </si>
  <si>
    <t>Fluxo de caixa (utilizado nas) proveniente das atividades de financiamento descontinuadas</t>
  </si>
  <si>
    <t>Caixa líquido gerado pelas atividades financiamento</t>
  </si>
  <si>
    <t>Aumento (Redução) de caixa e equivalentes de caixa de operações continuadas</t>
  </si>
  <si>
    <t>Aumento (Redução) de caixa e equivalentes de caixa de operações descontinuadas</t>
  </si>
  <si>
    <t>Variação do caixa e equivalentes de caixa</t>
  </si>
  <si>
    <t>Caixa e equivalentes de caixa no início do período</t>
  </si>
  <si>
    <t>Caixa e equivalentes de caixa no final do período</t>
  </si>
  <si>
    <t>Variação de Caixa e equivalentes de caixa de operações descontinuadas</t>
  </si>
  <si>
    <t>Contas à receber e PDD</t>
  </si>
  <si>
    <t>4T23 Reapresentado</t>
  </si>
  <si>
    <t>Planos de saúde e odontológicos</t>
  </si>
  <si>
    <t>Convênios e particulares</t>
  </si>
  <si>
    <t>Contas à receber de clientes</t>
  </si>
  <si>
    <t>À vencer</t>
  </si>
  <si>
    <t>Vencidos</t>
  </si>
  <si>
    <t>Até 30 dias</t>
  </si>
  <si>
    <t>De 31 a 60 dias</t>
  </si>
  <si>
    <t>De 61 a 90 dias</t>
  </si>
  <si>
    <t>Há mais de 90 dias</t>
  </si>
  <si>
    <t>Provisão para perdas</t>
  </si>
  <si>
    <t>Cronograma do Plano de pagamento baseado em ações com liquidação em caixa (Saldo outorgado)</t>
  </si>
  <si>
    <t>Incentivo de Longo Prazo (ILP) -  Saldo outorgado</t>
  </si>
  <si>
    <t># ações</t>
  </si>
  <si>
    <t>Cronograma do Plano de pagamento baseado em ações com liquidação em caixa (Saldo a outorgar)</t>
  </si>
  <si>
    <t>1T26</t>
  </si>
  <si>
    <t>2T26</t>
  </si>
  <si>
    <t>3T26</t>
  </si>
  <si>
    <t>4T26</t>
  </si>
  <si>
    <t>1T27</t>
  </si>
  <si>
    <t>2T27</t>
  </si>
  <si>
    <t>3T27</t>
  </si>
  <si>
    <t>4T27</t>
  </si>
  <si>
    <t>Incentivo de Longo Prazo (ILP)  - Saldo a outorgar</t>
  </si>
  <si>
    <t>Expectativa de amortização Contábil do Ativo Intangível</t>
  </si>
  <si>
    <t>Estoque em 31.12.2025</t>
  </si>
  <si>
    <t>Demais Anos</t>
  </si>
  <si>
    <t xml:space="preserve">Carteira de clientes </t>
  </si>
  <si>
    <t>Marcas e patentes</t>
  </si>
  <si>
    <t>Ágio</t>
  </si>
  <si>
    <t>Mais-valia</t>
  </si>
  <si>
    <t>Saldo Fiscal a amortizar de empresas ainda não incorporadas</t>
  </si>
  <si>
    <t>Pré-fusão (estoque)</t>
  </si>
  <si>
    <t>Fusão HAP+NDI</t>
  </si>
  <si>
    <t>Notas:</t>
  </si>
  <si>
    <t>(1) Com a conclusão da combinação de negócios com a Notre Dame Intermédica Participações S.A. (NDI) em 11 de fevereiro de 2022, a NDI foi então consolidada e se tornou parte das demonstrações financeiras consolidadas da Hapvida Participações e Investimentos S.A. nesse mesmo mês. Todos os indicadores operacionais refletem esse contexto.</t>
  </si>
  <si>
    <t>(2) A reapresentação ocorrida para as demonstrações financeiras de 31 de dezembro de 2023 afetaram o balanço patrimonial (BP), demonstração de resultados (DRE), demonstrações dos fluxos de caixa (DFC) e demais quadros. Os saldos foram reapresentados para o exercício de 2023, contudo, não sendo reapresentados nas demonstrações financeiras, os respectivos saldos trimestrais dentro do exercício.</t>
  </si>
  <si>
    <t>(3) Os saldos aqui constantes na DFC do 1T23, 2T23, 3T23 e 4T23 referem-se aos valores apresentados nas DFCs divulgadas à época, ou seja, não foram proformados nem reapresentados.</t>
  </si>
  <si>
    <t>(4) Os saldos aqui constantes na DRE do 1T23, 2T23, 3T23 e 4T23 foram calculados em base pro-forma.</t>
  </si>
  <si>
    <t>(5) Os saldos aqui constantes no BP do 1T24, 2T24 e 3T24 foram calculados em base pro-forma considerando os ajustes que impactaram o BP de 31 de dezembro de 2023.</t>
  </si>
  <si>
    <t>Operating indicators*</t>
  </si>
  <si>
    <t>Unit</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</si>
  <si>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</si>
  <si>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</si>
  <si>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</si>
  <si>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</si>
  <si>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</si>
  <si>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</si>
  <si>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</si>
  <si>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</si>
  <si>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</si>
  <si>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</si>
  <si>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</si>
  <si>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</si>
  <si>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</si>
  <si>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</si>
  <si>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</si>
  <si>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</si>
  <si>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</si>
  <si>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</si>
  <si>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</si>
  <si>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</si>
  <si>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</si>
  <si>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</si>
  <si>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</si>
  <si>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</si>
  <si>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</si>
  <si>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</si>
  <si>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</si>
  <si>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</si>
  <si>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</si>
  <si>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</si>
  <si>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</si>
  <si>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</si>
  <si>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</si>
  <si>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</si>
  <si>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</si>
  <si>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</si>
  <si>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</si>
  <si>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</si>
  <si>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</si>
  <si>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</si>
  <si>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Units of own network</t>
  </si>
  <si>
    <t>Hospitals</t>
  </si>
  <si>
    <t>Number of beds</t>
  </si>
  <si>
    <t>Emergency Units</t>
  </si>
  <si>
    <t>Clinics</t>
  </si>
  <si>
    <t>Image diagnosis and labs</t>
  </si>
  <si>
    <t>Average ticket (health)</t>
  </si>
  <si>
    <t>Corporate</t>
  </si>
  <si>
    <t>Average ticket (dental)</t>
  </si>
  <si>
    <t>Beneficiaries (health)</t>
  </si>
  <si>
    <t># thousand</t>
  </si>
  <si>
    <t>Beneficiaries (dental)</t>
  </si>
  <si>
    <t>Minimum adjusted equity, solvency margin and collateral assets (ANS)</t>
  </si>
  <si>
    <t>Solvency required (of operator)</t>
  </si>
  <si>
    <t>R$ million</t>
  </si>
  <si>
    <t>Minimum adjusted equity (of operator)</t>
  </si>
  <si>
    <t xml:space="preserve">Excess solvency </t>
  </si>
  <si>
    <t>Excess solvency in %</t>
  </si>
  <si>
    <t>Required assets</t>
  </si>
  <si>
    <t>Effective assets</t>
  </si>
  <si>
    <t>Other related assets</t>
  </si>
  <si>
    <t>Sufficiency</t>
  </si>
  <si>
    <t>Sufficiency in %</t>
  </si>
  <si>
    <t>(R$ million)</t>
  </si>
  <si>
    <t>Risk Based Capital</t>
  </si>
  <si>
    <t>Adjusted Equity</t>
  </si>
  <si>
    <t>Operator equity</t>
  </si>
  <si>
    <t>(-) Intangible Assets</t>
  </si>
  <si>
    <t>(-) Investments</t>
  </si>
  <si>
    <t>(-) Deferred Selling Expenses</t>
  </si>
  <si>
    <t>(-) Tax credits on tax losses</t>
  </si>
  <si>
    <t>(-) Prepaid expenses</t>
  </si>
  <si>
    <t>Regulatory Capital Surplus</t>
  </si>
  <si>
    <t>Income Statement</t>
  </si>
  <si>
    <t>1QT19</t>
  </si>
  <si>
    <r>
      <t>1Q23</t>
    </r>
    <r>
      <rPr>
        <b/>
        <vertAlign val="superscript"/>
        <sz val="10.5"/>
        <color theme="0"/>
        <rFont val="Arial"/>
        <family val="2"/>
      </rPr>
      <t>(2)(4)</t>
    </r>
  </si>
  <si>
    <r>
      <t>2Q23</t>
    </r>
    <r>
      <rPr>
        <b/>
        <vertAlign val="superscript"/>
        <sz val="10.5"/>
        <color theme="0"/>
        <rFont val="Arial"/>
        <family val="2"/>
      </rPr>
      <t>(2)(4)</t>
    </r>
  </si>
  <si>
    <r>
      <t>3Q23</t>
    </r>
    <r>
      <rPr>
        <b/>
        <vertAlign val="superscript"/>
        <sz val="10.5"/>
        <color theme="0"/>
        <rFont val="Arial"/>
        <family val="2"/>
      </rPr>
      <t>(2)(4)</t>
    </r>
  </si>
  <si>
    <r>
      <t>4Q23</t>
    </r>
    <r>
      <rPr>
        <b/>
        <vertAlign val="superscript"/>
        <sz val="10.5"/>
        <color theme="0"/>
        <rFont val="Arial"/>
        <family val="2"/>
      </rPr>
      <t>(2)(4)</t>
    </r>
  </si>
  <si>
    <t>2023 Restated</t>
  </si>
  <si>
    <t>Revenues from gross payments</t>
  </si>
  <si>
    <t>Revenue from other activities</t>
  </si>
  <si>
    <t>Deductions</t>
  </si>
  <si>
    <t>Net revenues</t>
  </si>
  <si>
    <t>Medical cost and others</t>
  </si>
  <si>
    <t xml:space="preserve">     Rent with related parties</t>
  </si>
  <si>
    <t>Depreciation and amortization</t>
  </si>
  <si>
    <t>Change in IBNR</t>
  </si>
  <si>
    <t>Change in SUS reimbursement provision</t>
  </si>
  <si>
    <t>Total cost</t>
  </si>
  <si>
    <t>Gross profit</t>
  </si>
  <si>
    <t>Gross margin</t>
  </si>
  <si>
    <t>Selling expenses</t>
  </si>
  <si>
    <t>Advertise expenses</t>
  </si>
  <si>
    <t>Commission expenses</t>
  </si>
  <si>
    <t>Provision for credit losses</t>
  </si>
  <si>
    <t>Personnel expenses</t>
  </si>
  <si>
    <t>Other sales expenses</t>
  </si>
  <si>
    <t>Administrative expenses</t>
  </si>
  <si>
    <t>Personnel</t>
  </si>
  <si>
    <t>Stock Grant and Stock Option Plans</t>
  </si>
  <si>
    <t>Third party services</t>
  </si>
  <si>
    <t>Location and operation</t>
  </si>
  <si>
    <t>Taxes</t>
  </si>
  <si>
    <t>Provisions for civil, labor and tax risks</t>
  </si>
  <si>
    <t>Miscellaneous expenses</t>
  </si>
  <si>
    <t>Other expenses/operational revenues</t>
  </si>
  <si>
    <t>Total expenses</t>
  </si>
  <si>
    <t>Operational income</t>
  </si>
  <si>
    <t>Financial revenues</t>
  </si>
  <si>
    <t>Financial expenses</t>
  </si>
  <si>
    <t>Financial result</t>
  </si>
  <si>
    <t>EBT</t>
  </si>
  <si>
    <t>IR and CSLL current</t>
  </si>
  <si>
    <t>IR and CSLL deferred</t>
  </si>
  <si>
    <t>IR and CSLL</t>
  </si>
  <si>
    <t>Net (loss)/income from discontinued operations for the period</t>
  </si>
  <si>
    <t>Net (loss)/income from continued operations for the period</t>
  </si>
  <si>
    <t>Net (loss)/income for the period</t>
  </si>
  <si>
    <t>Net (loss)/income margin</t>
  </si>
  <si>
    <t>EBITDA</t>
  </si>
  <si>
    <t>EBIT</t>
  </si>
  <si>
    <t>EBITDA margin</t>
  </si>
  <si>
    <t>Long Term Incentive Plan (LTIP) and SOP</t>
  </si>
  <si>
    <t>Non-recurring expenses</t>
  </si>
  <si>
    <t>Adjusted EBITDA</t>
  </si>
  <si>
    <t>Adjusted EBITDA margin</t>
  </si>
  <si>
    <t>Net (loss)/income</t>
  </si>
  <si>
    <t>Long Term Incentive Plan (LTIP), SOP and non-recurring expenses</t>
  </si>
  <si>
    <t>Intangible Amortization</t>
  </si>
  <si>
    <t>Adjusted Net income</t>
  </si>
  <si>
    <t>Adjusted Net income margin</t>
  </si>
  <si>
    <t>Balance Sheet</t>
  </si>
  <si>
    <t>4T23
Restated</t>
  </si>
  <si>
    <r>
      <t>1Q24</t>
    </r>
    <r>
      <rPr>
        <b/>
        <vertAlign val="superscript"/>
        <sz val="10.5"/>
        <color theme="0"/>
        <rFont val="Arial"/>
        <family val="2"/>
      </rPr>
      <t>(2)(5)</t>
    </r>
  </si>
  <si>
    <r>
      <t>2Q24</t>
    </r>
    <r>
      <rPr>
        <b/>
        <vertAlign val="superscript"/>
        <sz val="10.5"/>
        <color theme="0"/>
        <rFont val="Arial"/>
        <family val="2"/>
      </rPr>
      <t>(2)(5)</t>
    </r>
  </si>
  <si>
    <r>
      <t>3Q24</t>
    </r>
    <r>
      <rPr>
        <b/>
        <vertAlign val="superscript"/>
        <sz val="10.5"/>
        <color theme="0"/>
        <rFont val="Arial"/>
        <family val="2"/>
      </rPr>
      <t>(2)(5)</t>
    </r>
  </si>
  <si>
    <t>Assets</t>
  </si>
  <si>
    <t>Current assets</t>
  </si>
  <si>
    <t>Cash and cash equivalents</t>
  </si>
  <si>
    <t>Short-term investments</t>
  </si>
  <si>
    <t>Trade receivables</t>
  </si>
  <si>
    <t>Inventory</t>
  </si>
  <si>
    <t>Recoverable tax</t>
  </si>
  <si>
    <t>Dividends and interest on shareholder´s equity receivable</t>
  </si>
  <si>
    <t>Derivative financial instruments</t>
  </si>
  <si>
    <t>Advances to suppliers</t>
  </si>
  <si>
    <t>Deferred commission</t>
  </si>
  <si>
    <t>Other assets</t>
  </si>
  <si>
    <t>Net assets of subsidiaries held for sale</t>
  </si>
  <si>
    <t>Non-current assets</t>
  </si>
  <si>
    <t>Long-term investments</t>
  </si>
  <si>
    <t>Deferred taxes</t>
  </si>
  <si>
    <t>Taxes to recover</t>
  </si>
  <si>
    <t>Judicial deposits</t>
  </si>
  <si>
    <t>Related party receivable</t>
  </si>
  <si>
    <t>Other credits with related parties</t>
  </si>
  <si>
    <t>Investments</t>
  </si>
  <si>
    <t>Property, plant and equipment</t>
  </si>
  <si>
    <t>Intangible assets</t>
  </si>
  <si>
    <t>Liabilities and shareholders' equity</t>
  </si>
  <si>
    <t>Current liabilities</t>
  </si>
  <si>
    <t>Borrowings, financing and debentures</t>
  </si>
  <si>
    <t>Trade payables</t>
  </si>
  <si>
    <t>Technical provisions for health care operations</t>
  </si>
  <si>
    <t>Health care payables</t>
  </si>
  <si>
    <t>Payroll obligations</t>
  </si>
  <si>
    <t>Taxes and contributions payable</t>
  </si>
  <si>
    <t>Income and social contribution taxes</t>
  </si>
  <si>
    <t>Dividends and interest on shareholders’ equity payable</t>
  </si>
  <si>
    <t>Leases payable</t>
  </si>
  <si>
    <t>Related party payables</t>
  </si>
  <si>
    <t>Other accounts payable</t>
  </si>
  <si>
    <t>Non-current liabilities</t>
  </si>
  <si>
    <t>Technical reserves for health care operations</t>
  </si>
  <si>
    <t>Deferred tax liability</t>
  </si>
  <si>
    <t>Provision for tax, civil and labor risks</t>
  </si>
  <si>
    <t>Provision for investment losses</t>
  </si>
  <si>
    <t>Advance for future capital increase</t>
  </si>
  <si>
    <t>Shareholders' equity</t>
  </si>
  <si>
    <t>Capital</t>
  </si>
  <si>
    <t xml:space="preserve">Treasury shares </t>
  </si>
  <si>
    <t>Legal reserve</t>
  </si>
  <si>
    <t xml:space="preserve">Capital reserve </t>
  </si>
  <si>
    <t>Accumulated profits</t>
  </si>
  <si>
    <t>Profit reserves</t>
  </si>
  <si>
    <t>Other comprehensive income</t>
  </si>
  <si>
    <t>Accumulated loss/income</t>
  </si>
  <si>
    <t>Equity attributable to controlling shareholders</t>
  </si>
  <si>
    <t>Non-controlling interest</t>
  </si>
  <si>
    <t>Cash Flow Statement</t>
  </si>
  <si>
    <r>
      <t>1Q23</t>
    </r>
    <r>
      <rPr>
        <b/>
        <vertAlign val="superscript"/>
        <sz val="10.5"/>
        <color theme="0"/>
        <rFont val="Arial"/>
        <family val="2"/>
      </rPr>
      <t>(2)(3)</t>
    </r>
  </si>
  <si>
    <r>
      <t>2Q23</t>
    </r>
    <r>
      <rPr>
        <b/>
        <vertAlign val="superscript"/>
        <sz val="10.5"/>
        <color theme="0"/>
        <rFont val="Arial"/>
        <family val="2"/>
      </rPr>
      <t>(2)(3)</t>
    </r>
  </si>
  <si>
    <r>
      <t>3Q23</t>
    </r>
    <r>
      <rPr>
        <b/>
        <vertAlign val="superscript"/>
        <sz val="10.5"/>
        <color theme="0"/>
        <rFont val="Arial"/>
        <family val="2"/>
      </rPr>
      <t>(2)(3)</t>
    </r>
  </si>
  <si>
    <r>
      <t>4Q23</t>
    </r>
    <r>
      <rPr>
        <b/>
        <vertAlign val="superscript"/>
        <sz val="10.5"/>
        <color theme="0"/>
        <rFont val="Arial"/>
        <family val="2"/>
      </rPr>
      <t>(2)(3)</t>
    </r>
  </si>
  <si>
    <t>Net income</t>
  </si>
  <si>
    <t>Adjustments to reconcile net income with cash</t>
  </si>
  <si>
    <t>Depreciation of right-of-use assets</t>
  </si>
  <si>
    <t>Write-off of added value of fixed assets</t>
  </si>
  <si>
    <r>
      <rPr>
        <i/>
        <sz val="10.5"/>
        <rFont val="Arial"/>
        <family val="2"/>
      </rPr>
      <t>Sale &amp; Leaseback</t>
    </r>
    <r>
      <rPr>
        <sz val="10.5"/>
        <rFont val="Arial"/>
        <family val="2"/>
      </rPr>
      <t xml:space="preserve"> - Leaseback arrangements</t>
    </r>
  </si>
  <si>
    <t>Provision/(Reversal) of expected disallowance</t>
  </si>
  <si>
    <t>Equity</t>
  </si>
  <si>
    <t>Provision for credit losses and write-off for actual loss</t>
  </si>
  <si>
    <t>Provision for losses on investments</t>
  </si>
  <si>
    <t>Write-off of property, plant and equipment</t>
  </si>
  <si>
    <t>Write-off of intangible assets</t>
  </si>
  <si>
    <t>Write-off of investment</t>
  </si>
  <si>
    <t>Loss of intangible assets</t>
  </si>
  <si>
    <t>Provision for loss of advances to suppliers</t>
  </si>
  <si>
    <t>Appropriation of retention premium</t>
  </si>
  <si>
    <t>Remeasurements of right of use/rents payable</t>
  </si>
  <si>
    <t>Income from financial investments</t>
  </si>
  <si>
    <t>Earning on derivative financial instruments</t>
  </si>
  <si>
    <t>Interest and monetary restatement of leases</t>
  </si>
  <si>
    <t>Interest and financial charges on loans and financing</t>
  </si>
  <si>
    <t>Financial updates of provision for provision for tax, civil and labor risks</t>
  </si>
  <si>
    <t>Monetary restatement of court deposits</t>
  </si>
  <si>
    <t>SUS restatement updates</t>
  </si>
  <si>
    <t>Monetary restatement of contractual obligations</t>
  </si>
  <si>
    <t>Net effect of compensatory assets</t>
  </si>
  <si>
    <t>Exchange rate</t>
  </si>
  <si>
    <t>Long term incentive plan</t>
  </si>
  <si>
    <t>Change in fair value contingent liability</t>
  </si>
  <si>
    <t>Others</t>
  </si>
  <si>
    <t>Tax income and social contribution</t>
  </si>
  <si>
    <t>Amortization of deferred commission</t>
  </si>
  <si>
    <t>Adjust the market value of financial investments</t>
  </si>
  <si>
    <t>(Increase) decrease in asset accounts</t>
  </si>
  <si>
    <t>Accounts receivable</t>
  </si>
  <si>
    <t>Taxes recoverable</t>
  </si>
  <si>
    <t>Financial investments</t>
  </si>
  <si>
    <t>Advance payments</t>
  </si>
  <si>
    <t>Deferred Sales Expense</t>
  </si>
  <si>
    <t>Increase (decrease) in liability accounts:</t>
  </si>
  <si>
    <t>Debts of health care operations</t>
  </si>
  <si>
    <t>Social obligations</t>
  </si>
  <si>
    <t>Suppliers</t>
  </si>
  <si>
    <t>Income tax and social contribution paid</t>
  </si>
  <si>
    <t>Net cash generated operating activities from continuing operations</t>
  </si>
  <si>
    <t>Net cash flow (used in) from discontinued operating activities</t>
  </si>
  <si>
    <t>Net cash generated by operating activities</t>
  </si>
  <si>
    <t>Net cash generated by investing activities from continuing operations</t>
  </si>
  <si>
    <t>Payments to related parties</t>
  </si>
  <si>
    <t>Acquisition of property, plant and equipment</t>
  </si>
  <si>
    <t>Acquisition of intangibles</t>
  </si>
  <si>
    <t>Acquisition of leasing</t>
  </si>
  <si>
    <t>Acquisition/sale of investments</t>
  </si>
  <si>
    <t>Business combination price adjustment</t>
  </si>
  <si>
    <t xml:space="preserve">
Balances attributed to the acquisition of investees</t>
  </si>
  <si>
    <t>Dividends received</t>
  </si>
  <si>
    <t>Funds received from Sale &amp; Leaseback transactions.</t>
  </si>
  <si>
    <t>Net cash flow (used in) from discontinued investment activities</t>
  </si>
  <si>
    <t>Net cash generated by investing activities</t>
  </si>
  <si>
    <t>Net cash generated by financing activities from continuing operations</t>
  </si>
  <si>
    <t>Receipt of related parties</t>
  </si>
  <si>
    <t>Issuance of Debentures</t>
  </si>
  <si>
    <t xml:space="preserve">Obtaining loans </t>
  </si>
  <si>
    <t>(Payment) receipt of derivative financial instruments</t>
  </si>
  <si>
    <t>Expenses with share issuance</t>
  </si>
  <si>
    <t>Payment/Acquisition of loans and financing</t>
  </si>
  <si>
    <t>Payment/Acquisition Interest of loans and financing</t>
  </si>
  <si>
    <t>Transaction costs related to funding</t>
  </si>
  <si>
    <t xml:space="preserve">Payment/ Acquisition of subsidiaries </t>
  </si>
  <si>
    <t>Payment of dividends and interest on own capital</t>
  </si>
  <si>
    <t>Principal payments - Leases</t>
  </si>
  <si>
    <t>Capital contribution</t>
  </si>
  <si>
    <t xml:space="preserve">Stock buybacks/Repurchase of own shares </t>
  </si>
  <si>
    <t>Non-controlling shareholding stake</t>
  </si>
  <si>
    <t>Payment of share-based compensation plan - Stock grant</t>
  </si>
  <si>
    <t>Net cash generated by financing activities</t>
  </si>
  <si>
    <t>Increase (decrease) in cash and cash equivalents from continuing operations</t>
  </si>
  <si>
    <t>Decrease in cash and cash equivalents from discontinued operations</t>
  </si>
  <si>
    <t>Change in cash and cash equivalents</t>
  </si>
  <si>
    <t>Cash and cash equivalents at the beginning of the period</t>
  </si>
  <si>
    <t>Cash and cash equivalents at the end of the period</t>
  </si>
  <si>
    <t>Change in cash and cash equivalents of discontinued operations</t>
  </si>
  <si>
    <t>Accounts receivable and provision for doubtful accounts</t>
  </si>
  <si>
    <t>4Q23 Restated</t>
  </si>
  <si>
    <t>Health and dental plan</t>
  </si>
  <si>
    <t>Agreements and private individuals</t>
  </si>
  <si>
    <t>Other</t>
  </si>
  <si>
    <t>Accounts receivable from clients</t>
  </si>
  <si>
    <t>On expiration</t>
  </si>
  <si>
    <t>Overdue receivables</t>
  </si>
  <si>
    <t>Until 30 days</t>
  </si>
  <si>
    <t>From 31 to 60 days</t>
  </si>
  <si>
    <t>From 61 to 90 days</t>
  </si>
  <si>
    <t>More than 90 days</t>
  </si>
  <si>
    <t>Provision for losses</t>
  </si>
  <si>
    <t>Cash-Settled Share-Based Payment Plan Schedule (Balance granted)</t>
  </si>
  <si>
    <t>Long term Incentive Plan (LTIP) - Balance granted</t>
  </si>
  <si>
    <t># shares</t>
  </si>
  <si>
    <t>Cash-Settled Share-Based Payment Plan Schedule (Balance to grant)</t>
  </si>
  <si>
    <t>1Q26</t>
  </si>
  <si>
    <t>2Q26</t>
  </si>
  <si>
    <t>3Q26</t>
  </si>
  <si>
    <t>4Q26</t>
  </si>
  <si>
    <t>1Q27</t>
  </si>
  <si>
    <t>2Q27</t>
  </si>
  <si>
    <t>3Q27</t>
  </si>
  <si>
    <t>4Q27</t>
  </si>
  <si>
    <t>Long term Incentive Plan (LTIP) - Balance to grant</t>
  </si>
  <si>
    <t>Accounting amortization expectation of intangible assets</t>
  </si>
  <si>
    <t>Inventory as of 12.31.2025</t>
  </si>
  <si>
    <t>Other years</t>
  </si>
  <si>
    <t>Customer portfolio</t>
  </si>
  <si>
    <t>Brands and patents</t>
  </si>
  <si>
    <t>Goodwill</t>
  </si>
  <si>
    <t>Value-added</t>
  </si>
  <si>
    <t>Tax balance to be amortized of companies not yet incorporated</t>
  </si>
  <si>
    <t>Ex M&amp;A with NDI</t>
  </si>
  <si>
    <t>M&amp;A HAP+NDI</t>
  </si>
  <si>
    <t>Notes:</t>
  </si>
  <si>
    <t>(1) With the completion of the business combination with Notre Dame Intermédica Participações S.A. (NDI) on February 11, 2022, NDI was then consolidated and became part of Hapvida Participações e Investimentos S.A.'s consolidated financial statements that same month. All operating indicators reflect this context.</t>
  </si>
  <si>
    <t>(2) The restatement of the financial statements as of December 31, 2023, affected the balance sheet, income statement, statement of cash flows, and other schedules. The balances were restated for the 2023 fiscal year; however, the respective quarterly balances within the fiscal year were not restated in the financial statements.</t>
  </si>
  <si>
    <t>(3) The balances presented in the statement of cash flows (DFC) for 1Q23, 2Q23, 3Q23, and 4Q23 correspond to the amounts reported in the DFCs disclosed at the time, meaning they were neither pro forma nor restated.</t>
  </si>
  <si>
    <t>(4) The balances presented in the income statement (DRE) for 1Q23, 2Q23, 3Q23, and 4Q23 were calculated on a pro forma basis.</t>
  </si>
  <si>
    <t>(5) The balances presented in the balance sheet (BP) for 1Q24, 2Q24, and 3Q24 were calculated on a pro forma basis, considering the adjustments that impacted the balance sheet as of December 31, 2023.</t>
  </si>
  <si>
    <t xml:space="preserve">Demonstração de Resultados </t>
  </si>
  <si>
    <t>Pré Ajustes</t>
  </si>
  <si>
    <t xml:space="preserve">Ajustes Custo x Despesa </t>
  </si>
  <si>
    <t>Pós Ajustes</t>
  </si>
  <si>
    <t xml:space="preserve"> Pre Adjustments</t>
  </si>
  <si>
    <t>Cost x Expenses Adjustments</t>
  </si>
  <si>
    <t>1H25 Pos Adjustments</t>
  </si>
  <si>
    <t>Receita Líquida</t>
  </si>
  <si>
    <t xml:space="preserve">Net Revenue </t>
  </si>
  <si>
    <t xml:space="preserve">Revenues from gross payments </t>
  </si>
  <si>
    <t>Custo Total</t>
  </si>
  <si>
    <t>Total Cost</t>
  </si>
  <si>
    <t xml:space="preserve">Change in SUS reimbursement provision </t>
  </si>
  <si>
    <t>Cash Medical Losses</t>
  </si>
  <si>
    <t>Sinistralidade Caixa</t>
  </si>
  <si>
    <t>Cash MLR</t>
  </si>
  <si>
    <t>Planos de Stock Grant e Stock Option</t>
  </si>
  <si>
    <t>Lucro (prejuízo) líquido</t>
  </si>
  <si>
    <t>Net income (loss) for the period</t>
  </si>
  <si>
    <t>Net margin</t>
  </si>
  <si>
    <t>Hospitais_Hospitals</t>
  </si>
  <si>
    <t>UF/ FU</t>
  </si>
  <si>
    <t>Leitos Totais/ Total beds</t>
  </si>
  <si>
    <t>Hospital Aldeota</t>
  </si>
  <si>
    <t>CE</t>
  </si>
  <si>
    <t>Hospital Alfenas</t>
  </si>
  <si>
    <t>MG</t>
  </si>
  <si>
    <t>Hospital América</t>
  </si>
  <si>
    <t>GO</t>
  </si>
  <si>
    <t>Hospital Ana Lima - Maracanaú</t>
  </si>
  <si>
    <t>Hospital Antônio Prudente</t>
  </si>
  <si>
    <t>Hospital Antônio Prudente - Natal</t>
  </si>
  <si>
    <t>RN</t>
  </si>
  <si>
    <t>Hospital Ariano Suassuna</t>
  </si>
  <si>
    <t>PE</t>
  </si>
  <si>
    <t>Hospital Bela Suiça</t>
  </si>
  <si>
    <t>PR</t>
  </si>
  <si>
    <t>Hospital Bosque da Saúde</t>
  </si>
  <si>
    <t>SP</t>
  </si>
  <si>
    <t>Hospital Brasiliense</t>
  </si>
  <si>
    <t>DF</t>
  </si>
  <si>
    <t>Hospital Celina Guimarães Viana</t>
  </si>
  <si>
    <t>Hospital Cetro</t>
  </si>
  <si>
    <t>BA</t>
  </si>
  <si>
    <t>Hospital Coração Duque De Caxias</t>
  </si>
  <si>
    <t>RJ</t>
  </si>
  <si>
    <t>Hospital Cruzeiro Do Sul</t>
  </si>
  <si>
    <t>Hospital das Clínicas de Parauapebas</t>
  </si>
  <si>
    <t>PA</t>
  </si>
  <si>
    <t>Hospital do Coração Balneário Camboriú</t>
  </si>
  <si>
    <t>SC</t>
  </si>
  <si>
    <t>Hospital e Maternidade Guarulhos</t>
  </si>
  <si>
    <t>Hospital Family</t>
  </si>
  <si>
    <t>Hospital Francisca de Sande</t>
  </si>
  <si>
    <t>Hospital Frei Galvao</t>
  </si>
  <si>
    <t>Hospital Gabriel Soares</t>
  </si>
  <si>
    <t>SE</t>
  </si>
  <si>
    <t>Hospital Geral da Paraíba</t>
  </si>
  <si>
    <t>PB</t>
  </si>
  <si>
    <t>Hospital Geral de Joinville</t>
  </si>
  <si>
    <t>Hospital Geral Padre Cícero</t>
  </si>
  <si>
    <t>Hospital Guarás</t>
  </si>
  <si>
    <t>MA</t>
  </si>
  <si>
    <t>Hospital Humaniza</t>
  </si>
  <si>
    <t>RS</t>
  </si>
  <si>
    <t>Hospital Ilha Do Leite</t>
  </si>
  <si>
    <t>Hospital Intermédica Abc</t>
  </si>
  <si>
    <t xml:space="preserve">Hospital Intermedica Jacarepagua </t>
  </si>
  <si>
    <t>Hospital Jardim América</t>
  </si>
  <si>
    <t>Hospital Jardim Anália Franco (antigo Montemagno)</t>
  </si>
  <si>
    <t>Hospital Lauro de Freitas</t>
  </si>
  <si>
    <t>Hospital Layr Maia</t>
  </si>
  <si>
    <t>Hospital Lifecenter</t>
  </si>
  <si>
    <t>Hospital Luis França</t>
  </si>
  <si>
    <t>Hospital Maceió</t>
  </si>
  <si>
    <t>AL</t>
  </si>
  <si>
    <t>Hospital Madrecor</t>
  </si>
  <si>
    <t>Hospital Mandacaru</t>
  </si>
  <si>
    <t>Hospital Maternidade Eugênia Pinheiro</t>
  </si>
  <si>
    <t>Hospital Medical</t>
  </si>
  <si>
    <t>Hospital Modelo</t>
  </si>
  <si>
    <t>Hospital Nilton Lins</t>
  </si>
  <si>
    <t>AM</t>
  </si>
  <si>
    <t>Hospital Nossa Senhora do Rosario</t>
  </si>
  <si>
    <t>Hospital Notre Care Sorocaba (Samaritano)</t>
  </si>
  <si>
    <t>Hospital Notrecare ABC</t>
  </si>
  <si>
    <t>Hospital Notrecare Rio (Samci)</t>
  </si>
  <si>
    <t>Hospital Nova Vida</t>
  </si>
  <si>
    <t>Hospital Octaviano Neves</t>
  </si>
  <si>
    <t xml:space="preserve">Hospital Onix Batel </t>
  </si>
  <si>
    <t xml:space="preserve">Hospital Onix Mateus Leme </t>
  </si>
  <si>
    <t>Hospital Paulo Sacramento</t>
  </si>
  <si>
    <t>Hospital Poços De Caldas</t>
  </si>
  <si>
    <t>Hospital Promed</t>
  </si>
  <si>
    <t>Hospital Renascenca De Campinas</t>
  </si>
  <si>
    <t xml:space="preserve">Hospital Rio Amazonas </t>
  </si>
  <si>
    <t>Hospital Rio Mar</t>
  </si>
  <si>
    <t xml:space="preserve">Hospital Rio Negro </t>
  </si>
  <si>
    <t>Hospital Rio Poty</t>
  </si>
  <si>
    <t>PI</t>
  </si>
  <si>
    <t>Hospital Rio Preto</t>
  </si>
  <si>
    <t>Hospital Rio Solimões</t>
  </si>
  <si>
    <t>Hospital Salvalus</t>
  </si>
  <si>
    <t>Hospital Santa Brígida</t>
  </si>
  <si>
    <t>Hospital Santa Maria</t>
  </si>
  <si>
    <t>Hospital Santa Martha</t>
  </si>
  <si>
    <t>Hospital Santa Mônica</t>
  </si>
  <si>
    <t>Hospital Santana</t>
  </si>
  <si>
    <t>Hospital Santo André</t>
  </si>
  <si>
    <t>Hospital São Bernardo</t>
  </si>
  <si>
    <t>Hospital São Francisco</t>
  </si>
  <si>
    <t>Hospital São Francisco - Araraquara</t>
  </si>
  <si>
    <t xml:space="preserve">Hospital São Francisco - Bauru </t>
  </si>
  <si>
    <t xml:space="preserve">Hospital São Francisco - Franca </t>
  </si>
  <si>
    <t xml:space="preserve">Hospital São Francisco - Lins </t>
  </si>
  <si>
    <t>Hospital São Francisco Netto Campello</t>
  </si>
  <si>
    <t>Hospital São Francisco Quirinopolis</t>
  </si>
  <si>
    <t>Hospital São Francisco Sinhá Junqueira</t>
  </si>
  <si>
    <t xml:space="preserve">Hospital São José </t>
  </si>
  <si>
    <t>Hospital São Lucas</t>
  </si>
  <si>
    <t>Hospital Semed</t>
  </si>
  <si>
    <t>Hospital Tereza de Lisieux</t>
  </si>
  <si>
    <t>Hospital Varginha</t>
  </si>
  <si>
    <t>Hospital Vasco Lucena</t>
  </si>
  <si>
    <t>Hospital Vera Cruz</t>
  </si>
  <si>
    <t>Total</t>
  </si>
  <si>
    <t>Empresa/Company</t>
  </si>
  <si>
    <t>Grupo/Group</t>
  </si>
  <si>
    <t>Assinatura/Signing</t>
  </si>
  <si>
    <t>Fechamento/Closing</t>
  </si>
  <si>
    <t>ANS Code</t>
  </si>
  <si>
    <t>Hapvida</t>
  </si>
  <si>
    <t>NOTRE DAME INTERMÉDICA SAÚDE S.A.</t>
  </si>
  <si>
    <t>May-14</t>
  </si>
  <si>
    <t>Uniplam</t>
  </si>
  <si>
    <t>SANTAMÁLIA SAÚDE S.A.</t>
  </si>
  <si>
    <t>Free life</t>
  </si>
  <si>
    <t>N/A</t>
  </si>
  <si>
    <t>FAMILY HOSPITAL LTDA.</t>
  </si>
  <si>
    <t>São Francisco Saúde</t>
  </si>
  <si>
    <t>Grupo São Francisco</t>
  </si>
  <si>
    <t>UNIMED DO ABC - COOPERATIVA DE TRABALHO MÉDICO</t>
  </si>
  <si>
    <t>Dec-16</t>
  </si>
  <si>
    <t>Saúde São Lucas</t>
  </si>
  <si>
    <t>TIJUCA – SERVIÇOS DE ASSISTÊNCIA MÉDICO – CIRÚRGICA INFANTIL LTDA.</t>
  </si>
  <si>
    <t>Hospital Regional de Franca</t>
  </si>
  <si>
    <t>HOSPITAL SÃO BERNARDO S.A.</t>
  </si>
  <si>
    <t>Apr-17</t>
  </si>
  <si>
    <t>Santa Casa de Ribeiro Preto</t>
  </si>
  <si>
    <t>HOSPITAL E MATERNIDADE NOVA VIDA LTDA.</t>
  </si>
  <si>
    <t>Pró Saúde</t>
  </si>
  <si>
    <t>CRUSAM CRUZEIRO DO SUL SERVIÇO DE ASSISTÊNCIA MÉDICA S.A.</t>
  </si>
  <si>
    <t>Feb-18</t>
  </si>
  <si>
    <t>SF Odonto</t>
  </si>
  <si>
    <t>SAMED - SERVIÇOS DE ASSISTÊNCIA MÉDICA, ODONTOLÓGICA E HOSPITALAR S.A.</t>
  </si>
  <si>
    <t>Oct-18</t>
  </si>
  <si>
    <t>SOESP</t>
  </si>
  <si>
    <t>GREEN LINE SISTEMA DE SAÚDE S.A</t>
  </si>
  <si>
    <t>Sep-18</t>
  </si>
  <si>
    <t>APO</t>
  </si>
  <si>
    <t>ASSISTÊNCIA MÉDICO PEDIÁTRICA DE URGÊNCIA LTDA.</t>
  </si>
  <si>
    <t>Apr-19</t>
  </si>
  <si>
    <t>Dental Norte</t>
  </si>
  <si>
    <t>MEDIPLAN ASSISTENCIAL LTDA</t>
  </si>
  <si>
    <t>May-19</t>
  </si>
  <si>
    <t>Oral BR</t>
  </si>
  <si>
    <t>BELO DENTE ODONTOLOGIA LTDA.</t>
  </si>
  <si>
    <t>Compro</t>
  </si>
  <si>
    <t>SMEDSJ - SERVIÇOS MÉDICOS SÃO JOSE LTDA</t>
  </si>
  <si>
    <t>Sep-19</t>
  </si>
  <si>
    <t>Cojun</t>
  </si>
  <si>
    <t>GHELFOND PARTICIPAÇÕES S.A.</t>
  </si>
  <si>
    <t>AME</t>
  </si>
  <si>
    <t>Grupo América</t>
  </si>
  <si>
    <t>SÃO LUCAS SAÚDE S/A</t>
  </si>
  <si>
    <t>Promed</t>
  </si>
  <si>
    <t>CLINIPAM CLINICA PARANAENSE DE ASSISTENCIA MEDICA LTDA</t>
  </si>
  <si>
    <t>Feb-20</t>
  </si>
  <si>
    <t>América</t>
  </si>
  <si>
    <t>ECOLE SERVIÇOS MÉDICOS LTDA</t>
  </si>
  <si>
    <t>Dec-19</t>
  </si>
  <si>
    <t>Apr-20</t>
  </si>
  <si>
    <t>RN Metropolitan</t>
  </si>
  <si>
    <t>LABCLIN AUXILIO DIAGNOSTICO LTDA</t>
  </si>
  <si>
    <t>Medical</t>
  </si>
  <si>
    <t>HOSPITAL DO CORAÇÃO DE BALNEÁRIO CAMBORIÚ LTDA.</t>
  </si>
  <si>
    <t>CLINICA SÃO JOSÉ SAUDE LTDA.</t>
  </si>
  <si>
    <t>Grupo São José</t>
  </si>
  <si>
    <t>SMV SERVIÇOS MÉDICOS LTDA (Santa Monica)</t>
  </si>
  <si>
    <t>Aug/20</t>
  </si>
  <si>
    <t>MULTI SAÚDE ASSISTÊNCIA MÉDICA E HOSPITALAR LTDA</t>
  </si>
  <si>
    <t>Samedh</t>
  </si>
  <si>
    <t xml:space="preserve">HOSPITAL E MATERNIDADE SANTA BRÍGIDA S.A. </t>
  </si>
  <si>
    <t>Oct-20</t>
  </si>
  <si>
    <t>PLAMHEG</t>
  </si>
  <si>
    <t>Plamheg</t>
  </si>
  <si>
    <t>LIFEDAY PLANOS DE SAÚDE LTDA.</t>
  </si>
  <si>
    <t>Dec-20</t>
  </si>
  <si>
    <t>SAUDE SISTEMA</t>
  </si>
  <si>
    <t>HOSPITAL LIFECENTER</t>
  </si>
  <si>
    <t>PROMED ASSIST. MEDICA</t>
  </si>
  <si>
    <t>CLIMEPE TOTAL LTDA</t>
  </si>
  <si>
    <t>Aug-20</t>
  </si>
  <si>
    <t>PROMED BRASIL</t>
  </si>
  <si>
    <t>BIO SAÚDE SERVIÇOS MÉDICOS LTDA</t>
  </si>
  <si>
    <t>Premium Saúde</t>
  </si>
  <si>
    <t>Premium Saúde S/A</t>
  </si>
  <si>
    <t>GRUPO HOSPITALAR DE LONDRINA</t>
  </si>
  <si>
    <t>Apr-21</t>
  </si>
  <si>
    <t>H.B. SAÚDE S/A.</t>
  </si>
  <si>
    <t>HB SAÚDE</t>
  </si>
  <si>
    <t>MEDISANITAS BRASIL ASSISTÊNCIA INTEGRAL À SAÚDE S/A.</t>
  </si>
  <si>
    <t>HOSPITAL MARINGÁ</t>
  </si>
  <si>
    <t>SERPRAM - SERVIÇO DE PRESTAÇÃO DE ASSISTÊNCIA MÉDICO-HOSPITALAR S.A.</t>
  </si>
  <si>
    <t>Aug-21</t>
  </si>
  <si>
    <t>CASA DE SAÚDE E MATERNIDADE SANTA MARTHA S.A.</t>
  </si>
  <si>
    <t>Oct-21</t>
  </si>
  <si>
    <t>354554/361852</t>
  </si>
  <si>
    <t>CENTRO CLÍNICO GAÚCHO</t>
  </si>
  <si>
    <t xml:space="preserve">HSCOR – Hospital do Coração de Duque de Caxias </t>
  </si>
  <si>
    <t>Amortização Fiscal das empresas incorporadas até 31/03/2026</t>
  </si>
  <si>
    <t>Estoque em 31.03.2026</t>
  </si>
  <si>
    <t>9M26</t>
  </si>
  <si>
    <t>Tax amortization of incorporated companies until 03/31/2026</t>
  </si>
  <si>
    <t>Inventory as of 03.31.2026</t>
  </si>
  <si>
    <t xml:space="preserve">Incentivo de Longo Prazo (ILP) </t>
  </si>
  <si>
    <t>Felipe Nobre</t>
  </si>
  <si>
    <t>Chief Investor Relations Officer</t>
  </si>
  <si>
    <t xml:space="preserve">Baixa de impostos diferidos sobre o SOP </t>
  </si>
  <si>
    <t xml:space="preserve">Write-off of deferred tax assets related to SOP </t>
  </si>
  <si>
    <t>Hospital Capibaribe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</si>
</sst>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R$&quot;\ * #,##0.00_-;\-&quot;R$&quot;\ * #,##0.00_-;_-&quot;R$&quot;\ * &quot;-&quot;??_-;_-@_-"/>
    <numFmt numFmtId="43" formatCode="_-* #,##0.00_-;\-* #,##0.00_-;_-* &quot;-&quot;??_-;_-@_-"/>
    <numFmt numFmtId="164" formatCode="_-* #,##0_-;\-* #,##0_-;_-* &quot;-&quot;??_-;_-@_-"/>
    <numFmt numFmtId="165" formatCode="_-* #,##0.0_-;\-* #,##0.0_-;_-* &quot;-&quot;??_-;_-@_-"/>
    <numFmt numFmtId="166" formatCode="_(* #,##0.0_);_(* \(#,##0.0\);_(* &quot;-&quot;??_);_(@_)"/>
    <numFmt numFmtId="167" formatCode="0.0%"/>
    <numFmt numFmtId="168" formatCode="_-* #,##0.0_-;\-* #,##0.0_-;_-* &quot;-&quot;?_-;_-@_-"/>
    <numFmt numFmtId="169" formatCode="_(* #,##0.000_);_(* \(#,##0.000\);_(* &quot;-&quot;??_);_(@_)"/>
    <numFmt numFmtId="170" formatCode="_(* #,##0_);_(* \(#,##0\);_(* &quot;-&quot;??_);_(@_)"/>
    <numFmt numFmtId="171" formatCode="_-* #,##0.000_-;\-* #,##0.000_-;_-* &quot;-&quot;??_-;_-@_-"/>
    <numFmt numFmtId="172" formatCode="_-* #,##0.000_-;\-* #,##0.000_-;_-* &quot;-&quot;?_-;_-@_-"/>
    <numFmt numFmtId="173" formatCode="[$-409]mmm\-yy;@"/>
    <numFmt numFmtId="174" formatCode="_-* #,##0.00_-;\-* #,##0.00_-;_-* \-??_-;_-@_-"/>
    <numFmt numFmtId="175" formatCode="_(* #,##0.00_);_(* \(#,##0.00\);_(* \-??_);_(@_)"/>
    <numFmt numFmtId="176" formatCode="_(* #,##0_);_(* \(#,##0\);_(* \-??_);_(@_)"/>
    <numFmt numFmtId="177" formatCode="\ _(* #,##0.0_);_(* \(#,##0.0\);_(* &quot;-&quot;_);_(@_)"/>
    <numFmt numFmtId="178" formatCode="\ _(* #,##0.000_);_(* \(#,##0.000\);_(* &quot;-&quot;_);_(@_)"/>
    <numFmt numFmtId="179" formatCode="0.000"/>
    <numFmt numFmtId="180" formatCode="#,##0.0;\(#,##0.0\)"/>
  </numFmts>
  <fonts count="66">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charset val="1"/>
    </font>
    <font>
      <sz val="10"/>
      <color rgb="FF000000"/>
      <name val="arial"/>
      <family val="2"/>
      <charset val="1"/>
    </font>
    <font>
      <sz val="10"/>
      <name val="Arial"/>
      <family val="2"/>
      <charset val="1"/>
    </font>
    <font>
      <sz val="10"/>
      <color rgb="FF000000"/>
      <name val="Trebuchet MS"/>
      <family val="2"/>
      <charset val="1"/>
    </font>
    <font>
      <sz val="10"/>
      <name val="Geneva"/>
      <family val="2"/>
      <charset val="1"/>
    </font>
    <font>
      <b/>
      <sz val="11"/>
      <color rgb="FF000000"/>
      <name val="Calibri"/>
      <family val="2"/>
      <charset val="1"/>
    </font>
    <font>
      <sz val="10"/>
      <name val="Geneva"/>
      <family val="2"/>
    </font>
    <font>
      <sz val="8"/>
      <name val="Calibri"/>
      <family val="2"/>
      <scheme val="minor"/>
    </font>
    <font>
      <sz val="10.5"/>
      <color theme="1"/>
      <name val="Arial"/>
      <family val="2"/>
    </font>
    <font>
      <b/>
      <sz val="10.5"/>
      <color theme="1"/>
      <name val="Arial"/>
      <family val="2"/>
    </font>
    <font>
      <b/>
      <sz val="10.5"/>
      <name val="Arial"/>
      <family val="2"/>
    </font>
    <font>
      <sz val="10.5"/>
      <name val="Arial"/>
      <family val="2"/>
    </font>
    <font>
      <b/>
      <sz val="10.5"/>
      <color theme="0"/>
      <name val="Arial"/>
      <family val="2"/>
    </font>
    <font>
      <b/>
      <i/>
      <sz val="10.5"/>
      <color theme="1"/>
      <name val="Arial"/>
      <family val="2"/>
    </font>
    <font>
      <sz val="10.5"/>
      <color rgb="FF0070C0"/>
      <name val="Arial"/>
      <family val="2"/>
    </font>
    <font>
      <b/>
      <i/>
      <sz val="10.5"/>
      <name val="Arial"/>
      <family val="2"/>
    </font>
    <font>
      <i/>
      <sz val="10.5"/>
      <name val="Arial"/>
      <family val="2"/>
    </font>
    <font>
      <b/>
      <sz val="10.5"/>
      <color rgb="FF404040"/>
      <name val="Arial"/>
      <family val="2"/>
    </font>
    <font>
      <i/>
      <sz val="10.5"/>
      <color theme="1"/>
      <name val="Arial"/>
      <family val="2"/>
    </font>
    <font>
      <sz val="10.5"/>
      <color rgb="FF404040"/>
      <name val="Arial"/>
      <family val="2"/>
    </font>
    <font>
      <b/>
      <sz val="10.5"/>
      <color rgb="FFEE402F"/>
      <name val="Arial"/>
      <family val="2"/>
    </font>
    <font>
      <b/>
      <sz val="10.5"/>
      <color rgb="FFFF0000"/>
      <name val="Arial"/>
      <family val="2"/>
    </font>
    <font>
      <sz val="10.5"/>
      <color indexed="8"/>
      <name val="Arial"/>
      <family val="2"/>
    </font>
    <font>
      <sz val="11"/>
      <name val="Calibri"/>
      <family val="2"/>
      <scheme val="minor"/>
    </font>
    <font>
      <b/>
      <vertAlign val="superscript"/>
      <sz val="10.5"/>
      <name val="Arial"/>
      <family val="2"/>
    </font>
    <font>
      <b/>
      <vertAlign val="superscript"/>
      <sz val="10.5"/>
      <color theme="0"/>
      <name val="Arial"/>
      <family val="2"/>
    </font>
    <font>
      <sz val="10"/>
      <color theme="1"/>
      <name val="Source Sans Pro"/>
      <family val="2"/>
    </font>
    <font>
      <u/>
      <sz val="10.5"/>
      <color theme="10"/>
      <name val="Arial"/>
      <family val="2"/>
    </font>
    <font>
      <b/>
      <sz val="10.5"/>
      <color rgb="FF1539AA"/>
      <name val="Arial"/>
      <family val="2"/>
    </font>
    <font>
      <sz val="10.5"/>
      <color theme="1" tint="0.499984740745262"/>
      <name val="Arial"/>
      <family val="2"/>
    </font>
    <font>
      <b/>
      <sz val="10.5"/>
      <color rgb="FF1E83C7"/>
      <name val="Arial"/>
      <family val="2"/>
    </font>
    <font>
      <b/>
      <sz val="10.5"/>
      <color rgb="FF0234AC"/>
      <name val="Arial"/>
      <family val="2"/>
    </font>
    <font>
      <sz val="10.5"/>
      <color rgb="FF000000"/>
      <name val="Arial"/>
      <family val="2"/>
    </font>
    <font>
      <u/>
      <sz val="10.5"/>
      <color rgb="FF0234AC"/>
      <name val="Arial"/>
      <family val="2"/>
    </font>
    <font>
      <sz val="10.5"/>
      <color rgb="FF7E9AD8"/>
      <name val="Arial"/>
      <family val="2"/>
    </font>
    <font>
      <sz val="10.5"/>
      <color rgb="FF0234AC"/>
      <name val="Arial"/>
      <family val="2"/>
    </font>
    <font>
      <b/>
      <sz val="10.5"/>
      <color rgb="FF434343"/>
      <name val="Arial"/>
      <family val="2"/>
    </font>
    <font>
      <b/>
      <sz val="10.5"/>
      <color rgb="FF595959"/>
      <name val="Arial"/>
      <family val="2"/>
    </font>
    <font>
      <sz val="10.5"/>
      <color rgb="FF434343"/>
      <name val="Arial"/>
      <family val="2"/>
    </font>
    <font>
      <b/>
      <sz val="10.5"/>
      <color rgb="FF000000"/>
      <name val="Arial"/>
      <family val="2"/>
    </font>
    <font>
      <b/>
      <i/>
      <sz val="10.5"/>
      <color rgb="FF434343"/>
      <name val="Arial"/>
      <family val="2"/>
    </font>
    <font>
      <b/>
      <i/>
      <sz val="10.5"/>
      <color rgb="FF000000"/>
      <name val="Arial"/>
      <family val="2"/>
    </font>
    <font>
      <i/>
      <sz val="10.5"/>
      <color rgb="FF434343"/>
      <name val="Arial"/>
      <family val="2"/>
    </font>
    <font>
      <i/>
      <sz val="10.5"/>
      <color rgb="FF000000"/>
      <name val="Arial"/>
      <family val="2"/>
    </font>
    <font>
      <b/>
      <sz val="10.5"/>
      <color rgb="FFFFFFFF"/>
      <name val="Arial"/>
      <family val="2"/>
    </font>
    <font>
      <b/>
      <sz val="10.5"/>
      <color rgb="FF000000"/>
      <name val="Arial"/>
      <family val="2"/>
    </font>
  </fonts>
  <fills count="44">
    <fill>
      <patternFill patternType="none"/>
    </fill>
    <fill>
      <patternFill patternType="gray125"/>
    </fill>
    <fill>
      <patternFill patternType="solid">
        <fgColor rgb="FF1E83C7"/>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1539AA"/>
        <bgColor indexed="64"/>
      </patternFill>
    </fill>
    <fill>
      <patternFill patternType="solid">
        <fgColor rgb="FFFF4E05"/>
        <bgColor indexed="64"/>
      </patternFill>
    </fill>
    <fill>
      <patternFill patternType="solid">
        <fgColor rgb="FFEBEEF1"/>
        <bgColor rgb="FF000000"/>
      </patternFill>
    </fill>
    <fill>
      <patternFill patternType="solid">
        <fgColor rgb="FFEEF5FC"/>
        <bgColor rgb="FF000000"/>
      </patternFill>
    </fill>
    <fill>
      <patternFill patternType="solid">
        <fgColor theme="0"/>
        <bgColor rgb="FF000000"/>
      </patternFill>
    </fill>
    <fill>
      <patternFill patternType="solid">
        <fgColor rgb="FF1539AA"/>
        <bgColor rgb="FF000000"/>
      </patternFill>
    </fill>
  </fills>
  <borders count="22">
    <border>
      <left/>
      <right/>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bottom/>
      <diagonal/>
    </border>
  </borders>
  <cellStyleXfs count="172">
    <xf numFmtId="0" fontId="0" fillId="0" borderId="0"/>
    <xf numFmtId="43"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170" fontId="5" fillId="0" borderId="0" applyFont="0" applyFill="0" applyBorder="0" applyAlignment="0" applyProtection="0"/>
    <xf numFmtId="0" fontId="6" fillId="0" borderId="0" applyNumberFormat="0" applyFill="0" applyBorder="0" applyAlignment="0" applyProtection="0"/>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15" applyNumberFormat="0" applyAlignment="0" applyProtection="0"/>
    <xf numFmtId="0" fontId="14" fillId="10" borderId="16" applyNumberFormat="0" applyAlignment="0" applyProtection="0"/>
    <xf numFmtId="0" fontId="15" fillId="10" borderId="15" applyNumberFormat="0" applyAlignment="0" applyProtection="0"/>
    <xf numFmtId="0" fontId="16" fillId="0" borderId="17" applyNumberFormat="0" applyFill="0" applyAlignment="0" applyProtection="0"/>
    <xf numFmtId="0" fontId="1" fillId="11" borderId="1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20" applyNumberFormat="0" applyFill="0" applyAlignment="0" applyProtection="0"/>
    <xf numFmtId="0" fontId="19"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174" fontId="20" fillId="0" borderId="0" applyBorder="0" applyProtection="0"/>
    <xf numFmtId="9" fontId="20" fillId="0" borderId="0" applyBorder="0" applyProtection="0"/>
    <xf numFmtId="174" fontId="20" fillId="0" borderId="0" applyBorder="0" applyProtection="0"/>
    <xf numFmtId="175" fontId="20" fillId="0" borderId="0" applyBorder="0" applyProtection="0"/>
    <xf numFmtId="175" fontId="20" fillId="0" borderId="0" applyBorder="0" applyProtection="0"/>
    <xf numFmtId="175" fontId="20" fillId="0" borderId="0" applyBorder="0" applyProtection="0"/>
    <xf numFmtId="0" fontId="21" fillId="0" borderId="0"/>
    <xf numFmtId="0" fontId="21" fillId="0" borderId="0"/>
    <xf numFmtId="0" fontId="22" fillId="0" borderId="0"/>
    <xf numFmtId="0" fontId="22" fillId="0" borderId="0"/>
    <xf numFmtId="0" fontId="22" fillId="0" borderId="0"/>
    <xf numFmtId="0" fontId="23" fillId="0" borderId="0"/>
    <xf numFmtId="0" fontId="22" fillId="0" borderId="0"/>
    <xf numFmtId="0" fontId="20" fillId="0" borderId="0"/>
    <xf numFmtId="0" fontId="20" fillId="0" borderId="0"/>
    <xf numFmtId="0" fontId="20" fillId="0" borderId="0"/>
    <xf numFmtId="0" fontId="20" fillId="0" borderId="0">
      <alignment vertical="top"/>
    </xf>
    <xf numFmtId="37" fontId="24" fillId="0" borderId="0"/>
    <xf numFmtId="37" fontId="24" fillId="0" borderId="0"/>
    <xf numFmtId="37" fontId="24" fillId="0" borderId="0"/>
    <xf numFmtId="0" fontId="20" fillId="0" borderId="0"/>
    <xf numFmtId="40" fontId="20" fillId="0" borderId="0" applyBorder="0" applyProtection="0"/>
    <xf numFmtId="175" fontId="20" fillId="0" borderId="0" applyBorder="0" applyProtection="0"/>
    <xf numFmtId="176" fontId="20" fillId="0" borderId="0" applyBorder="0" applyProtection="0"/>
    <xf numFmtId="174" fontId="20" fillId="0" borderId="0" applyBorder="0" applyProtection="0"/>
    <xf numFmtId="175" fontId="20" fillId="0" borderId="0" applyBorder="0" applyProtection="0"/>
    <xf numFmtId="174" fontId="20" fillId="0" borderId="0" applyBorder="0" applyProtection="0"/>
    <xf numFmtId="175"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alignment horizontal="left"/>
    </xf>
    <xf numFmtId="0" fontId="25" fillId="0" borderId="0" applyBorder="0" applyProtection="0">
      <alignment horizontal="left"/>
    </xf>
    <xf numFmtId="0" fontId="25" fillId="0" borderId="0" applyBorder="0" applyProtection="0"/>
    <xf numFmtId="0" fontId="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37" fontId="26" fillId="0" borderId="0"/>
    <xf numFmtId="0" fontId="2" fillId="0" borderId="0"/>
    <xf numFmtId="9" fontId="5" fillId="0" borderId="0" applyFont="0" applyFill="0" applyBorder="0" applyAlignment="0" applyProtection="0"/>
    <xf numFmtId="0" fontId="2" fillId="0" borderId="0"/>
    <xf numFmtId="43" fontId="2" fillId="0" borderId="0" applyFont="0" applyFill="0" applyBorder="0" applyAlignment="0" applyProtection="0"/>
    <xf numFmtId="44" fontId="20"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12" borderId="1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5"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9">
    <xf numFmtId="0" fontId="0" fillId="0" borderId="0" xfId="0"/>
    <xf numFmtId="0" fontId="28" fillId="0" borderId="0" xfId="0" applyFont="1" applyAlignment="1">
      <alignment vertical="center"/>
    </xf>
    <xf numFmtId="0" fontId="29" fillId="0" borderId="0" xfId="0" applyFont="1" applyAlignment="1">
      <alignment vertical="center"/>
    </xf>
    <xf numFmtId="167" fontId="28" fillId="0" borderId="0" xfId="3" applyNumberFormat="1"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38" borderId="1" xfId="0" applyFont="1" applyFill="1" applyBorder="1" applyAlignment="1">
      <alignment horizontal="center" vertical="center"/>
    </xf>
    <xf numFmtId="0" fontId="32" fillId="38" borderId="0" xfId="0" applyFont="1" applyFill="1" applyAlignment="1">
      <alignment horizontal="center" vertical="center"/>
    </xf>
    <xf numFmtId="169" fontId="32" fillId="38" borderId="1" xfId="0" applyNumberFormat="1" applyFont="1" applyFill="1" applyBorder="1" applyAlignment="1">
      <alignment horizontal="center" vertical="center"/>
    </xf>
    <xf numFmtId="169" fontId="32" fillId="38" borderId="0" xfId="0" applyNumberFormat="1" applyFont="1" applyFill="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164" fontId="30" fillId="3" borderId="0" xfId="0" applyNumberFormat="1" applyFont="1" applyFill="1" applyAlignment="1">
      <alignment vertical="center"/>
    </xf>
    <xf numFmtId="0" fontId="28" fillId="4" borderId="0" xfId="0" applyFont="1" applyFill="1" applyAlignment="1">
      <alignment vertical="center"/>
    </xf>
    <xf numFmtId="0" fontId="28" fillId="0" borderId="0" xfId="0" applyFont="1" applyAlignment="1">
      <alignment horizontal="left" vertical="center" indent="1"/>
    </xf>
    <xf numFmtId="164" fontId="31" fillId="0" borderId="0" xfId="1" applyNumberFormat="1" applyFont="1" applyFill="1" applyAlignment="1">
      <alignment vertical="center"/>
    </xf>
    <xf numFmtId="164" fontId="31" fillId="0" borderId="0" xfId="1" applyNumberFormat="1" applyFont="1" applyFill="1"/>
    <xf numFmtId="164" fontId="31" fillId="4" borderId="0" xfId="1" applyNumberFormat="1" applyFont="1" applyFill="1" applyAlignment="1">
      <alignment vertical="center"/>
    </xf>
    <xf numFmtId="0" fontId="28" fillId="0" borderId="0" xfId="0" applyFont="1" applyAlignment="1">
      <alignment horizontal="left" vertical="center" indent="2"/>
    </xf>
    <xf numFmtId="164" fontId="28" fillId="4" borderId="0" xfId="0" applyNumberFormat="1" applyFont="1" applyFill="1" applyAlignment="1">
      <alignment vertical="center"/>
    </xf>
    <xf numFmtId="43" fontId="30" fillId="3" borderId="0" xfId="1" applyFont="1" applyFill="1" applyAlignment="1">
      <alignment vertical="center"/>
    </xf>
    <xf numFmtId="43" fontId="28" fillId="0" borderId="0" xfId="115" applyFont="1"/>
    <xf numFmtId="43" fontId="31" fillId="0" borderId="0" xfId="1" applyFont="1" applyFill="1" applyAlignment="1">
      <alignment vertical="center"/>
    </xf>
    <xf numFmtId="43" fontId="31" fillId="0" borderId="0" xfId="1" applyFont="1" applyFill="1" applyAlignment="1">
      <alignment horizontal="right" vertical="center"/>
    </xf>
    <xf numFmtId="0" fontId="33" fillId="3" borderId="0" xfId="0" applyFont="1" applyFill="1" applyAlignment="1">
      <alignment vertical="center"/>
    </xf>
    <xf numFmtId="165" fontId="30" fillId="3" borderId="0" xfId="1" applyNumberFormat="1" applyFont="1" applyFill="1" applyAlignment="1">
      <alignment vertical="center"/>
    </xf>
    <xf numFmtId="4" fontId="28" fillId="4" borderId="0" xfId="0" applyNumberFormat="1" applyFont="1" applyFill="1" applyAlignment="1">
      <alignment vertical="center"/>
    </xf>
    <xf numFmtId="165" fontId="31" fillId="0" borderId="0" xfId="1" applyNumberFormat="1" applyFont="1" applyFill="1" applyAlignment="1">
      <alignment vertical="center"/>
    </xf>
    <xf numFmtId="165" fontId="31" fillId="0" borderId="0" xfId="1" applyNumberFormat="1" applyFont="1" applyFill="1" applyAlignment="1">
      <alignment horizontal="right" vertical="center"/>
    </xf>
    <xf numFmtId="165" fontId="31" fillId="4" borderId="0" xfId="1" applyNumberFormat="1" applyFont="1" applyFill="1" applyAlignment="1">
      <alignment horizontal="right" vertical="center"/>
    </xf>
    <xf numFmtId="166" fontId="28" fillId="0" borderId="0" xfId="115" applyNumberFormat="1" applyFont="1"/>
    <xf numFmtId="0" fontId="34" fillId="0" borderId="0" xfId="0" applyFont="1" applyAlignment="1">
      <alignment vertical="center"/>
    </xf>
    <xf numFmtId="0" fontId="32" fillId="2" borderId="1" xfId="0" applyFont="1" applyFill="1" applyBorder="1" applyAlignment="1">
      <alignment horizontal="center" vertical="center"/>
    </xf>
    <xf numFmtId="165" fontId="28" fillId="0" borderId="0" xfId="1" applyNumberFormat="1" applyFont="1" applyAlignment="1">
      <alignment vertical="center"/>
    </xf>
    <xf numFmtId="165" fontId="28" fillId="0" borderId="0" xfId="1" applyNumberFormat="1" applyFont="1" applyFill="1" applyAlignment="1">
      <alignment vertical="center"/>
    </xf>
    <xf numFmtId="165" fontId="28" fillId="5" borderId="0" xfId="1" applyNumberFormat="1" applyFont="1" applyFill="1" applyAlignment="1">
      <alignment horizontal="center" vertical="center"/>
    </xf>
    <xf numFmtId="3" fontId="28" fillId="5" borderId="0" xfId="0" applyNumberFormat="1" applyFont="1" applyFill="1" applyAlignment="1">
      <alignment horizontal="center" vertical="center"/>
    </xf>
    <xf numFmtId="168" fontId="28" fillId="0" borderId="0" xfId="0" applyNumberFormat="1" applyFont="1" applyAlignment="1">
      <alignment vertical="center"/>
    </xf>
    <xf numFmtId="165" fontId="31" fillId="0" borderId="0" xfId="1" applyNumberFormat="1" applyFont="1" applyAlignment="1">
      <alignment vertical="center"/>
    </xf>
    <xf numFmtId="167" fontId="35" fillId="3" borderId="0" xfId="3" applyNumberFormat="1" applyFont="1" applyFill="1" applyAlignment="1">
      <alignment vertical="center"/>
    </xf>
    <xf numFmtId="0" fontId="33" fillId="4" borderId="0" xfId="0" applyFont="1" applyFill="1" applyAlignment="1">
      <alignment vertical="center"/>
    </xf>
    <xf numFmtId="167" fontId="35" fillId="4" borderId="0" xfId="3" applyNumberFormat="1" applyFont="1" applyFill="1" applyAlignment="1">
      <alignment vertical="center"/>
    </xf>
    <xf numFmtId="168" fontId="28" fillId="4" borderId="0" xfId="0" applyNumberFormat="1" applyFont="1" applyFill="1" applyAlignment="1">
      <alignment vertical="center"/>
    </xf>
    <xf numFmtId="0" fontId="29" fillId="4" borderId="0" xfId="0" applyFont="1" applyFill="1" applyAlignment="1">
      <alignment vertical="center"/>
    </xf>
    <xf numFmtId="167" fontId="35" fillId="5" borderId="0" xfId="3" applyNumberFormat="1" applyFont="1" applyFill="1" applyAlignment="1">
      <alignment vertical="center"/>
    </xf>
    <xf numFmtId="167" fontId="35" fillId="5" borderId="0" xfId="3" applyNumberFormat="1" applyFont="1" applyFill="1" applyAlignment="1">
      <alignment horizontal="center" vertical="center"/>
    </xf>
    <xf numFmtId="165" fontId="31" fillId="4" borderId="0" xfId="1" applyNumberFormat="1" applyFont="1" applyFill="1" applyAlignment="1">
      <alignment vertical="center"/>
    </xf>
    <xf numFmtId="165" fontId="30" fillId="4" borderId="0" xfId="1" applyNumberFormat="1" applyFont="1" applyFill="1" applyAlignment="1">
      <alignment vertical="center"/>
    </xf>
    <xf numFmtId="165" fontId="30" fillId="0" borderId="0" xfId="1" applyNumberFormat="1" applyFont="1" applyFill="1" applyAlignment="1">
      <alignment vertical="center"/>
    </xf>
    <xf numFmtId="167" fontId="36" fillId="5" borderId="0" xfId="3" applyNumberFormat="1" applyFont="1" applyFill="1" applyAlignment="1">
      <alignment vertical="center"/>
    </xf>
    <xf numFmtId="167" fontId="36" fillId="5" borderId="0" xfId="3" applyNumberFormat="1" applyFont="1" applyFill="1" applyAlignment="1">
      <alignment horizontal="center" vertical="center"/>
    </xf>
    <xf numFmtId="0" fontId="28" fillId="5" borderId="0" xfId="0" applyFont="1" applyFill="1" applyAlignment="1">
      <alignment vertical="center"/>
    </xf>
    <xf numFmtId="4" fontId="37" fillId="0" borderId="0" xfId="0" applyNumberFormat="1" applyFont="1"/>
    <xf numFmtId="166" fontId="31" fillId="0" borderId="0" xfId="1" applyNumberFormat="1" applyFont="1" applyFill="1" applyAlignment="1">
      <alignment vertical="center"/>
    </xf>
    <xf numFmtId="166" fontId="28" fillId="0" borderId="0" xfId="0" applyNumberFormat="1" applyFont="1"/>
    <xf numFmtId="166" fontId="31" fillId="4" borderId="0" xfId="1" applyNumberFormat="1" applyFont="1" applyFill="1" applyAlignment="1">
      <alignment vertical="center"/>
    </xf>
    <xf numFmtId="0" fontId="29" fillId="3" borderId="0" xfId="0" applyFont="1" applyFill="1" applyAlignment="1">
      <alignment horizontal="left" vertical="center" indent="1"/>
    </xf>
    <xf numFmtId="166" fontId="30" fillId="3" borderId="0" xfId="1" applyNumberFormat="1" applyFont="1" applyFill="1" applyAlignment="1">
      <alignment vertical="center"/>
    </xf>
    <xf numFmtId="0" fontId="29"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pplyAlignment="1">
      <alignment horizontal="left" vertical="center" indent="3"/>
    </xf>
    <xf numFmtId="0" fontId="28" fillId="0" borderId="0" xfId="0" applyFont="1" applyAlignment="1">
      <alignment horizontal="left" vertical="center" indent="4"/>
    </xf>
    <xf numFmtId="169" fontId="30" fillId="3" borderId="0" xfId="1" applyNumberFormat="1" applyFont="1" applyFill="1" applyAlignment="1">
      <alignment vertical="center"/>
    </xf>
    <xf numFmtId="172" fontId="28" fillId="0" borderId="0" xfId="0" applyNumberFormat="1" applyFont="1" applyAlignment="1">
      <alignment vertical="center"/>
    </xf>
    <xf numFmtId="172" fontId="28" fillId="4" borderId="0" xfId="0" applyNumberFormat="1" applyFont="1" applyFill="1" applyAlignment="1">
      <alignment vertical="center"/>
    </xf>
    <xf numFmtId="166" fontId="31" fillId="0" borderId="0" xfId="0" applyNumberFormat="1" applyFont="1" applyAlignment="1">
      <alignment vertical="center"/>
    </xf>
    <xf numFmtId="168" fontId="31" fillId="0" borderId="0" xfId="0" applyNumberFormat="1" applyFont="1" applyAlignment="1">
      <alignment vertical="center"/>
    </xf>
    <xf numFmtId="0" fontId="39" fillId="0" borderId="0" xfId="0" applyFont="1"/>
    <xf numFmtId="167" fontId="30" fillId="3" borderId="0" xfId="3" applyNumberFormat="1" applyFont="1" applyFill="1" applyAlignment="1">
      <alignment vertical="center"/>
    </xf>
    <xf numFmtId="0" fontId="38" fillId="0" borderId="0" xfId="0" applyFont="1" applyAlignment="1">
      <alignment horizontal="left" vertical="center"/>
    </xf>
    <xf numFmtId="167" fontId="31" fillId="0" borderId="0" xfId="3" applyNumberFormat="1" applyFont="1" applyFill="1" applyAlignment="1">
      <alignment vertical="center"/>
    </xf>
    <xf numFmtId="166" fontId="30" fillId="3" borderId="0" xfId="0" applyNumberFormat="1" applyFont="1" applyFill="1" applyAlignment="1">
      <alignment vertical="center"/>
    </xf>
    <xf numFmtId="166" fontId="31" fillId="0" borderId="0" xfId="0" applyNumberFormat="1" applyFont="1"/>
    <xf numFmtId="170" fontId="31" fillId="0" borderId="0" xfId="1" applyNumberFormat="1" applyFont="1" applyFill="1" applyAlignment="1">
      <alignment vertical="center"/>
    </xf>
    <xf numFmtId="0" fontId="29" fillId="0" borderId="0" xfId="0" applyFont="1" applyAlignment="1">
      <alignment horizontal="left" vertical="center" indent="2"/>
    </xf>
    <xf numFmtId="166" fontId="30" fillId="0" borderId="0" xfId="1" applyNumberFormat="1" applyFont="1" applyFill="1" applyAlignment="1">
      <alignment vertical="center"/>
    </xf>
    <xf numFmtId="0" fontId="28" fillId="4" borderId="0" xfId="0" applyFont="1" applyFill="1" applyAlignment="1">
      <alignment horizontal="left" vertical="center" indent="2"/>
    </xf>
    <xf numFmtId="166" fontId="28" fillId="0" borderId="0" xfId="0" applyNumberFormat="1" applyFont="1" applyAlignment="1">
      <alignment vertical="center"/>
    </xf>
    <xf numFmtId="0" fontId="28" fillId="0" borderId="0" xfId="0" applyFont="1" applyAlignment="1">
      <alignment horizontal="left" vertical="center" indent="3"/>
    </xf>
    <xf numFmtId="0" fontId="28" fillId="4" borderId="0" xfId="0" applyFont="1" applyFill="1" applyAlignment="1">
      <alignment horizontal="left" vertical="center" indent="3"/>
    </xf>
    <xf numFmtId="168" fontId="29" fillId="0" borderId="0" xfId="0" applyNumberFormat="1" applyFont="1" applyAlignment="1">
      <alignment vertical="center"/>
    </xf>
    <xf numFmtId="171" fontId="28" fillId="0" borderId="0" xfId="1" applyNumberFormat="1" applyFont="1" applyAlignment="1">
      <alignment vertical="center"/>
    </xf>
    <xf numFmtId="0" fontId="29" fillId="3" borderId="0" xfId="0" applyFont="1" applyFill="1"/>
    <xf numFmtId="0" fontId="28" fillId="0" borderId="0" xfId="0" applyFont="1"/>
    <xf numFmtId="0" fontId="28" fillId="0" borderId="0" xfId="0" applyFont="1" applyAlignment="1">
      <alignment horizontal="left" vertical="center"/>
    </xf>
    <xf numFmtId="169" fontId="31" fillId="0" borderId="0" xfId="1" applyNumberFormat="1" applyFont="1" applyFill="1" applyAlignment="1">
      <alignment vertical="center"/>
    </xf>
    <xf numFmtId="0" fontId="29" fillId="0" borderId="0" xfId="0" applyFont="1"/>
    <xf numFmtId="0" fontId="31" fillId="0" borderId="0" xfId="0" applyFont="1" applyAlignment="1">
      <alignment horizontal="left" vertical="center" indent="1"/>
    </xf>
    <xf numFmtId="0" fontId="40" fillId="0" borderId="0" xfId="0" applyFont="1" applyAlignment="1">
      <alignment vertical="center"/>
    </xf>
    <xf numFmtId="0" fontId="41" fillId="0" borderId="0" xfId="0" applyFont="1" applyAlignment="1">
      <alignment vertical="top"/>
    </xf>
    <xf numFmtId="0" fontId="28" fillId="4" borderId="0" xfId="0" applyFont="1" applyFill="1"/>
    <xf numFmtId="166" fontId="28" fillId="4" borderId="0" xfId="1" applyNumberFormat="1" applyFont="1" applyFill="1" applyAlignment="1">
      <alignment vertical="center"/>
    </xf>
    <xf numFmtId="0" fontId="28" fillId="38" borderId="0" xfId="0" applyFont="1" applyFill="1" applyAlignment="1">
      <alignment vertical="center"/>
    </xf>
    <xf numFmtId="170" fontId="28" fillId="0" borderId="0" xfId="1" applyNumberFormat="1" applyFont="1" applyFill="1" applyAlignment="1">
      <alignment vertical="center"/>
    </xf>
    <xf numFmtId="168" fontId="28" fillId="0" borderId="0" xfId="0" applyNumberFormat="1" applyFont="1"/>
    <xf numFmtId="0" fontId="32" fillId="37" borderId="1" xfId="0" applyFont="1" applyFill="1" applyBorder="1" applyAlignment="1">
      <alignment horizontal="center" vertical="center" wrapText="1"/>
    </xf>
    <xf numFmtId="165" fontId="28" fillId="0" borderId="0" xfId="0" applyNumberFormat="1" applyFont="1" applyAlignment="1">
      <alignment vertical="center"/>
    </xf>
    <xf numFmtId="177" fontId="28" fillId="0" borderId="0" xfId="0" applyNumberFormat="1" applyFont="1" applyAlignment="1">
      <alignment vertical="center"/>
    </xf>
    <xf numFmtId="165" fontId="28" fillId="0" borderId="0" xfId="1" applyNumberFormat="1" applyFont="1"/>
    <xf numFmtId="0" fontId="28" fillId="0" borderId="0" xfId="0" applyFont="1" applyAlignment="1">
      <alignment horizontal="left" vertical="center" wrapText="1" indent="1"/>
    </xf>
    <xf numFmtId="177" fontId="28" fillId="0" borderId="0" xfId="0" applyNumberFormat="1" applyFont="1"/>
    <xf numFmtId="0" fontId="32" fillId="38" borderId="1" xfId="0" applyFont="1" applyFill="1" applyBorder="1" applyAlignment="1">
      <alignment horizontal="center" vertical="center" wrapText="1"/>
    </xf>
    <xf numFmtId="0" fontId="31" fillId="4" borderId="0" xfId="0" applyFont="1" applyFill="1" applyAlignment="1">
      <alignment vertical="center"/>
    </xf>
    <xf numFmtId="0" fontId="32" fillId="4" borderId="1" xfId="0" applyFont="1" applyFill="1" applyBorder="1" applyAlignment="1">
      <alignment horizontal="center" vertical="center"/>
    </xf>
    <xf numFmtId="165" fontId="30" fillId="3" borderId="0" xfId="1" applyNumberFormat="1" applyFont="1" applyFill="1" applyAlignment="1">
      <alignment horizontal="right" vertical="center"/>
    </xf>
    <xf numFmtId="165" fontId="29" fillId="3" borderId="0" xfId="1" applyNumberFormat="1" applyFont="1" applyFill="1" applyAlignment="1">
      <alignment vertical="center"/>
    </xf>
    <xf numFmtId="167" fontId="33" fillId="3" borderId="0" xfId="3" applyNumberFormat="1" applyFont="1" applyFill="1" applyAlignment="1">
      <alignment vertical="center"/>
    </xf>
    <xf numFmtId="167" fontId="35" fillId="38" borderId="0" xfId="3" applyNumberFormat="1" applyFont="1" applyFill="1" applyAlignment="1">
      <alignment vertical="center"/>
    </xf>
    <xf numFmtId="166" fontId="28" fillId="0" borderId="0" xfId="1" applyNumberFormat="1" applyFont="1" applyFill="1" applyAlignment="1">
      <alignment vertical="center"/>
    </xf>
    <xf numFmtId="166" fontId="29" fillId="3" borderId="0" xfId="1" applyNumberFormat="1" applyFont="1" applyFill="1" applyAlignment="1">
      <alignment vertical="center"/>
    </xf>
    <xf numFmtId="0" fontId="42" fillId="0" borderId="0" xfId="0" applyFont="1" applyAlignment="1">
      <alignment horizontal="left" vertical="center" indent="4"/>
    </xf>
    <xf numFmtId="0" fontId="42" fillId="4" borderId="0" xfId="0" applyFont="1" applyFill="1" applyAlignment="1">
      <alignment vertical="center"/>
    </xf>
    <xf numFmtId="0" fontId="42" fillId="0" borderId="0" xfId="0" applyFont="1" applyAlignment="1">
      <alignment vertical="center"/>
    </xf>
    <xf numFmtId="166" fontId="29" fillId="3" borderId="0" xfId="0" applyNumberFormat="1" applyFont="1" applyFill="1" applyAlignment="1">
      <alignment vertical="center"/>
    </xf>
    <xf numFmtId="0" fontId="30" fillId="3" borderId="0" xfId="0" applyFont="1" applyFill="1"/>
    <xf numFmtId="0" fontId="31" fillId="0" borderId="0" xfId="0" applyFont="1"/>
    <xf numFmtId="0" fontId="28" fillId="4" borderId="0" xfId="0" applyFont="1" applyFill="1" applyAlignment="1">
      <alignment horizontal="left" vertical="center" indent="1"/>
    </xf>
    <xf numFmtId="166" fontId="31" fillId="0" borderId="0" xfId="1" applyNumberFormat="1" applyFont="1" applyFill="1" applyBorder="1" applyAlignment="1">
      <alignment vertical="center"/>
    </xf>
    <xf numFmtId="0" fontId="31" fillId="4" borderId="0" xfId="0" applyFont="1" applyFill="1"/>
    <xf numFmtId="0" fontId="31" fillId="3" borderId="0" xfId="0" applyFont="1" applyFill="1" applyAlignment="1">
      <alignment vertical="center"/>
    </xf>
    <xf numFmtId="0" fontId="30" fillId="0" borderId="0" xfId="0" applyFont="1"/>
    <xf numFmtId="170" fontId="28" fillId="4" borderId="0" xfId="1" applyNumberFormat="1" applyFont="1" applyFill="1" applyAlignment="1">
      <alignment vertical="center"/>
    </xf>
    <xf numFmtId="177" fontId="28" fillId="4" borderId="0" xfId="0" applyNumberFormat="1" applyFont="1" applyFill="1" applyAlignment="1">
      <alignment vertical="center"/>
    </xf>
    <xf numFmtId="177" fontId="28" fillId="4" borderId="0" xfId="0" applyNumberFormat="1" applyFont="1" applyFill="1"/>
    <xf numFmtId="0" fontId="32" fillId="38" borderId="11" xfId="0" applyFont="1" applyFill="1" applyBorder="1" applyAlignment="1">
      <alignment horizontal="center" vertical="center"/>
    </xf>
    <xf numFmtId="0" fontId="32" fillId="39" borderId="11" xfId="0" applyFont="1" applyFill="1" applyBorder="1" applyAlignment="1">
      <alignment horizontal="center" vertical="center"/>
    </xf>
    <xf numFmtId="0" fontId="28" fillId="0" borderId="11" xfId="0" applyFont="1" applyBorder="1" applyAlignment="1">
      <alignment horizontal="center"/>
    </xf>
    <xf numFmtId="0" fontId="28" fillId="5" borderId="11" xfId="0" applyFont="1" applyFill="1" applyBorder="1" applyAlignment="1">
      <alignment horizontal="center"/>
    </xf>
    <xf numFmtId="0" fontId="28" fillId="0" borderId="11" xfId="0" applyFont="1" applyBorder="1" applyAlignment="1">
      <alignment horizontal="center" vertical="center"/>
    </xf>
    <xf numFmtId="0" fontId="28" fillId="0" borderId="11" xfId="0" applyFont="1" applyBorder="1" applyAlignment="1">
      <alignment vertical="center"/>
    </xf>
    <xf numFmtId="173" fontId="28" fillId="0" borderId="11" xfId="0" applyNumberFormat="1" applyFont="1" applyBorder="1" applyAlignment="1">
      <alignment horizontal="right"/>
    </xf>
    <xf numFmtId="164" fontId="28" fillId="0" borderId="11" xfId="0" applyNumberFormat="1" applyFont="1" applyBorder="1" applyAlignment="1">
      <alignment horizontal="center"/>
    </xf>
    <xf numFmtId="0" fontId="28" fillId="0" borderId="11" xfId="0" applyFont="1" applyBorder="1"/>
    <xf numFmtId="0" fontId="28" fillId="0" borderId="0" xfId="0" applyFont="1" applyAlignment="1">
      <alignment horizontal="center"/>
    </xf>
    <xf numFmtId="169" fontId="31" fillId="4" borderId="0" xfId="1" applyNumberFormat="1" applyFont="1" applyFill="1" applyAlignment="1">
      <alignment vertical="center"/>
    </xf>
    <xf numFmtId="172" fontId="31" fillId="0" borderId="0" xfId="0" applyNumberFormat="1" applyFont="1" applyAlignment="1">
      <alignment vertical="center"/>
    </xf>
    <xf numFmtId="166" fontId="43" fillId="0" borderId="0" xfId="127" applyNumberFormat="1" applyFont="1" applyFill="1" applyAlignment="1">
      <alignment vertical="center"/>
    </xf>
    <xf numFmtId="166" fontId="35" fillId="3" borderId="0" xfId="3" applyNumberFormat="1" applyFont="1" applyFill="1" applyAlignment="1">
      <alignment vertical="center"/>
    </xf>
    <xf numFmtId="165" fontId="31" fillId="5" borderId="0" xfId="1" applyNumberFormat="1" applyFont="1" applyFill="1" applyAlignment="1">
      <alignment horizontal="center" vertical="center"/>
    </xf>
    <xf numFmtId="165" fontId="30" fillId="5" borderId="0" xfId="1" applyNumberFormat="1" applyFont="1" applyFill="1" applyAlignment="1">
      <alignment horizontal="center" vertical="center"/>
    </xf>
    <xf numFmtId="167" fontId="30" fillId="4" borderId="0" xfId="3" applyNumberFormat="1" applyFont="1" applyFill="1" applyAlignment="1">
      <alignment vertical="center"/>
    </xf>
    <xf numFmtId="0" fontId="38" fillId="4" borderId="0" xfId="0" applyFont="1" applyFill="1" applyAlignment="1">
      <alignment horizontal="left" vertical="center"/>
    </xf>
    <xf numFmtId="167" fontId="31" fillId="4" borderId="0" xfId="3" applyNumberFormat="1" applyFont="1" applyFill="1" applyAlignment="1">
      <alignment vertical="center"/>
    </xf>
    <xf numFmtId="0" fontId="29" fillId="0" borderId="11" xfId="0" applyFont="1" applyBorder="1" applyAlignment="1">
      <alignment horizontal="center"/>
    </xf>
    <xf numFmtId="167" fontId="46" fillId="0" borderId="0" xfId="3" applyNumberFormat="1" applyFont="1"/>
    <xf numFmtId="167" fontId="28" fillId="4" borderId="0" xfId="3" applyNumberFormat="1" applyFont="1" applyFill="1" applyAlignment="1">
      <alignment vertical="center"/>
    </xf>
    <xf numFmtId="178" fontId="28" fillId="0" borderId="0" xfId="0" applyNumberFormat="1" applyFont="1" applyAlignment="1">
      <alignment vertical="center"/>
    </xf>
    <xf numFmtId="179" fontId="28" fillId="0" borderId="0" xfId="0" applyNumberFormat="1" applyFont="1" applyAlignment="1">
      <alignment vertical="center"/>
    </xf>
    <xf numFmtId="0" fontId="32" fillId="38" borderId="8" xfId="0" applyFont="1" applyFill="1" applyBorder="1" applyAlignment="1">
      <alignment horizontal="center" vertical="center"/>
    </xf>
    <xf numFmtId="0" fontId="47" fillId="3" borderId="4" xfId="2" applyFont="1" applyFill="1" applyBorder="1" applyAlignment="1">
      <alignment horizontal="center" vertical="center"/>
    </xf>
    <xf numFmtId="0" fontId="48" fillId="0" borderId="9" xfId="0" applyFont="1" applyBorder="1" applyAlignment="1">
      <alignment horizontal="center" vertical="center"/>
    </xf>
    <xf numFmtId="0" fontId="49" fillId="0" borderId="9" xfId="0" applyFont="1" applyBorder="1" applyAlignment="1">
      <alignment horizontal="center" vertical="center"/>
    </xf>
    <xf numFmtId="0" fontId="50" fillId="3" borderId="5" xfId="2" applyFont="1" applyFill="1" applyBorder="1" applyAlignment="1">
      <alignment horizontal="left" vertical="center"/>
    </xf>
    <xf numFmtId="0" fontId="50" fillId="0" borderId="0" xfId="0" applyFont="1" applyAlignment="1">
      <alignment horizontal="left" vertical="center"/>
    </xf>
    <xf numFmtId="0" fontId="49" fillId="0" borderId="9" xfId="0" applyFont="1" applyBorder="1" applyAlignment="1">
      <alignment vertical="center"/>
    </xf>
    <xf numFmtId="0" fontId="49" fillId="0" borderId="10" xfId="0" applyFont="1" applyBorder="1" applyAlignment="1">
      <alignment vertical="center"/>
    </xf>
    <xf numFmtId="0" fontId="38" fillId="0" borderId="0" xfId="0" applyFont="1" applyAlignment="1">
      <alignment vertical="center"/>
    </xf>
    <xf numFmtId="0" fontId="38" fillId="0" borderId="0" xfId="0" applyFont="1" applyAlignment="1">
      <alignment vertical="justify" wrapText="1"/>
    </xf>
    <xf numFmtId="0" fontId="38" fillId="4" borderId="0" xfId="0" applyFont="1" applyFill="1" applyAlignment="1">
      <alignment horizontal="left" vertical="justify" wrapText="1"/>
    </xf>
    <xf numFmtId="172" fontId="28" fillId="4" borderId="0" xfId="0" applyNumberFormat="1" applyFont="1" applyFill="1" applyAlignment="1">
      <alignment horizontal="center" vertical="center"/>
    </xf>
    <xf numFmtId="0" fontId="51" fillId="40" borderId="0" xfId="0" applyFont="1" applyFill="1" applyAlignment="1">
      <alignment horizontal="right" vertical="center"/>
    </xf>
    <xf numFmtId="166" fontId="51" fillId="40" borderId="0" xfId="0" applyNumberFormat="1" applyFont="1" applyFill="1" applyAlignment="1">
      <alignment horizontal="right" vertical="center"/>
    </xf>
    <xf numFmtId="0" fontId="51" fillId="42" borderId="0" xfId="0" applyFont="1" applyFill="1" applyAlignment="1">
      <alignment horizontal="left" vertical="center"/>
    </xf>
    <xf numFmtId="0" fontId="51" fillId="42" borderId="0" xfId="0" applyFont="1" applyFill="1" applyAlignment="1">
      <alignment horizontal="right" vertical="center"/>
    </xf>
    <xf numFmtId="166" fontId="51" fillId="42" borderId="0" xfId="0" applyNumberFormat="1" applyFont="1" applyFill="1" applyAlignment="1">
      <alignment horizontal="right" vertical="center"/>
    </xf>
    <xf numFmtId="0" fontId="51" fillId="42" borderId="0" xfId="0" applyFont="1" applyFill="1" applyAlignment="1">
      <alignment vertical="center"/>
    </xf>
    <xf numFmtId="0" fontId="52" fillId="0" borderId="0" xfId="0" applyFont="1"/>
    <xf numFmtId="0" fontId="54" fillId="0" borderId="0" xfId="0" applyFont="1" applyAlignment="1">
      <alignment horizontal="left" wrapText="1" readingOrder="1"/>
    </xf>
    <xf numFmtId="0" fontId="55" fillId="0" borderId="0" xfId="0" applyFont="1" applyAlignment="1">
      <alignment horizontal="right" wrapText="1" readingOrder="1"/>
    </xf>
    <xf numFmtId="0" fontId="56" fillId="0" borderId="0" xfId="0" applyFont="1" applyAlignment="1">
      <alignment horizontal="left" vertical="center" wrapText="1" readingOrder="1"/>
    </xf>
    <xf numFmtId="180" fontId="56" fillId="0" borderId="0" xfId="0" applyNumberFormat="1" applyFont="1" applyAlignment="1">
      <alignment horizontal="right" vertical="center" wrapText="1" readingOrder="1"/>
    </xf>
    <xf numFmtId="180" fontId="56" fillId="41" borderId="0" xfId="0" applyNumberFormat="1" applyFont="1" applyFill="1" applyAlignment="1">
      <alignment horizontal="right" vertical="center" wrapText="1" readingOrder="1"/>
    </xf>
    <xf numFmtId="0" fontId="58" fillId="0" borderId="0" xfId="0" applyFont="1" applyAlignment="1">
      <alignment horizontal="left" vertical="center" wrapText="1" readingOrder="1"/>
    </xf>
    <xf numFmtId="180" fontId="58" fillId="0" borderId="0" xfId="0" applyNumberFormat="1" applyFont="1" applyAlignment="1">
      <alignment horizontal="right" vertical="center" wrapText="1" readingOrder="1"/>
    </xf>
    <xf numFmtId="180" fontId="58" fillId="41" borderId="0" xfId="0" applyNumberFormat="1" applyFont="1" applyFill="1" applyAlignment="1">
      <alignment horizontal="right" vertical="center" wrapText="1" readingOrder="1"/>
    </xf>
    <xf numFmtId="0" fontId="58" fillId="0" borderId="0" xfId="0" applyFont="1" applyAlignment="1">
      <alignment horizontal="left" wrapText="1" readingOrder="1"/>
    </xf>
    <xf numFmtId="0" fontId="31" fillId="0" borderId="0" xfId="0" applyFont="1" applyAlignment="1">
      <alignment horizontal="right" vertical="center" wrapText="1"/>
    </xf>
    <xf numFmtId="0" fontId="31" fillId="41" borderId="0" xfId="0" applyFont="1" applyFill="1" applyAlignment="1">
      <alignment horizontal="right" vertical="center" wrapText="1"/>
    </xf>
    <xf numFmtId="0" fontId="58" fillId="0" borderId="0" xfId="0" applyFont="1" applyAlignment="1">
      <alignment horizontal="left" vertical="center" wrapText="1" indent="1" readingOrder="1"/>
    </xf>
    <xf numFmtId="0" fontId="60" fillId="0" borderId="0" xfId="0" applyFont="1" applyAlignment="1">
      <alignment horizontal="left" vertical="center" wrapText="1" readingOrder="1"/>
    </xf>
    <xf numFmtId="167" fontId="60" fillId="0" borderId="0" xfId="3" applyNumberFormat="1" applyFont="1" applyFill="1" applyBorder="1" applyAlignment="1">
      <alignment horizontal="right" vertical="center" wrapText="1" readingOrder="1"/>
    </xf>
    <xf numFmtId="167" fontId="60" fillId="41" borderId="0" xfId="3" applyNumberFormat="1" applyFont="1" applyFill="1" applyBorder="1" applyAlignment="1">
      <alignment horizontal="right" vertical="center" wrapText="1" readingOrder="1"/>
    </xf>
    <xf numFmtId="0" fontId="62" fillId="0" borderId="0" xfId="0" applyFont="1" applyAlignment="1">
      <alignment horizontal="left" vertical="center" wrapText="1" readingOrder="1"/>
    </xf>
    <xf numFmtId="167" fontId="62" fillId="0" borderId="0" xfId="3" applyNumberFormat="1" applyFont="1" applyFill="1" applyBorder="1" applyAlignment="1">
      <alignment horizontal="right" vertical="center" wrapText="1" readingOrder="1"/>
    </xf>
    <xf numFmtId="167" fontId="62" fillId="41" borderId="0" xfId="3" applyNumberFormat="1" applyFont="1" applyFill="1" applyBorder="1" applyAlignment="1">
      <alignment horizontal="right" vertical="center" wrapText="1" readingOrder="1"/>
    </xf>
    <xf numFmtId="0" fontId="52" fillId="4" borderId="0" xfId="0" applyFont="1" applyFill="1"/>
    <xf numFmtId="0" fontId="57" fillId="4" borderId="0" xfId="0" applyFont="1" applyFill="1"/>
    <xf numFmtId="0" fontId="59" fillId="4" borderId="0" xfId="0" applyFont="1" applyFill="1"/>
    <xf numFmtId="0" fontId="61" fillId="4" borderId="0" xfId="0" applyFont="1" applyFill="1"/>
    <xf numFmtId="0" fontId="63" fillId="4" borderId="0" xfId="0" applyFont="1" applyFill="1"/>
    <xf numFmtId="0" fontId="51" fillId="42" borderId="0" xfId="0" applyFont="1" applyFill="1" applyAlignment="1">
      <alignment horizontal="center" vertical="center"/>
    </xf>
    <xf numFmtId="0" fontId="55" fillId="0" borderId="0" xfId="0" applyFont="1" applyAlignment="1">
      <alignment horizontal="center" wrapText="1" readingOrder="1"/>
    </xf>
    <xf numFmtId="180" fontId="56" fillId="0" borderId="0" xfId="0" applyNumberFormat="1" applyFont="1" applyAlignment="1">
      <alignment horizontal="center" vertical="center" wrapText="1" readingOrder="1"/>
    </xf>
    <xf numFmtId="0" fontId="58" fillId="0" borderId="0" xfId="0" applyFont="1" applyAlignment="1">
      <alignment horizontal="center" wrapText="1" readingOrder="1"/>
    </xf>
    <xf numFmtId="180" fontId="58" fillId="0" borderId="0" xfId="0" applyNumberFormat="1" applyFont="1" applyAlignment="1">
      <alignment horizontal="center" vertical="center" wrapText="1" readingOrder="1"/>
    </xf>
    <xf numFmtId="167" fontId="58" fillId="0" borderId="0" xfId="3" applyNumberFormat="1" applyFont="1" applyBorder="1" applyAlignment="1">
      <alignment horizontal="center" vertical="center" wrapText="1" readingOrder="1"/>
    </xf>
    <xf numFmtId="165" fontId="28" fillId="4" borderId="0" xfId="1" applyNumberFormat="1" applyFont="1" applyFill="1" applyAlignment="1">
      <alignment vertical="center"/>
    </xf>
    <xf numFmtId="0" fontId="1" fillId="38" borderId="11" xfId="0" applyFont="1" applyFill="1" applyBorder="1" applyAlignment="1">
      <alignment horizontal="center" vertical="center"/>
    </xf>
    <xf numFmtId="0" fontId="0" fillId="0" borderId="11" xfId="0" applyBorder="1" applyAlignment="1">
      <alignment horizontal="center"/>
    </xf>
    <xf numFmtId="0" fontId="0" fillId="4" borderId="11" xfId="0" applyFill="1" applyBorder="1" applyAlignment="1">
      <alignment horizontal="center"/>
    </xf>
    <xf numFmtId="3" fontId="3" fillId="5" borderId="11" xfId="0" applyNumberFormat="1" applyFont="1" applyFill="1" applyBorder="1" applyAlignment="1">
      <alignment horizontal="center"/>
    </xf>
    <xf numFmtId="164" fontId="28" fillId="0" borderId="0" xfId="1" applyNumberFormat="1" applyFont="1" applyAlignment="1">
      <alignment vertical="center"/>
    </xf>
    <xf numFmtId="0" fontId="64" fillId="43" borderId="21" xfId="0" applyFont="1" applyFill="1" applyBorder="1" applyAlignment="1">
      <alignment horizontal="center" vertical="center" wrapText="1"/>
    </xf>
    <xf numFmtId="16" fontId="28" fillId="0" borderId="0" xfId="0" applyNumberFormat="1" applyFont="1" applyAlignment="1">
      <alignment horizontal="center"/>
    </xf>
    <xf numFmtId="0" fontId="65" fillId="3" borderId="0" xfId="0" applyFont="1" applyFill="1" applyAlignment="1">
      <alignment vertical="center"/>
    </xf>
    <xf numFmtId="171" fontId="28" fillId="0" borderId="0" xfId="115" applyNumberFormat="1" applyFont="1"/>
    <xf numFmtId="165" fontId="28" fillId="4" borderId="0" xfId="1" applyNumberFormat="1" applyFont="1" applyFill="1"/>
    <xf numFmtId="3" fontId="28" fillId="0" borderId="0" xfId="0" applyNumberFormat="1" applyFont="1"/>
    <xf numFmtId="165" fontId="28" fillId="4" borderId="0" xfId="1" applyNumberFormat="1" applyFont="1" applyFill="1" applyAlignment="1">
      <alignment horizontal="right" vertical="center"/>
    </xf>
    <xf numFmtId="165" fontId="28" fillId="4" borderId="0" xfId="1" applyNumberFormat="1" applyFont="1" applyFill="1" applyAlignment="1">
      <alignment horizontal="right"/>
    </xf>
    <xf numFmtId="166" fontId="28" fillId="4" borderId="0" xfId="0" applyNumberFormat="1" applyFont="1" applyFill="1"/>
    <xf numFmtId="0" fontId="48" fillId="3" borderId="5" xfId="2" applyFont="1" applyFill="1" applyBorder="1" applyAlignment="1">
      <alignment horizontal="left" vertical="center"/>
    </xf>
    <xf numFmtId="0" fontId="48" fillId="3" borderId="7" xfId="2" applyFont="1" applyFill="1" applyBorder="1" applyAlignment="1">
      <alignment horizontal="left" vertical="center"/>
    </xf>
    <xf numFmtId="0" fontId="32" fillId="38" borderId="2" xfId="0" applyFont="1" applyFill="1" applyBorder="1" applyAlignment="1">
      <alignment horizontal="center" vertical="center"/>
    </xf>
    <xf numFmtId="0" fontId="32" fillId="38" borderId="3" xfId="0" applyFont="1" applyFill="1" applyBorder="1" applyAlignment="1">
      <alignment horizontal="center" vertical="center"/>
    </xf>
    <xf numFmtId="0" fontId="47" fillId="3" borderId="4" xfId="2" applyFont="1" applyFill="1" applyBorder="1" applyAlignment="1">
      <alignment horizontal="center" vertical="center"/>
    </xf>
    <xf numFmtId="0" fontId="47" fillId="3" borderId="6" xfId="2" applyFont="1" applyFill="1" applyBorder="1" applyAlignment="1">
      <alignment horizontal="center" vertical="center"/>
    </xf>
    <xf numFmtId="0" fontId="53" fillId="0" borderId="0" xfId="0" applyFont="1" applyAlignment="1">
      <alignment horizontal="center" wrapText="1" readingOrder="1"/>
    </xf>
    <xf numFmtId="0" fontId="51" fillId="40" borderId="0" xfId="0" applyFont="1" applyFill="1" applyAlignment="1">
      <alignment horizontal="left" vertical="center"/>
    </xf>
  </cellXfs>
  <cellStyles count="172">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3" builtinId="26" customBuiltin="1"/>
    <cellStyle name="Cálculo" xfId="18" builtinId="22" customBuiltin="1"/>
    <cellStyle name="Célula de Verificação" xfId="20" builtinId="23" customBuiltin="1"/>
    <cellStyle name="Célula Vinculada" xfId="19" builtinId="24" customBuiltin="1"/>
    <cellStyle name="Comma 2" xfId="51" xr:uid="{00000000-0005-0000-0000-000016000000}"/>
    <cellStyle name="Comma 2 2" xfId="98" xr:uid="{00000000-0005-0000-0000-000017000000}"/>
    <cellStyle name="Comma 2 2 2" xfId="123" xr:uid="{19E0E8A4-8D92-4C69-92A2-114533260FA3}"/>
    <cellStyle name="Comma 2 2 2 2" xfId="160" xr:uid="{B6506B94-6E30-4596-9C6D-C21AD2BBCC31}"/>
    <cellStyle name="Comma 2 2 3" xfId="142" xr:uid="{EDE828BC-767B-4ADA-AB3B-FCA7642810AD}"/>
    <cellStyle name="Comma 2 3" xfId="97" xr:uid="{00000000-0005-0000-0000-000018000000}"/>
    <cellStyle name="Comma 2 3 2" xfId="122" xr:uid="{910A897C-4D7E-482E-81F0-6869DBD88F70}"/>
    <cellStyle name="Comma 2 3 2 2" xfId="159" xr:uid="{C10AB0B8-569D-48B2-A6DE-3476A2D099F2}"/>
    <cellStyle name="Comma 2 3 3" xfId="141" xr:uid="{4CED4157-3ABE-4291-ABD5-3B86F050DD73}"/>
    <cellStyle name="Comma 2 4" xfId="111" xr:uid="{00000000-0005-0000-0000-000019000000}"/>
    <cellStyle name="Comma 2 4 2" xfId="130" xr:uid="{8D0DFD79-13B8-494F-859D-194EB7B3917C}"/>
    <cellStyle name="Comma 2 4 2 2" xfId="167" xr:uid="{D3597B7E-3EF2-4A13-BF48-E5A2A3E28B5B}"/>
    <cellStyle name="Comma 2 4 3" xfId="149" xr:uid="{D8E7212B-C392-4AB5-963E-8EE5350D4526}"/>
    <cellStyle name="Comma 3" xfId="52" xr:uid="{00000000-0005-0000-0000-00001A000000}"/>
    <cellStyle name="Comma 3 2" xfId="53" xr:uid="{00000000-0005-0000-0000-00001B000000}"/>
    <cellStyle name="Comma 3 2 2" xfId="86" xr:uid="{00000000-0005-0000-0000-00001C000000}"/>
    <cellStyle name="Comma 3 2 2 2" xfId="119" xr:uid="{B6E187F0-5C02-4234-A571-11F54599C159}"/>
    <cellStyle name="Comma 3 2 2 2 2" xfId="156" xr:uid="{0074261E-98F1-469F-89C0-CF73AD8F45E7}"/>
    <cellStyle name="Comma 3 2 2 3" xfId="138" xr:uid="{F5C35FA2-5341-40D4-A9D6-8D8A528D6925}"/>
    <cellStyle name="Comma 4" xfId="54" xr:uid="{00000000-0005-0000-0000-00001D000000}"/>
    <cellStyle name="Comma 4 2" xfId="85" xr:uid="{00000000-0005-0000-0000-00001E000000}"/>
    <cellStyle name="Comma 4 2 2" xfId="118" xr:uid="{66FD24C5-8BA7-49BF-88D8-187AB9F9E778}"/>
    <cellStyle name="Comma 4 2 2 2" xfId="155" xr:uid="{95210F8E-D94C-428D-9A81-25553598EBC3}"/>
    <cellStyle name="Comma 4 2 3" xfId="137" xr:uid="{A63C9899-30DF-4E61-8E3F-31CAD381D2C5}"/>
    <cellStyle name="Comma 5" xfId="109" xr:uid="{00000000-0005-0000-0000-00001F000000}"/>
    <cellStyle name="Comma 5 2" xfId="129" xr:uid="{D1B553CF-53A5-41C0-8269-69F9EDE248BE}"/>
    <cellStyle name="Comma 5 2 2" xfId="166" xr:uid="{361F9E29-8507-4E81-ACAE-6B34536C5D4E}"/>
    <cellStyle name="Comma 5 3" xfId="148" xr:uid="{A123D332-E409-4DD8-87A0-9B3B1D732FFD}"/>
    <cellStyle name="Currency 2" xfId="4" xr:uid="{00000000-0005-0000-0000-000020000000}"/>
    <cellStyle name="Currency 2 2" xfId="114" xr:uid="{00000000-0005-0000-0000-000021000000}"/>
    <cellStyle name="Currency 2 2 2" xfId="132" xr:uid="{56E616B0-F819-4F2D-94B0-DD325B9E22CC}"/>
    <cellStyle name="Currency 2 2 2 2" xfId="169" xr:uid="{CE70559E-D6A2-45B3-9A64-FD04EF10AFF9}"/>
    <cellStyle name="Currency 2 2 3" xfId="151" xr:uid="{FE357459-F25B-4AC6-B40F-7AD8E8C8C56F}"/>
    <cellStyle name="Currency 2 3" xfId="117" xr:uid="{61674419-A1DA-4E88-893D-BE92D4B50ACC}"/>
    <cellStyle name="Currency 2 3 2" xfId="154" xr:uid="{18C701BB-7814-4BC7-9D6A-DBF71F96FA5F}"/>
    <cellStyle name="Currency 2 4" xfId="136" xr:uid="{86BBCADC-4479-41E9-9DBE-05CC1D2DD995}"/>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6" builtinId="20" customBuiltin="1"/>
    <cellStyle name="Hiperlink" xfId="2" builtinId="8"/>
    <cellStyle name="Moeda 2" xfId="92" xr:uid="{00000000-0005-0000-0000-00002A000000}"/>
    <cellStyle name="Moeda 2 2" xfId="121" xr:uid="{EC65E2BC-B86C-40C0-94EF-9C95BA298DD6}"/>
    <cellStyle name="Moeda 2 2 2" xfId="158" xr:uid="{DD416605-BE62-4E3A-97E4-4F0BC1B6AD93}"/>
    <cellStyle name="Moeda 2 3" xfId="140" xr:uid="{8CA317D2-38B2-44F5-A9D1-1133E2B32C06}"/>
    <cellStyle name="Neutro" xfId="15" builtinId="28" customBuiltin="1"/>
    <cellStyle name="Normal" xfId="0" builtinId="0"/>
    <cellStyle name="Normal 10" xfId="108" xr:uid="{00000000-0005-0000-0000-00002D000000}"/>
    <cellStyle name="Normal 10 10 6" xfId="90" xr:uid="{00000000-0005-0000-0000-00002E000000}"/>
    <cellStyle name="Normal 11" xfId="93" xr:uid="{00000000-0005-0000-0000-00002F000000}"/>
    <cellStyle name="Normal 12" xfId="48" xr:uid="{00000000-0005-0000-0000-000030000000}"/>
    <cellStyle name="Normal 13" xfId="55" xr:uid="{00000000-0005-0000-0000-000031000000}"/>
    <cellStyle name="Normal 13 2" xfId="56" xr:uid="{00000000-0005-0000-0000-000032000000}"/>
    <cellStyle name="Normal 2" xfId="5" xr:uid="{00000000-0005-0000-0000-000033000000}"/>
    <cellStyle name="Normal 2 10" xfId="58" xr:uid="{00000000-0005-0000-0000-000034000000}"/>
    <cellStyle name="Normal 2 2" xfId="59" xr:uid="{00000000-0005-0000-0000-000035000000}"/>
    <cellStyle name="Normal 2 2 2" xfId="112" xr:uid="{00000000-0005-0000-0000-000036000000}"/>
    <cellStyle name="Normal 2 3" xfId="60" xr:uid="{00000000-0005-0000-0000-000037000000}"/>
    <cellStyle name="Normal 2 3 2" xfId="99" xr:uid="{00000000-0005-0000-0000-000038000000}"/>
    <cellStyle name="Normal 2 4" xfId="84" xr:uid="{00000000-0005-0000-0000-000039000000}"/>
    <cellStyle name="Normal 2 5" xfId="57" xr:uid="{00000000-0005-0000-0000-00003A000000}"/>
    <cellStyle name="Normal 2 6" xfId="61" xr:uid="{00000000-0005-0000-0000-00003B000000}"/>
    <cellStyle name="Normal 22" xfId="62" xr:uid="{00000000-0005-0000-0000-00003C000000}"/>
    <cellStyle name="Normal 23" xfId="63" xr:uid="{00000000-0005-0000-0000-00003D000000}"/>
    <cellStyle name="Normal 26" xfId="64" xr:uid="{00000000-0005-0000-0000-00003E000000}"/>
    <cellStyle name="Normal 3" xfId="65" xr:uid="{00000000-0005-0000-0000-00003F000000}"/>
    <cellStyle name="Normal 4" xfId="66" xr:uid="{00000000-0005-0000-0000-000040000000}"/>
    <cellStyle name="Normal 4 2" xfId="87" xr:uid="{00000000-0005-0000-0000-000041000000}"/>
    <cellStyle name="Normal 4 3" xfId="67" xr:uid="{00000000-0005-0000-0000-000042000000}"/>
    <cellStyle name="Normal 44" xfId="94" xr:uid="{00000000-0005-0000-0000-000043000000}"/>
    <cellStyle name="Normal 5" xfId="68" xr:uid="{00000000-0005-0000-0000-000044000000}"/>
    <cellStyle name="Normal 5 2" xfId="88" xr:uid="{00000000-0005-0000-0000-000045000000}"/>
    <cellStyle name="Normal 6" xfId="83" xr:uid="{00000000-0005-0000-0000-000046000000}"/>
    <cellStyle name="Normal 6 2" xfId="6" xr:uid="{00000000-0005-0000-0000-000047000000}"/>
    <cellStyle name="Normal 6 2 2" xfId="69" xr:uid="{00000000-0005-0000-0000-000048000000}"/>
    <cellStyle name="Normal 7" xfId="95" xr:uid="{00000000-0005-0000-0000-000049000000}"/>
    <cellStyle name="Normal 7 2" xfId="96" xr:uid="{00000000-0005-0000-0000-00004A000000}"/>
    <cellStyle name="Normal 8" xfId="100" xr:uid="{00000000-0005-0000-0000-00004B000000}"/>
    <cellStyle name="Normal 9" xfId="106" xr:uid="{00000000-0005-0000-0000-00004C000000}"/>
    <cellStyle name="Nota 2" xfId="103" xr:uid="{00000000-0005-0000-0000-00004D000000}"/>
    <cellStyle name="Percent 2" xfId="89" xr:uid="{00000000-0005-0000-0000-00004E000000}"/>
    <cellStyle name="Percent 3" xfId="110" xr:uid="{00000000-0005-0000-0000-00004F000000}"/>
    <cellStyle name="Pivot Table Category" xfId="80" xr:uid="{00000000-0005-0000-0000-000050000000}"/>
    <cellStyle name="Pivot Table Corner" xfId="77" xr:uid="{00000000-0005-0000-0000-000051000000}"/>
    <cellStyle name="Pivot Table Field" xfId="79" xr:uid="{00000000-0005-0000-0000-000052000000}"/>
    <cellStyle name="Pivot Table Result" xfId="82" xr:uid="{00000000-0005-0000-0000-000053000000}"/>
    <cellStyle name="Pivot Table Title" xfId="81" xr:uid="{00000000-0005-0000-0000-000054000000}"/>
    <cellStyle name="Pivot Table Value" xfId="78" xr:uid="{00000000-0005-0000-0000-000055000000}"/>
    <cellStyle name="Porcentagem" xfId="3" builtinId="5"/>
    <cellStyle name="Porcentagem 2" xfId="50" xr:uid="{00000000-0005-0000-0000-000057000000}"/>
    <cellStyle name="Ruim" xfId="14" builtinId="27" customBuiltin="1"/>
    <cellStyle name="Saída" xfId="17" builtinId="21" customBuiltin="1"/>
    <cellStyle name="Separador de milhares 2" xfId="70" xr:uid="{00000000-0005-0000-0000-00005A000000}"/>
    <cellStyle name="Separador de milhares 2 2" xfId="71" xr:uid="{00000000-0005-0000-0000-00005B000000}"/>
    <cellStyle name="Separador de milhares 6" xfId="7" xr:uid="{00000000-0005-0000-0000-00005C000000}"/>
    <cellStyle name="Separador de milhares 6 2" xfId="72" xr:uid="{00000000-0005-0000-0000-00005D000000}"/>
    <cellStyle name="Texto de Aviso" xfId="21" builtinId="11" customBuiltin="1"/>
    <cellStyle name="Texto Explicativo" xfId="22" builtinId="53" customBuiltin="1"/>
    <cellStyle name="Texto Explicativo 2" xfId="73" xr:uid="{00000000-0005-0000-0000-000060000000}"/>
    <cellStyle name="Título" xfId="8" builtinId="15" customBuiltin="1"/>
    <cellStyle name="Título 1" xfId="9" builtinId="16" customBuiltin="1"/>
    <cellStyle name="Título 2" xfId="10" builtinId="17" customBuiltin="1"/>
    <cellStyle name="Título 3" xfId="11" builtinId="18" customBuiltin="1"/>
    <cellStyle name="Título 4" xfId="12" builtinId="19" customBuiltin="1"/>
    <cellStyle name="Total" xfId="23" builtinId="25" customBuiltin="1"/>
    <cellStyle name="Vírgula" xfId="1" builtinId="3"/>
    <cellStyle name="Vírgula 10" xfId="102" xr:uid="{00000000-0005-0000-0000-000068000000}"/>
    <cellStyle name="Vírgula 10 2" xfId="74" xr:uid="{00000000-0005-0000-0000-000069000000}"/>
    <cellStyle name="Vírgula 10 2 2" xfId="105" xr:uid="{00000000-0005-0000-0000-00006A000000}"/>
    <cellStyle name="Vírgula 10 2 2 2" xfId="127" xr:uid="{7F725F93-C97E-4A81-B69E-201BB41EBC31}"/>
    <cellStyle name="Vírgula 10 2 2 2 2" xfId="164" xr:uid="{5880E324-A81C-4DEE-85DC-8957C26EBEB8}"/>
    <cellStyle name="Vírgula 10 2 2 3" xfId="134" xr:uid="{1324EE17-6DFB-4116-A2AA-4A44FECE9641}"/>
    <cellStyle name="Vírgula 10 2 2 3 2" xfId="171" xr:uid="{B858B3F5-7664-4EBB-B66D-0A6900F6778B}"/>
    <cellStyle name="Vírgula 10 2 2 4" xfId="146" xr:uid="{A8507DB7-52C7-40EA-A02B-1DAAD735DED7}"/>
    <cellStyle name="Vírgula 10 3" xfId="125" xr:uid="{94F67876-804B-4930-8B6B-902738114AFC}"/>
    <cellStyle name="Vírgula 10 3 2" xfId="162" xr:uid="{41F5684D-CB24-495E-B41A-811B099C78D8}"/>
    <cellStyle name="Vírgula 10 4" xfId="144" xr:uid="{DBF72940-440D-4503-AFD7-988A1C95BEF3}"/>
    <cellStyle name="Vírgula 12 10 6" xfId="91" xr:uid="{00000000-0005-0000-0000-00006B000000}"/>
    <cellStyle name="Vírgula 12 10 6 2" xfId="120" xr:uid="{F44A4204-B837-46A1-BF23-768838839F73}"/>
    <cellStyle name="Vírgula 12 10 6 2 2" xfId="157" xr:uid="{9D255BAC-DC0D-4A1D-B10E-18EEF41D8BAB}"/>
    <cellStyle name="Vírgula 12 10 6 3" xfId="139" xr:uid="{CD2F86C4-9C72-4A59-BB9A-13A702D6C7DF}"/>
    <cellStyle name="Vírgula 2" xfId="75" xr:uid="{00000000-0005-0000-0000-00006C000000}"/>
    <cellStyle name="Vírgula 2 2" xfId="76" xr:uid="{00000000-0005-0000-0000-00006D000000}"/>
    <cellStyle name="Vírgula 2 3" xfId="104" xr:uid="{00000000-0005-0000-0000-00006E000000}"/>
    <cellStyle name="Vírgula 2 3 2" xfId="126" xr:uid="{77923BAC-19F6-4EAB-AA49-8F061EF2459B}"/>
    <cellStyle name="Vírgula 2 3 2 2" xfId="163" xr:uid="{4D08FECC-AB2B-40DA-ADFB-256D407952AA}"/>
    <cellStyle name="Vírgula 2 3 3" xfId="145" xr:uid="{8BA3D87B-BBBB-402D-98B7-A549F19349EC}"/>
    <cellStyle name="Vírgula 3" xfId="101" xr:uid="{00000000-0005-0000-0000-00006F000000}"/>
    <cellStyle name="Vírgula 3 2" xfId="124" xr:uid="{F97EAFC2-F677-480B-B643-DDBAEB1E954F}"/>
    <cellStyle name="Vírgula 3 2 2" xfId="161" xr:uid="{CB2DF9B9-25DD-4D47-8684-65B0E2C72193}"/>
    <cellStyle name="Vírgula 3 3" xfId="143" xr:uid="{555EC2AA-2F8C-49B3-B516-81D3F3D9D93C}"/>
    <cellStyle name="Vírgula 4" xfId="107" xr:uid="{00000000-0005-0000-0000-000070000000}"/>
    <cellStyle name="Vírgula 4 2" xfId="128" xr:uid="{1777396B-3CCD-4F72-B972-4F17DD4426E1}"/>
    <cellStyle name="Vírgula 4 2 2" xfId="165" xr:uid="{D448AD61-2913-4A02-B4D9-C733CEE2566C}"/>
    <cellStyle name="Vírgula 4 3" xfId="147" xr:uid="{AE821705-21B4-4B45-B1F4-27411A4AB336}"/>
    <cellStyle name="Vírgula 5" xfId="49" xr:uid="{00000000-0005-0000-0000-000071000000}"/>
    <cellStyle name="Vírgula 6" xfId="113" xr:uid="{00000000-0005-0000-0000-000072000000}"/>
    <cellStyle name="Vírgula 6 2" xfId="131" xr:uid="{1E535B1A-2FFD-48EE-AA78-0DE6C9051769}"/>
    <cellStyle name="Vírgula 6 2 2" xfId="168" xr:uid="{B6997913-AFF0-4D20-A800-2BDFB977E2E4}"/>
    <cellStyle name="Vírgula 6 3" xfId="150" xr:uid="{1701125B-360C-4301-9A72-D9B1F96B2C19}"/>
    <cellStyle name="Vírgula 7" xfId="115" xr:uid="{21F46A4A-6587-4E69-A7AC-16E1D05A2FA9}"/>
    <cellStyle name="Vírgula 7 2" xfId="133" xr:uid="{46AEF71D-65BA-46AC-9947-F890C720EC86}"/>
    <cellStyle name="Vírgula 7 2 2" xfId="170" xr:uid="{0EFB0A54-BDEC-4108-A8AC-D1B667B5F869}"/>
    <cellStyle name="Vírgula 7 3" xfId="152" xr:uid="{116E20FD-6C1F-494A-8C0A-229F93CDF399}"/>
    <cellStyle name="Vírgula 8" xfId="116" xr:uid="{0F282A46-1413-4EC2-B398-84C68E925F2B}"/>
    <cellStyle name="Vírgula 8 2" xfId="153" xr:uid="{0660191B-4D7F-41FC-BFE8-4BD68C37CC22}"/>
    <cellStyle name="Vírgula 9" xfId="135" xr:uid="{692C84DC-FAF3-44D4-AD0C-3B4AD06DC1F5}"/>
  </cellStyles>
  <dxfs count="0"/>
  <tableStyles count="0" defaultTableStyle="TableStyleMedium2" defaultPivotStyle="PivotStyleLight16"/>
  <colors>
    <mruColors>
      <color rgb="FF1539AA"/>
      <color rgb="FFFF4E05"/>
      <color rgb="FFEE542F"/>
      <color rgb="FFEE402F"/>
      <color rgb="FF1E83C7"/>
      <color rgb="FFF38223"/>
      <color rgb="FF005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English!A1"/><Relationship Id="rId2" Type="http://schemas.openxmlformats.org/officeDocument/2006/relationships/image" Target="../media/image1.png"/><Relationship Id="rId1" Type="http://schemas.openxmlformats.org/officeDocument/2006/relationships/hyperlink" Target="#Portugu&#234;s!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84666</xdr:colOff>
      <xdr:row>5</xdr:row>
      <xdr:rowOff>50551</xdr:rowOff>
    </xdr:from>
    <xdr:to>
      <xdr:col>1</xdr:col>
      <xdr:colOff>463398</xdr:colOff>
      <xdr:row>6</xdr:row>
      <xdr:rowOff>153522</xdr:rowOff>
    </xdr:to>
    <xdr:pic>
      <xdr:nvPicPr>
        <xdr:cNvPr id="6" name="Picture 5" descr="Brazil Flag">
          <a:hlinkClick xmlns:r="http://schemas.openxmlformats.org/officeDocument/2006/relationships" r:id="rId1"/>
          <a:extLst>
            <a:ext uri="{FF2B5EF4-FFF2-40B4-BE49-F238E27FC236}">
              <a16:creationId xmlns:a16="http://schemas.microsoft.com/office/drawing/2014/main" id="{F2A2EF4D-7F28-40D9-A033-BD46B3A545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921" y="1524747"/>
          <a:ext cx="378732" cy="2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69300</xdr:colOff>
      <xdr:row>8</xdr:row>
      <xdr:rowOff>44825</xdr:rowOff>
    </xdr:from>
    <xdr:to>
      <xdr:col>1</xdr:col>
      <xdr:colOff>485829</xdr:colOff>
      <xdr:row>9</xdr:row>
      <xdr:rowOff>110368</xdr:rowOff>
    </xdr:to>
    <xdr:pic>
      <xdr:nvPicPr>
        <xdr:cNvPr id="7" name="Picture 6" descr="United States Flag">
          <a:hlinkClick xmlns:r="http://schemas.openxmlformats.org/officeDocument/2006/relationships" r:id="rId3"/>
          <a:extLst>
            <a:ext uri="{FF2B5EF4-FFF2-40B4-BE49-F238E27FC236}">
              <a16:creationId xmlns:a16="http://schemas.microsoft.com/office/drawing/2014/main" id="{16E77294-C74A-47F3-A03B-7F7C959AA9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8594" y="2005854"/>
          <a:ext cx="416529" cy="22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0</xdr:rowOff>
    </xdr:from>
    <xdr:to>
      <xdr:col>2</xdr:col>
      <xdr:colOff>666750</xdr:colOff>
      <xdr:row>4</xdr:row>
      <xdr:rowOff>30479</xdr:rowOff>
    </xdr:to>
    <xdr:pic>
      <xdr:nvPicPr>
        <xdr:cNvPr id="2" name="Imagem 1">
          <a:extLst>
            <a:ext uri="{FF2B5EF4-FFF2-40B4-BE49-F238E27FC236}">
              <a16:creationId xmlns:a16="http://schemas.microsoft.com/office/drawing/2014/main" id="{74F04355-F21D-4686-BCAD-0E290258BD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0"/>
          <a:ext cx="1343025" cy="716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26194</xdr:colOff>
      <xdr:row>1</xdr:row>
      <xdr:rowOff>18908</xdr:rowOff>
    </xdr:from>
    <xdr:to>
      <xdr:col>37</xdr:col>
      <xdr:colOff>904875</xdr:colOff>
      <xdr:row>5</xdr:row>
      <xdr:rowOff>59532</xdr:rowOff>
    </xdr:to>
    <xdr:sp macro="" textlink="">
      <xdr:nvSpPr>
        <xdr:cNvPr id="2" name="Retângulo 1">
          <a:extLst>
            <a:ext uri="{FF2B5EF4-FFF2-40B4-BE49-F238E27FC236}">
              <a16:creationId xmlns:a16="http://schemas.microsoft.com/office/drawing/2014/main" id="{7F0840ED-B652-6018-9104-2F1C3D7B094D}"/>
            </a:ext>
          </a:extLst>
        </xdr:cNvPr>
        <xdr:cNvSpPr/>
      </xdr:nvSpPr>
      <xdr:spPr>
        <a:xfrm>
          <a:off x="19266694" y="209408"/>
          <a:ext cx="13058775" cy="802624"/>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pt-BR" sz="1100" i="1">
              <a:solidFill>
                <a:schemeClr val="tx1"/>
              </a:solidFill>
              <a:effectLst/>
              <a:latin typeface="+mn-lt"/>
              <a:ea typeface="+mn-ea"/>
              <a:cs typeface="+mn-cs"/>
            </a:rPr>
            <a:t>A </a:t>
          </a:r>
          <a:r>
            <a:rPr lang="pt-BR" sz="1100" b="1" i="1">
              <a:solidFill>
                <a:schemeClr val="tx1"/>
              </a:solidFill>
              <a:effectLst/>
              <a:latin typeface="+mn-lt"/>
              <a:ea typeface="+mn-ea"/>
              <a:cs typeface="+mn-cs"/>
            </a:rPr>
            <a:t>Hapvida Participações e Investimentos S.A</a:t>
          </a:r>
          <a:r>
            <a:rPr lang="pt-BR" sz="1100" i="1">
              <a:solidFill>
                <a:schemeClr val="tx1"/>
              </a:solidFill>
              <a:effectLst/>
              <a:latin typeface="+mn-lt"/>
              <a:ea typeface="+mn-ea"/>
              <a:cs typeface="+mn-cs"/>
            </a:rPr>
            <a:t>., informa aos seus acionistas e ao mercado em geral que as informações financeiras constantes neste documento decorrem das demonstrações financeiras auditadas, relativas ao período de três</a:t>
          </a:r>
          <a:r>
            <a:rPr lang="pt-BR" sz="1100" i="1" baseline="0">
              <a:solidFill>
                <a:schemeClr val="tx1"/>
              </a:solidFill>
              <a:effectLst/>
              <a:latin typeface="+mn-lt"/>
              <a:ea typeface="+mn-ea"/>
              <a:cs typeface="+mn-cs"/>
            </a:rPr>
            <a:t> </a:t>
          </a:r>
          <a:r>
            <a:rPr lang="pt-BR" sz="1100" i="1">
              <a:solidFill>
                <a:schemeClr val="tx1"/>
              </a:solidFill>
              <a:effectLst/>
              <a:latin typeface="+mn-lt"/>
              <a:ea typeface="+mn-ea"/>
              <a:cs typeface="+mn-cs"/>
            </a:rPr>
            <a:t>meses findos em 31 de março de 2026, elaboradas em conformidade com o IFRS 4 – Contratos de Seguro, internalizado no Brasil pelo CPC 11, as quais foram divulgada, para fins de acompanhamento da performance do negócio e comparabilidade entre os períodos. Essas informações financeiras não consideram o padrão contábil atualmente vigente, o IFRS 17 – Contratos de Seguro, internalizado no Brasil pelo CPC 50, que deve ser considerado para todos os fins da legislação e regulamentação aplicáveis e que resultará em informações financeiras diferentes das apresentadas nesse material.</a:t>
          </a:r>
          <a:endParaRPr lang="pt-BR" i="1">
            <a:solidFill>
              <a:schemeClr val="tx1"/>
            </a:solidFill>
            <a:effectLst/>
          </a:endParaRPr>
        </a:p>
      </xdr:txBody>
    </xdr:sp>
    <xdr:clientData/>
  </xdr:twoCellAnchor>
  <xdr:twoCellAnchor editAs="oneCell">
    <xdr:from>
      <xdr:col>0</xdr:col>
      <xdr:colOff>46464</xdr:colOff>
      <xdr:row>0</xdr:row>
      <xdr:rowOff>0</xdr:rowOff>
    </xdr:from>
    <xdr:to>
      <xdr:col>1</xdr:col>
      <xdr:colOff>1646547</xdr:colOff>
      <xdr:row>5</xdr:row>
      <xdr:rowOff>81310</xdr:rowOff>
    </xdr:to>
    <xdr:pic>
      <xdr:nvPicPr>
        <xdr:cNvPr id="9" name="Imagem 8">
          <a:extLst>
            <a:ext uri="{FF2B5EF4-FFF2-40B4-BE49-F238E27FC236}">
              <a16:creationId xmlns:a16="http://schemas.microsoft.com/office/drawing/2014/main" id="{D0209235-892A-4CC4-A574-4D9F4038C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4" y="0"/>
          <a:ext cx="1785937" cy="952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633833</xdr:colOff>
      <xdr:row>0</xdr:row>
      <xdr:rowOff>126769</xdr:rowOff>
    </xdr:from>
    <xdr:to>
      <xdr:col>37</xdr:col>
      <xdr:colOff>785812</xdr:colOff>
      <xdr:row>5</xdr:row>
      <xdr:rowOff>119062</xdr:rowOff>
    </xdr:to>
    <xdr:sp macro="" textlink="">
      <xdr:nvSpPr>
        <xdr:cNvPr id="2" name="Retângulo 1">
          <a:extLst>
            <a:ext uri="{FF2B5EF4-FFF2-40B4-BE49-F238E27FC236}">
              <a16:creationId xmlns:a16="http://schemas.microsoft.com/office/drawing/2014/main" id="{5F19C9E2-3E7A-49AC-A821-35F32384CA5D}"/>
            </a:ext>
          </a:extLst>
        </xdr:cNvPr>
        <xdr:cNvSpPr/>
      </xdr:nvSpPr>
      <xdr:spPr>
        <a:xfrm>
          <a:off x="17719302" y="126769"/>
          <a:ext cx="10581854" cy="944793"/>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en-US" sz="1100" b="1" i="1">
              <a:solidFill>
                <a:schemeClr val="tx1"/>
              </a:solidFill>
              <a:effectLst/>
              <a:latin typeface="+mn-lt"/>
              <a:ea typeface="+mn-ea"/>
              <a:cs typeface="+mn-cs"/>
            </a:rPr>
            <a:t>Hapvida Participações e Investimentos S.A</a:t>
          </a:r>
          <a:r>
            <a:rPr lang="en-US" sz="1100" i="1">
              <a:solidFill>
                <a:schemeClr val="tx1"/>
              </a:solidFill>
              <a:effectLst/>
              <a:latin typeface="+mn-lt"/>
              <a:ea typeface="+mn-ea"/>
              <a:cs typeface="+mn-cs"/>
            </a:rPr>
            <a:t>. informs its shareholders and the market in general that the financial information contained in this document derives from the audited financial statements, relating to three</a:t>
          </a:r>
          <a:r>
            <a:rPr lang="en-US" sz="1100" i="1" baseline="0">
              <a:solidFill>
                <a:schemeClr val="tx1"/>
              </a:solidFill>
              <a:effectLst/>
              <a:latin typeface="+mn-lt"/>
              <a:ea typeface="+mn-ea"/>
              <a:cs typeface="+mn-cs"/>
            </a:rPr>
            <a:t> </a:t>
          </a:r>
          <a:r>
            <a:rPr lang="en-US" sz="1100" i="1">
              <a:solidFill>
                <a:schemeClr val="tx1"/>
              </a:solidFill>
              <a:effectLst/>
              <a:latin typeface="+mn-lt"/>
              <a:ea typeface="+mn-ea"/>
              <a:cs typeface="+mn-cs"/>
            </a:rPr>
            <a:t>months period ended on March </a:t>
          </a:r>
          <a:r>
            <a:rPr lang="en-US" sz="1100" i="1" baseline="0">
              <a:solidFill>
                <a:schemeClr val="tx1"/>
              </a:solidFill>
              <a:effectLst/>
              <a:latin typeface="+mn-lt"/>
              <a:ea typeface="+mn-ea"/>
              <a:cs typeface="+mn-cs"/>
            </a:rPr>
            <a:t>31</a:t>
          </a:r>
          <a:r>
            <a:rPr lang="en-US" sz="1100" i="1">
              <a:solidFill>
                <a:schemeClr val="tx1"/>
              </a:solidFill>
              <a:effectLst/>
              <a:latin typeface="+mn-lt"/>
              <a:ea typeface="+mn-ea"/>
              <a:cs typeface="+mn-cs"/>
            </a:rPr>
            <a:t>, 2026, prepared in accordance with IFRS 4 – Contracts of Insurance, internalized in Brazil by CPC 11, which were disclosed, for the purposes of monitoring business performance and comparability between periods. Therefore, this financial information does not consider the accounting standard currently in force, IFRS 17 – Insurance Contracts, internalized in Brazil by CPC 50, which must be considered for all purposes of applicable legislation and regulations, and which will result in financial information different from that presented in this material.</a:t>
          </a:r>
          <a:endParaRPr lang="pt-BR" i="1">
            <a:solidFill>
              <a:schemeClr val="tx1"/>
            </a:solidFill>
            <a:effectLst/>
          </a:endParaRPr>
        </a:p>
      </xdr:txBody>
    </xdr:sp>
    <xdr:clientData/>
  </xdr:twoCellAnchor>
  <xdr:twoCellAnchor editAs="oneCell">
    <xdr:from>
      <xdr:col>0</xdr:col>
      <xdr:colOff>59531</xdr:colOff>
      <xdr:row>0</xdr:row>
      <xdr:rowOff>35719</xdr:rowOff>
    </xdr:from>
    <xdr:to>
      <xdr:col>1</xdr:col>
      <xdr:colOff>1666874</xdr:colOff>
      <xdr:row>5</xdr:row>
      <xdr:rowOff>154780</xdr:rowOff>
    </xdr:to>
    <xdr:pic>
      <xdr:nvPicPr>
        <xdr:cNvPr id="5" name="Imagem 4">
          <a:extLst>
            <a:ext uri="{FF2B5EF4-FFF2-40B4-BE49-F238E27FC236}">
              <a16:creationId xmlns:a16="http://schemas.microsoft.com/office/drawing/2014/main" id="{AA15CCDD-C55B-4B2E-ACC6-3C687CD31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35719"/>
          <a:ext cx="1785937" cy="9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1862137</xdr:colOff>
      <xdr:row>5</xdr:row>
      <xdr:rowOff>95249</xdr:rowOff>
    </xdr:to>
    <xdr:pic>
      <xdr:nvPicPr>
        <xdr:cNvPr id="2" name="Imagem 1">
          <a:extLst>
            <a:ext uri="{FF2B5EF4-FFF2-40B4-BE49-F238E27FC236}">
              <a16:creationId xmlns:a16="http://schemas.microsoft.com/office/drawing/2014/main" id="{AF429F77-0B64-4E25-8191-6B548C8DA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0"/>
          <a:ext cx="1785937" cy="9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139390</xdr:colOff>
      <xdr:row>0</xdr:row>
      <xdr:rowOff>0</xdr:rowOff>
    </xdr:from>
    <xdr:to>
      <xdr:col>2</xdr:col>
      <xdr:colOff>1205144</xdr:colOff>
      <xdr:row>5</xdr:row>
      <xdr:rowOff>81310</xdr:rowOff>
    </xdr:to>
    <xdr:pic>
      <xdr:nvPicPr>
        <xdr:cNvPr id="2" name="Imagem 1">
          <a:extLst>
            <a:ext uri="{FF2B5EF4-FFF2-40B4-BE49-F238E27FC236}">
              <a16:creationId xmlns:a16="http://schemas.microsoft.com/office/drawing/2014/main" id="{5FB2F757-9761-4747-9852-E9870622F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933" y="0"/>
          <a:ext cx="1785937" cy="95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cordeiro\Documents\One%20Drive\OneDrive%20-%20HAPVIDA%20ASSIST&#202;NCIA%20M&#201;DICA%20LTDA\&#193;rea%20de%20Trabalho\C&#243;pia%20de%202T25_Suporte.xlsx" TargetMode="External"/><Relationship Id="rId1" Type="http://schemas.openxmlformats.org/officeDocument/2006/relationships/externalLinkPath" Target="file:///C:\Users\ana.cordeiro\Documents\One%20Drive\OneDrive%20-%20HAPVIDA%20ASSIST&#202;NCIA%20M&#201;DICA%20LTDA\&#193;rea%20de%20Trabalho\C&#243;pia%20de%202T25_Supor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tórios &gt;&gt;&gt;"/>
      <sheetName val="Resumo"/>
      <sheetName val="Resumo_webcast"/>
      <sheetName val="Quadros_1"/>
      <sheetName val="Quadros_2"/>
      <sheetName val="Quadros_2_WEBCAST"/>
      <sheetName val="Planilha1"/>
      <sheetName val="Quadros"/>
      <sheetName val="Net_Debt"/>
      <sheetName val="DRE_1"/>
      <sheetName val="DRE_1 Ajuste"/>
      <sheetName val="BP_1"/>
      <sheetName val="DFC_1"/>
      <sheetName val="IR"/>
      <sheetName val="IR (2)"/>
      <sheetName val="MIX"/>
      <sheetName val="MIX (2)"/>
      <sheetName val="MIX (3)"/>
      <sheetName val="BASES&gt;&gt;&gt;"/>
      <sheetName val="DRE_Base"/>
      <sheetName val="DRE_EX_AJUSTE"/>
      <sheetName val="HAPV_Base"/>
      <sheetName val="NEWCO_Base"/>
      <sheetName val="NDI Beneficiarios"/>
      <sheetName val="HAPV Beneficiarios"/>
      <sheetName val="Contingencias_3T24"/>
      <sheetName val="Contingencias_4T24"/>
      <sheetName val="Contingencias_4T24 (2)"/>
      <sheetName val="Contingencias_4T24 (3)"/>
      <sheetName val="Planilha2"/>
      <sheetName val="IGR"/>
      <sheetName val="GNDI_Base"/>
      <sheetName val="AGIO_1T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9">
          <cell r="B9">
            <v>6991.4468534199987</v>
          </cell>
        </row>
        <row r="12">
          <cell r="I12">
            <v>8.374265443923619</v>
          </cell>
          <cell r="J12">
            <v>9.0211502413270637</v>
          </cell>
          <cell r="K12">
            <v>13.087229720960806</v>
          </cell>
          <cell r="L12">
            <v>14.956422558780915</v>
          </cell>
          <cell r="M12">
            <v>15.642656800000012</v>
          </cell>
          <cell r="N12">
            <v>15.819702670000012</v>
          </cell>
        </row>
        <row r="13">
          <cell r="I13">
            <v>247.17615867466702</v>
          </cell>
          <cell r="J13">
            <v>217.73790889339671</v>
          </cell>
          <cell r="K13">
            <v>248.57533388280626</v>
          </cell>
          <cell r="L13">
            <v>229.14130746876799</v>
          </cell>
          <cell r="M13">
            <v>241.66440258999955</v>
          </cell>
          <cell r="N13">
            <v>223.82124475000001</v>
          </cell>
        </row>
        <row r="32">
          <cell r="M32">
            <v>0.55877156999999977</v>
          </cell>
          <cell r="N32">
            <v>0.30401887999999921</v>
          </cell>
        </row>
        <row r="33">
          <cell r="I33">
            <v>-0.89141598344338036</v>
          </cell>
          <cell r="J33">
            <v>-0.35133321174879484</v>
          </cell>
          <cell r="K33">
            <v>0.11092430872321302</v>
          </cell>
          <cell r="L33">
            <v>3.4947583458233566E-6</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theme="0" tint="-4.9989318521683403E-2"/>
  </sheetPr>
  <dimension ref="A1:F26"/>
  <sheetViews>
    <sheetView showGridLines="0" zoomScale="91" zoomScaleNormal="91" workbookViewId="0">
      <selection activeCell="E1" sqref="E1"/>
    </sheetView>
  </sheetViews>
  <sheetFormatPr defaultColWidth="0" defaultRowHeight="13.15" zeroHeight="1"/>
  <cols>
    <col min="1" max="1" width="2.73046875" style="1" customWidth="1"/>
    <col min="2" max="2" width="7.73046875" style="1" customWidth="1"/>
    <col min="3" max="3" width="11.86328125" style="1" customWidth="1"/>
    <col min="4" max="4" width="6.1328125" style="1" customWidth="1"/>
    <col min="5" max="5" width="29.73046875" style="1" bestFit="1" customWidth="1"/>
    <col min="6" max="6" width="2.73046875" style="1" customWidth="1"/>
    <col min="7" max="16384" width="10.73046875" style="1" hidden="1"/>
  </cols>
  <sheetData>
    <row r="1" spans="2:5"/>
    <row r="2" spans="2:5"/>
    <row r="3" spans="2:5"/>
    <row r="4" spans="2:5"/>
    <row r="5" spans="2:5" ht="13.5">
      <c r="B5" s="213" t="s">
        <v>0</v>
      </c>
      <c r="C5" s="214"/>
      <c r="E5" s="148" t="s">
        <v>1</v>
      </c>
    </row>
    <row r="6" spans="2:5" ht="13.5">
      <c r="B6" s="215"/>
      <c r="C6" s="211" t="s">
        <v>2</v>
      </c>
      <c r="E6" s="150" t="s">
        <v>880</v>
      </c>
    </row>
    <row r="7" spans="2:5">
      <c r="B7" s="215"/>
      <c r="C7" s="211"/>
      <c r="E7" s="151" t="s">
        <v>881</v>
      </c>
    </row>
    <row r="8" spans="2:5" ht="5.25" customHeight="1">
      <c r="B8" s="149"/>
      <c r="C8" s="152"/>
      <c r="E8" s="151"/>
    </row>
    <row r="9" spans="2:5" ht="12.75" customHeight="1">
      <c r="B9" s="215"/>
      <c r="C9" s="211" t="s">
        <v>3</v>
      </c>
      <c r="E9" s="150" t="s">
        <v>4</v>
      </c>
    </row>
    <row r="10" spans="2:5">
      <c r="B10" s="216"/>
      <c r="C10" s="212"/>
      <c r="E10" s="151" t="s">
        <v>5</v>
      </c>
    </row>
    <row r="11" spans="2:5" ht="6" customHeight="1">
      <c r="E11" s="151"/>
    </row>
    <row r="12" spans="2:5" ht="14.25" customHeight="1">
      <c r="C12" s="153"/>
      <c r="E12" s="150" t="s">
        <v>6</v>
      </c>
    </row>
    <row r="13" spans="2:5" ht="13.5">
      <c r="C13" s="153"/>
      <c r="E13" s="151" t="s">
        <v>7</v>
      </c>
    </row>
    <row r="14" spans="2:5" ht="2.25" customHeight="1">
      <c r="C14" s="153"/>
      <c r="E14" s="154"/>
    </row>
    <row r="15" spans="2:5" ht="13.5">
      <c r="C15" s="153"/>
      <c r="E15" s="151" t="s">
        <v>8</v>
      </c>
    </row>
    <row r="16" spans="2:5" ht="6.75" customHeight="1">
      <c r="C16" s="153"/>
      <c r="E16" s="155"/>
    </row>
    <row r="17" spans="3:3" ht="13.5">
      <c r="C17" s="153"/>
    </row>
    <row r="18" spans="3:3"/>
    <row r="19" spans="3:3"/>
    <row r="20" spans="3:3"/>
    <row r="21" spans="3:3"/>
    <row r="22" spans="3:3"/>
    <row r="23" spans="3:3"/>
    <row r="24" spans="3:3"/>
    <row r="25" spans="3:3"/>
    <row r="26" spans="3:3"/>
  </sheetData>
  <mergeCells count="5">
    <mergeCell ref="C6:C7"/>
    <mergeCell ref="C9:C10"/>
    <mergeCell ref="B5:C5"/>
    <mergeCell ref="B6:B7"/>
    <mergeCell ref="B9:B10"/>
  </mergeCells>
  <hyperlinks>
    <hyperlink ref="C6:C7" location="Português!A1" display="Português" xr:uid="{00000000-0004-0000-0000-000000000000}"/>
    <hyperlink ref="C9:C10" location="English!A1" display="English" xr:uid="{00000000-0004-0000-0000-000001000000}"/>
  </hyperlinks>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theme="0" tint="-4.9989318521683403E-2"/>
    <outlinePr summaryBelow="0"/>
  </sheetPr>
  <dimension ref="A4:BE320"/>
  <sheetViews>
    <sheetView showGridLines="0" zoomScale="77" zoomScaleNormal="77" workbookViewId="0">
      <pane xSplit="3" ySplit="8" topLeftCell="AM70" activePane="bottomRight" state="frozen"/>
      <selection pane="topRight" activeCell="AD219" sqref="AD219"/>
      <selection pane="bottomLeft" activeCell="AD219" sqref="AD219"/>
      <selection pane="bottomRight" activeCell="A80" sqref="A80:XFD80"/>
    </sheetView>
  </sheetViews>
  <sheetFormatPr defaultColWidth="10.73046875" defaultRowHeight="13.15" outlineLevelRow="3"/>
  <cols>
    <col min="1" max="1" width="2.73046875" style="1" customWidth="1"/>
    <col min="2" max="2" width="96.3984375" style="1" customWidth="1"/>
    <col min="3" max="3" width="12.1328125" style="1" bestFit="1" customWidth="1"/>
    <col min="4" max="7" width="10.73046875" style="1" hidden="1" customWidth="1"/>
    <col min="8" max="8" width="16.86328125" style="1" customWidth="1"/>
    <col min="9" max="9" width="12.265625" style="1" customWidth="1"/>
    <col min="10" max="11" width="12.1328125" style="1" customWidth="1"/>
    <col min="12" max="12" width="13.73046875" style="1" customWidth="1"/>
    <col min="13" max="13" width="17.86328125" style="1" bestFit="1" customWidth="1"/>
    <col min="14" max="14" width="16.3984375" style="1" customWidth="1"/>
    <col min="15" max="15" width="13.1328125" style="1" customWidth="1"/>
    <col min="16" max="16" width="12.1328125" style="1" customWidth="1"/>
    <col min="17" max="17" width="14.3984375" style="1" bestFit="1" customWidth="1"/>
    <col min="18" max="18" width="14.86328125" style="1" customWidth="1"/>
    <col min="19" max="19" width="13.3984375" style="1" customWidth="1"/>
    <col min="20" max="31" width="12.265625" style="1" customWidth="1"/>
    <col min="32" max="33" width="12.3984375" style="1" customWidth="1"/>
    <col min="34" max="34" width="14" style="1" customWidth="1"/>
    <col min="35" max="35" width="14.59765625" style="1" customWidth="1"/>
    <col min="36" max="36" width="14" style="1" customWidth="1"/>
    <col min="37" max="37" width="14.59765625" style="1" customWidth="1"/>
    <col min="38" max="38" width="14" style="1" customWidth="1"/>
    <col min="39" max="44" width="13.86328125" style="1" customWidth="1"/>
    <col min="45" max="45" width="22" style="1" bestFit="1" customWidth="1"/>
    <col min="46" max="46" width="12.59765625" style="1" bestFit="1" customWidth="1"/>
    <col min="47" max="47" width="13" style="1" bestFit="1" customWidth="1"/>
    <col min="48" max="48" width="13.1328125" style="1" bestFit="1" customWidth="1"/>
    <col min="49" max="49" width="13" style="1" bestFit="1" customWidth="1"/>
    <col min="50" max="50" width="13.1328125" style="1" bestFit="1" customWidth="1"/>
    <col min="51" max="51" width="14" style="1" bestFit="1" customWidth="1"/>
    <col min="52" max="52" width="16.59765625" style="1" bestFit="1" customWidth="1"/>
    <col min="53" max="53" width="13.59765625" style="1" bestFit="1" customWidth="1"/>
    <col min="54" max="54" width="13.59765625" style="1" customWidth="1"/>
    <col min="55" max="55" width="14.59765625" style="1" bestFit="1" customWidth="1"/>
    <col min="56" max="16384" width="10.73046875" style="1"/>
  </cols>
  <sheetData>
    <row r="4" spans="1:54" ht="13.5">
      <c r="B4" s="2"/>
    </row>
    <row r="6" spans="1:54">
      <c r="H6" s="3"/>
      <c r="I6" s="3"/>
      <c r="J6" s="3"/>
      <c r="K6" s="3"/>
      <c r="L6" s="3"/>
      <c r="M6" s="3"/>
      <c r="N6" s="3"/>
      <c r="O6" s="3"/>
    </row>
    <row r="7" spans="1:54" s="5" customFormat="1" ht="15.75">
      <c r="A7" s="1"/>
      <c r="B7" s="4" t="s">
        <v>9</v>
      </c>
    </row>
    <row r="8" spans="1:54" ht="13.5">
      <c r="B8" s="6" t="s">
        <v>10</v>
      </c>
      <c r="C8" s="6" t="s">
        <v>11</v>
      </c>
      <c r="D8" s="6" t="s">
        <v>12</v>
      </c>
      <c r="E8" s="6" t="s">
        <v>13</v>
      </c>
      <c r="F8" s="6" t="s">
        <v>14</v>
      </c>
      <c r="G8" s="6" t="s">
        <v>15</v>
      </c>
      <c r="H8" s="6" t="s">
        <v>16</v>
      </c>
      <c r="I8" s="6" t="s">
        <v>17</v>
      </c>
      <c r="J8" s="6" t="s">
        <v>18</v>
      </c>
      <c r="K8" s="6" t="s">
        <v>19</v>
      </c>
      <c r="L8" s="6" t="s">
        <v>20</v>
      </c>
      <c r="M8" s="6" t="s">
        <v>21</v>
      </c>
      <c r="N8" s="6" t="s">
        <v>22</v>
      </c>
      <c r="O8" s="6" t="s">
        <v>23</v>
      </c>
      <c r="P8" s="6" t="s">
        <v>24</v>
      </c>
      <c r="Q8" s="7" t="s">
        <v>25</v>
      </c>
      <c r="R8" s="6" t="s">
        <v>26</v>
      </c>
      <c r="S8" s="6" t="s">
        <v>27</v>
      </c>
      <c r="T8" s="6" t="s">
        <v>28</v>
      </c>
      <c r="U8" s="6" t="s">
        <v>29</v>
      </c>
      <c r="V8" s="6" t="s">
        <v>30</v>
      </c>
      <c r="W8" s="8" t="s">
        <v>31</v>
      </c>
      <c r="X8" s="8" t="s">
        <v>32</v>
      </c>
      <c r="Y8" s="8" t="s">
        <v>33</v>
      </c>
      <c r="Z8" s="8" t="s">
        <v>34</v>
      </c>
      <c r="AA8" s="8" t="s">
        <v>35</v>
      </c>
      <c r="AB8" s="8" t="s">
        <v>36</v>
      </c>
      <c r="AC8" s="8" t="s">
        <v>37</v>
      </c>
      <c r="AD8" s="8" t="s">
        <v>38</v>
      </c>
      <c r="AE8" s="9" t="s">
        <v>39</v>
      </c>
      <c r="AF8" s="8" t="s">
        <v>40</v>
      </c>
      <c r="AG8" s="8" t="s">
        <v>41</v>
      </c>
      <c r="AH8" s="8" t="s">
        <v>42</v>
      </c>
      <c r="AI8" s="8" t="s">
        <v>43</v>
      </c>
      <c r="AJ8" s="8" t="s">
        <v>44</v>
      </c>
      <c r="AK8" s="8" t="s">
        <v>45</v>
      </c>
      <c r="AL8" s="8" t="s">
        <v>46</v>
      </c>
      <c r="AM8" s="8" t="s">
        <v>47</v>
      </c>
      <c r="AN8" s="8" t="s">
        <v>48</v>
      </c>
      <c r="AO8" s="8" t="s">
        <v>49</v>
      </c>
      <c r="AP8" s="8" t="s">
        <v>50</v>
      </c>
      <c r="AQ8" s="8" t="s">
        <v>51</v>
      </c>
      <c r="AR8" s="8" t="s">
        <v>309</v>
      </c>
      <c r="AT8" s="6">
        <v>2017</v>
      </c>
      <c r="AU8" s="6">
        <v>2018</v>
      </c>
      <c r="AV8" s="6">
        <v>2019</v>
      </c>
      <c r="AW8" s="6">
        <v>2020</v>
      </c>
      <c r="AX8" s="6">
        <v>2021</v>
      </c>
      <c r="AY8" s="6">
        <v>2022</v>
      </c>
      <c r="AZ8" s="6">
        <v>2023</v>
      </c>
      <c r="BA8" s="6">
        <v>2024</v>
      </c>
      <c r="BB8" s="6">
        <v>2025</v>
      </c>
    </row>
    <row r="9" spans="1:54" s="13" customFormat="1" ht="13.5" outlineLevel="2">
      <c r="A9" s="1"/>
      <c r="B9" s="10" t="s">
        <v>52</v>
      </c>
      <c r="C9" s="10" t="s">
        <v>53</v>
      </c>
      <c r="D9" s="11"/>
      <c r="E9" s="11"/>
      <c r="F9" s="11"/>
      <c r="G9" s="11"/>
      <c r="H9" s="11">
        <f>SUM(H10,H12:H14)</f>
        <v>184</v>
      </c>
      <c r="I9" s="11">
        <f>SUM(I10,I12:I14)</f>
        <v>188</v>
      </c>
      <c r="J9" s="11">
        <f>SUM(J10,J12:J14)</f>
        <v>192</v>
      </c>
      <c r="K9" s="11">
        <f t="shared" ref="K9:Q9" si="0">SUM(K10,K12:K14)</f>
        <v>197</v>
      </c>
      <c r="L9" s="11">
        <f t="shared" si="0"/>
        <v>201</v>
      </c>
      <c r="M9" s="11">
        <f t="shared" si="0"/>
        <v>202</v>
      </c>
      <c r="N9" s="11">
        <f t="shared" si="0"/>
        <v>204</v>
      </c>
      <c r="O9" s="11">
        <f t="shared" si="0"/>
        <v>204</v>
      </c>
      <c r="P9" s="11">
        <f t="shared" si="0"/>
        <v>205</v>
      </c>
      <c r="Q9" s="11">
        <f t="shared" si="0"/>
        <v>216</v>
      </c>
      <c r="R9" s="12">
        <f t="shared" ref="R9:X9" si="1">SUM(R10,R12:R14)</f>
        <v>220</v>
      </c>
      <c r="S9" s="12">
        <f t="shared" si="1"/>
        <v>445</v>
      </c>
      <c r="T9" s="12">
        <f t="shared" si="1"/>
        <v>452</v>
      </c>
      <c r="U9" s="12">
        <f t="shared" si="1"/>
        <v>438</v>
      </c>
      <c r="V9" s="12">
        <f t="shared" si="1"/>
        <v>446</v>
      </c>
      <c r="W9" s="12">
        <f t="shared" si="1"/>
        <v>464</v>
      </c>
      <c r="X9" s="12">
        <f t="shared" si="1"/>
        <v>457</v>
      </c>
      <c r="Y9" s="12">
        <f>SUM(Y10,Y12:Y14)</f>
        <v>465</v>
      </c>
      <c r="Z9" s="12">
        <f>SUM(Z10,Z12:Z14)</f>
        <v>475</v>
      </c>
      <c r="AA9" s="12">
        <f>SUM(AA10,AA12:AA14)</f>
        <v>481</v>
      </c>
      <c r="AB9" s="12">
        <f>SUM(AB10,AB12:AB14)</f>
        <v>749</v>
      </c>
      <c r="AC9" s="12">
        <f>SUM(AC10,AC12:AC14)</f>
        <v>756</v>
      </c>
      <c r="AD9" s="12">
        <f t="shared" ref="AD9:AN9" si="2">SUM(AD10,AD12:AD14)</f>
        <v>760</v>
      </c>
      <c r="AE9" s="12">
        <f t="shared" si="2"/>
        <v>761</v>
      </c>
      <c r="AF9" s="12">
        <f t="shared" si="2"/>
        <v>766</v>
      </c>
      <c r="AG9" s="12">
        <f t="shared" si="2"/>
        <v>764</v>
      </c>
      <c r="AH9" s="12">
        <f t="shared" si="2"/>
        <v>762</v>
      </c>
      <c r="AI9" s="12">
        <f t="shared" si="2"/>
        <v>796</v>
      </c>
      <c r="AJ9" s="12">
        <f t="shared" si="2"/>
        <v>801</v>
      </c>
      <c r="AK9" s="12">
        <f t="shared" si="2"/>
        <v>803</v>
      </c>
      <c r="AL9" s="12">
        <f t="shared" si="2"/>
        <v>794</v>
      </c>
      <c r="AM9" s="12">
        <f t="shared" si="2"/>
        <v>807</v>
      </c>
      <c r="AN9" s="12">
        <f t="shared" si="2"/>
        <v>815</v>
      </c>
      <c r="AO9" s="12">
        <f>SUM(AO10,AO12:AO14)</f>
        <v>831</v>
      </c>
      <c r="AP9" s="12">
        <f>SUM(AP10,AP12:AP14)</f>
        <v>832</v>
      </c>
      <c r="AQ9" s="12">
        <f>SUM(AQ10,AQ12:AQ14)</f>
        <v>832</v>
      </c>
      <c r="AR9" s="12">
        <f>SUM(AR10,AR12:AR14)</f>
        <v>839</v>
      </c>
    </row>
    <row r="10" spans="1:54" s="13" customFormat="1" outlineLevel="3">
      <c r="A10" s="1"/>
      <c r="B10" s="14" t="s">
        <v>54</v>
      </c>
      <c r="C10" s="1" t="s">
        <v>53</v>
      </c>
      <c r="D10" s="15"/>
      <c r="E10" s="15"/>
      <c r="F10" s="15"/>
      <c r="G10" s="15"/>
      <c r="H10" s="15">
        <v>21</v>
      </c>
      <c r="I10" s="16">
        <v>22</v>
      </c>
      <c r="J10" s="16">
        <v>24</v>
      </c>
      <c r="K10" s="15">
        <v>25</v>
      </c>
      <c r="L10" s="15">
        <v>25</v>
      </c>
      <c r="M10" s="15">
        <v>25</v>
      </c>
      <c r="N10" s="15">
        <v>26</v>
      </c>
      <c r="O10" s="15">
        <v>26</v>
      </c>
      <c r="P10" s="15">
        <v>26</v>
      </c>
      <c r="Q10" s="15">
        <v>27</v>
      </c>
      <c r="R10" s="15">
        <v>28</v>
      </c>
      <c r="S10" s="15">
        <v>39</v>
      </c>
      <c r="T10" s="15">
        <v>39</v>
      </c>
      <c r="U10" s="15">
        <v>39</v>
      </c>
      <c r="V10" s="15">
        <v>41</v>
      </c>
      <c r="W10" s="15">
        <v>45</v>
      </c>
      <c r="X10" s="15">
        <v>45</v>
      </c>
      <c r="Y10" s="15">
        <v>47</v>
      </c>
      <c r="Z10" s="15">
        <v>47</v>
      </c>
      <c r="AA10" s="15">
        <v>49</v>
      </c>
      <c r="AB10" s="15">
        <v>85</v>
      </c>
      <c r="AC10" s="15">
        <v>87</v>
      </c>
      <c r="AD10" s="15">
        <v>87</v>
      </c>
      <c r="AE10" s="17">
        <v>87</v>
      </c>
      <c r="AF10" s="17">
        <v>84</v>
      </c>
      <c r="AG10" s="17">
        <v>85</v>
      </c>
      <c r="AH10" s="17">
        <v>85</v>
      </c>
      <c r="AI10" s="17">
        <v>87</v>
      </c>
      <c r="AJ10" s="17">
        <v>86</v>
      </c>
      <c r="AK10" s="17">
        <v>85</v>
      </c>
      <c r="AL10" s="17">
        <v>85</v>
      </c>
      <c r="AM10" s="17">
        <v>86</v>
      </c>
      <c r="AN10" s="17">
        <v>87</v>
      </c>
      <c r="AO10" s="17">
        <v>85</v>
      </c>
      <c r="AP10" s="17">
        <v>86</v>
      </c>
      <c r="AQ10" s="17">
        <v>85</v>
      </c>
      <c r="AR10" s="17">
        <v>84</v>
      </c>
      <c r="AS10" s="19"/>
    </row>
    <row r="11" spans="1:54" s="13" customFormat="1" outlineLevel="3">
      <c r="A11" s="1"/>
      <c r="B11" s="18" t="s">
        <v>55</v>
      </c>
      <c r="C11" s="1" t="s">
        <v>53</v>
      </c>
      <c r="D11" s="15"/>
      <c r="E11" s="15"/>
      <c r="F11" s="15"/>
      <c r="G11" s="15"/>
      <c r="H11" s="15">
        <v>1276</v>
      </c>
      <c r="I11" s="15">
        <v>1346</v>
      </c>
      <c r="J11" s="15">
        <v>1432</v>
      </c>
      <c r="K11" s="15">
        <v>1485</v>
      </c>
      <c r="L11" s="15">
        <v>1671</v>
      </c>
      <c r="M11" s="15">
        <v>1698</v>
      </c>
      <c r="N11" s="15">
        <v>1789</v>
      </c>
      <c r="O11" s="15">
        <v>1836</v>
      </c>
      <c r="P11" s="15">
        <v>1823</v>
      </c>
      <c r="Q11" s="15">
        <v>1873</v>
      </c>
      <c r="R11" s="15">
        <v>1842</v>
      </c>
      <c r="S11" s="15">
        <v>2635</v>
      </c>
      <c r="T11" s="15">
        <v>2754</v>
      </c>
      <c r="U11" s="15">
        <v>3063</v>
      </c>
      <c r="V11" s="15">
        <v>2939</v>
      </c>
      <c r="W11" s="15">
        <v>3240</v>
      </c>
      <c r="X11" s="15">
        <v>3876</v>
      </c>
      <c r="Y11" s="15">
        <v>3570</v>
      </c>
      <c r="Z11" s="15">
        <v>2988</v>
      </c>
      <c r="AA11" s="15">
        <v>3028</v>
      </c>
      <c r="AB11" s="15">
        <v>5933</v>
      </c>
      <c r="AC11" s="15">
        <v>6116</v>
      </c>
      <c r="AD11" s="15">
        <v>5764</v>
      </c>
      <c r="AE11" s="17">
        <v>5338</v>
      </c>
      <c r="AF11" s="17">
        <v>5601</v>
      </c>
      <c r="AG11" s="17">
        <v>5695</v>
      </c>
      <c r="AH11" s="17">
        <v>5704</v>
      </c>
      <c r="AI11" s="17">
        <v>5587</v>
      </c>
      <c r="AJ11" s="17">
        <v>5740</v>
      </c>
      <c r="AK11" s="17">
        <v>5954</v>
      </c>
      <c r="AL11" s="17">
        <v>5823</v>
      </c>
      <c r="AM11" s="17">
        <v>5894</v>
      </c>
      <c r="AN11" s="17">
        <v>6139</v>
      </c>
      <c r="AO11" s="17">
        <v>6286</v>
      </c>
      <c r="AP11" s="17">
        <v>6158</v>
      </c>
      <c r="AQ11" s="17">
        <v>5983</v>
      </c>
      <c r="AR11" s="17">
        <v>6217</v>
      </c>
      <c r="AS11" s="19"/>
    </row>
    <row r="12" spans="1:54" s="13" customFormat="1" outlineLevel="3">
      <c r="A12" s="1"/>
      <c r="B12" s="14" t="s">
        <v>56</v>
      </c>
      <c r="C12" s="1" t="s">
        <v>53</v>
      </c>
      <c r="D12" s="15"/>
      <c r="E12" s="15"/>
      <c r="F12" s="15"/>
      <c r="G12" s="15"/>
      <c r="H12" s="15">
        <v>18</v>
      </c>
      <c r="I12" s="16">
        <v>19</v>
      </c>
      <c r="J12" s="16">
        <v>19</v>
      </c>
      <c r="K12" s="15">
        <v>18</v>
      </c>
      <c r="L12" s="15">
        <v>19</v>
      </c>
      <c r="M12" s="15">
        <v>19</v>
      </c>
      <c r="N12" s="15">
        <v>19</v>
      </c>
      <c r="O12" s="15">
        <v>19</v>
      </c>
      <c r="P12" s="15">
        <v>20</v>
      </c>
      <c r="Q12" s="15">
        <v>19</v>
      </c>
      <c r="R12" s="15">
        <v>19</v>
      </c>
      <c r="S12" s="15">
        <v>42</v>
      </c>
      <c r="T12" s="15">
        <v>42</v>
      </c>
      <c r="U12" s="15">
        <v>41</v>
      </c>
      <c r="V12" s="15">
        <v>42</v>
      </c>
      <c r="W12" s="15">
        <v>46</v>
      </c>
      <c r="X12" s="15">
        <v>45</v>
      </c>
      <c r="Y12" s="15">
        <v>47</v>
      </c>
      <c r="Z12" s="15">
        <v>49</v>
      </c>
      <c r="AA12" s="15">
        <v>49</v>
      </c>
      <c r="AB12" s="15">
        <v>77</v>
      </c>
      <c r="AC12" s="15">
        <v>76</v>
      </c>
      <c r="AD12" s="15">
        <v>76</v>
      </c>
      <c r="AE12" s="17">
        <v>75</v>
      </c>
      <c r="AF12" s="17">
        <v>78</v>
      </c>
      <c r="AG12" s="17">
        <v>77</v>
      </c>
      <c r="AH12" s="17">
        <v>77</v>
      </c>
      <c r="AI12" s="17">
        <v>77</v>
      </c>
      <c r="AJ12" s="17">
        <v>76</v>
      </c>
      <c r="AK12" s="17">
        <v>77</v>
      </c>
      <c r="AL12" s="17">
        <v>77</v>
      </c>
      <c r="AM12" s="17">
        <v>77</v>
      </c>
      <c r="AN12" s="17">
        <v>78</v>
      </c>
      <c r="AO12" s="17">
        <v>80</v>
      </c>
      <c r="AP12" s="17">
        <v>78</v>
      </c>
      <c r="AQ12" s="17">
        <v>74</v>
      </c>
      <c r="AR12" s="17">
        <v>75</v>
      </c>
      <c r="AS12" s="19"/>
    </row>
    <row r="13" spans="1:54" s="13" customFormat="1" outlineLevel="3">
      <c r="A13" s="1"/>
      <c r="B13" s="14" t="s">
        <v>57</v>
      </c>
      <c r="C13" s="1" t="s">
        <v>53</v>
      </c>
      <c r="D13" s="15"/>
      <c r="E13" s="15"/>
      <c r="F13" s="15"/>
      <c r="G13" s="15"/>
      <c r="H13" s="15">
        <v>71</v>
      </c>
      <c r="I13" s="16">
        <v>73</v>
      </c>
      <c r="J13" s="16">
        <v>75</v>
      </c>
      <c r="K13" s="15">
        <v>74</v>
      </c>
      <c r="L13" s="15">
        <v>74</v>
      </c>
      <c r="M13" s="15">
        <v>75</v>
      </c>
      <c r="N13" s="15">
        <v>75</v>
      </c>
      <c r="O13" s="15">
        <v>75</v>
      </c>
      <c r="P13" s="15">
        <v>75</v>
      </c>
      <c r="Q13" s="15">
        <v>82</v>
      </c>
      <c r="R13" s="15">
        <v>83</v>
      </c>
      <c r="S13" s="15">
        <v>185</v>
      </c>
      <c r="T13" s="15">
        <v>194</v>
      </c>
      <c r="U13" s="15">
        <v>184</v>
      </c>
      <c r="V13" s="15">
        <v>188</v>
      </c>
      <c r="W13" s="15">
        <v>198</v>
      </c>
      <c r="X13" s="15">
        <v>194</v>
      </c>
      <c r="Y13" s="15">
        <v>199</v>
      </c>
      <c r="Z13" s="15">
        <v>203</v>
      </c>
      <c r="AA13" s="15">
        <v>205</v>
      </c>
      <c r="AB13" s="15">
        <v>318</v>
      </c>
      <c r="AC13" s="15">
        <v>323</v>
      </c>
      <c r="AD13" s="15">
        <v>329</v>
      </c>
      <c r="AE13" s="17">
        <v>328</v>
      </c>
      <c r="AF13" s="17">
        <v>335</v>
      </c>
      <c r="AG13" s="17">
        <v>331</v>
      </c>
      <c r="AH13" s="17">
        <v>331</v>
      </c>
      <c r="AI13" s="17">
        <v>339</v>
      </c>
      <c r="AJ13" s="17">
        <v>345</v>
      </c>
      <c r="AK13" s="17">
        <v>347</v>
      </c>
      <c r="AL13" s="17">
        <v>341</v>
      </c>
      <c r="AM13" s="17">
        <v>352</v>
      </c>
      <c r="AN13" s="17">
        <v>351</v>
      </c>
      <c r="AO13" s="17">
        <v>365</v>
      </c>
      <c r="AP13" s="17">
        <v>363</v>
      </c>
      <c r="AQ13" s="17">
        <v>364</v>
      </c>
      <c r="AR13" s="17">
        <v>367</v>
      </c>
      <c r="AS13" s="19"/>
    </row>
    <row r="14" spans="1:54" s="13" customFormat="1" outlineLevel="2">
      <c r="A14" s="1"/>
      <c r="B14" s="14" t="s">
        <v>58</v>
      </c>
      <c r="C14" s="1" t="s">
        <v>53</v>
      </c>
      <c r="D14" s="15"/>
      <c r="E14" s="15"/>
      <c r="F14" s="15"/>
      <c r="G14" s="15"/>
      <c r="H14" s="15">
        <v>74</v>
      </c>
      <c r="I14" s="16">
        <v>74</v>
      </c>
      <c r="J14" s="16">
        <v>74</v>
      </c>
      <c r="K14" s="15">
        <v>80</v>
      </c>
      <c r="L14" s="15">
        <v>83</v>
      </c>
      <c r="M14" s="15">
        <v>83</v>
      </c>
      <c r="N14" s="15">
        <v>84</v>
      </c>
      <c r="O14" s="15">
        <v>84</v>
      </c>
      <c r="P14" s="15">
        <v>84</v>
      </c>
      <c r="Q14" s="15">
        <v>88</v>
      </c>
      <c r="R14" s="15">
        <v>90</v>
      </c>
      <c r="S14" s="15">
        <v>179</v>
      </c>
      <c r="T14" s="15">
        <v>177</v>
      </c>
      <c r="U14" s="15">
        <v>174</v>
      </c>
      <c r="V14" s="15">
        <v>175</v>
      </c>
      <c r="W14" s="15">
        <v>175</v>
      </c>
      <c r="X14" s="15">
        <v>173</v>
      </c>
      <c r="Y14" s="15">
        <v>172</v>
      </c>
      <c r="Z14" s="15">
        <v>176</v>
      </c>
      <c r="AA14" s="15">
        <v>178</v>
      </c>
      <c r="AB14" s="15">
        <v>269</v>
      </c>
      <c r="AC14" s="15">
        <v>270</v>
      </c>
      <c r="AD14" s="15">
        <v>268</v>
      </c>
      <c r="AE14" s="17">
        <v>271</v>
      </c>
      <c r="AF14" s="17">
        <v>269</v>
      </c>
      <c r="AG14" s="17">
        <v>271</v>
      </c>
      <c r="AH14" s="17">
        <v>269</v>
      </c>
      <c r="AI14" s="17">
        <v>293</v>
      </c>
      <c r="AJ14" s="17">
        <v>294</v>
      </c>
      <c r="AK14" s="17">
        <v>294</v>
      </c>
      <c r="AL14" s="17">
        <v>291</v>
      </c>
      <c r="AM14" s="17">
        <v>292</v>
      </c>
      <c r="AN14" s="17">
        <v>299</v>
      </c>
      <c r="AO14" s="17">
        <v>301</v>
      </c>
      <c r="AP14" s="17">
        <v>305</v>
      </c>
      <c r="AQ14" s="17">
        <v>309</v>
      </c>
      <c r="AR14" s="17">
        <v>313</v>
      </c>
      <c r="AS14" s="19"/>
    </row>
    <row r="15" spans="1:54" s="13" customFormat="1" ht="13.5" outlineLevel="1">
      <c r="A15" s="1"/>
      <c r="B15" s="10" t="s">
        <v>59</v>
      </c>
      <c r="C15" s="10" t="s">
        <v>60</v>
      </c>
      <c r="D15" s="20"/>
      <c r="E15" s="20"/>
      <c r="F15" s="20"/>
      <c r="G15" s="20"/>
      <c r="H15" s="25">
        <v>141.53426826110103</v>
      </c>
      <c r="I15" s="25">
        <v>144.80139232084295</v>
      </c>
      <c r="J15" s="25">
        <v>150.92633867614489</v>
      </c>
      <c r="K15" s="25">
        <v>156.3798879821293</v>
      </c>
      <c r="L15" s="25">
        <v>161.25401270785792</v>
      </c>
      <c r="M15" s="25">
        <v>162.16</v>
      </c>
      <c r="N15" s="25">
        <v>168.69477463852368</v>
      </c>
      <c r="O15" s="25">
        <v>173.15162015709598</v>
      </c>
      <c r="P15" s="25">
        <v>176.27</v>
      </c>
      <c r="Q15" s="25">
        <v>176.51612705805979</v>
      </c>
      <c r="R15" s="25">
        <v>184.4</v>
      </c>
      <c r="S15" s="104">
        <v>191.25</v>
      </c>
      <c r="T15" s="104">
        <v>191.62</v>
      </c>
      <c r="U15" s="104">
        <v>192.98</v>
      </c>
      <c r="V15" s="104">
        <v>198.65</v>
      </c>
      <c r="W15" s="104">
        <v>202.36654510414161</v>
      </c>
      <c r="X15" s="104">
        <v>204.7651528351698</v>
      </c>
      <c r="Y15" s="104">
        <v>203.7939990521549</v>
      </c>
      <c r="Z15" s="104">
        <v>201.27528491947322</v>
      </c>
      <c r="AA15" s="104">
        <v>200.01417281488301</v>
      </c>
      <c r="AB15" s="104">
        <v>217.91392813785549</v>
      </c>
      <c r="AC15" s="104">
        <v>218.39002782641757</v>
      </c>
      <c r="AD15" s="104">
        <v>225.10810600675595</v>
      </c>
      <c r="AE15" s="104">
        <v>231.6</v>
      </c>
      <c r="AF15" s="104">
        <v>236.07</v>
      </c>
      <c r="AG15" s="104">
        <v>245.01</v>
      </c>
      <c r="AH15" s="104">
        <v>251.75963283290841</v>
      </c>
      <c r="AI15" s="104">
        <v>256.5472107891016</v>
      </c>
      <c r="AJ15" s="104">
        <v>260.99</v>
      </c>
      <c r="AK15" s="104">
        <v>267.43</v>
      </c>
      <c r="AL15" s="104">
        <v>275.97221534630626</v>
      </c>
      <c r="AM15" s="104">
        <v>282.76589372166137</v>
      </c>
      <c r="AN15" s="104">
        <v>284.37</v>
      </c>
      <c r="AO15" s="104">
        <v>289.36</v>
      </c>
      <c r="AP15" s="104">
        <v>292.73</v>
      </c>
      <c r="AQ15" s="104">
        <v>301.27999999999997</v>
      </c>
      <c r="AR15" s="104">
        <v>305</v>
      </c>
      <c r="AS15" s="144"/>
      <c r="AT15" s="145"/>
    </row>
    <row r="16" spans="1:54" s="13" customFormat="1" outlineLevel="2">
      <c r="A16" s="1"/>
      <c r="B16" s="14" t="s">
        <v>61</v>
      </c>
      <c r="C16" s="1" t="s">
        <v>60</v>
      </c>
      <c r="D16" s="22"/>
      <c r="E16" s="22"/>
      <c r="F16" s="22"/>
      <c r="G16" s="22"/>
      <c r="H16" s="27">
        <v>207.63863390433954</v>
      </c>
      <c r="I16" s="27">
        <v>213.4577156999556</v>
      </c>
      <c r="J16" s="27">
        <v>227.25818222092008</v>
      </c>
      <c r="K16" s="27">
        <v>235.11375597982766</v>
      </c>
      <c r="L16" s="27">
        <v>242.21998749574081</v>
      </c>
      <c r="M16" s="27">
        <v>246.31504083546977</v>
      </c>
      <c r="N16" s="27">
        <v>254.04427928590204</v>
      </c>
      <c r="O16" s="27">
        <v>264.6329577851601</v>
      </c>
      <c r="P16" s="27">
        <v>265.7727374497984</v>
      </c>
      <c r="Q16" s="27">
        <v>268.42946959086964</v>
      </c>
      <c r="R16" s="27">
        <v>269.77</v>
      </c>
      <c r="S16" s="28">
        <v>285.58999999999997</v>
      </c>
      <c r="T16" s="28">
        <v>280.93</v>
      </c>
      <c r="U16" s="28">
        <v>284.60000000000002</v>
      </c>
      <c r="V16" s="28">
        <v>289.70999999999998</v>
      </c>
      <c r="W16" s="28">
        <v>304.63426485537377</v>
      </c>
      <c r="X16" s="28">
        <v>300.24555747600567</v>
      </c>
      <c r="Y16" s="28">
        <v>307.08513875625306</v>
      </c>
      <c r="Z16" s="28">
        <v>306.08537228549886</v>
      </c>
      <c r="AA16" s="28">
        <v>294.76365359520554</v>
      </c>
      <c r="AB16" s="28">
        <v>299.04410883319167</v>
      </c>
      <c r="AC16" s="28">
        <v>293.90275065204332</v>
      </c>
      <c r="AD16" s="28">
        <v>304.55291086090108</v>
      </c>
      <c r="AE16" s="29">
        <v>315.13360876173357</v>
      </c>
      <c r="AF16" s="29">
        <v>327.60000000000002</v>
      </c>
      <c r="AG16" s="29">
        <v>335.58</v>
      </c>
      <c r="AH16" s="28">
        <v>340.68</v>
      </c>
      <c r="AI16" s="28">
        <v>348.64</v>
      </c>
      <c r="AJ16" s="28">
        <v>362.26</v>
      </c>
      <c r="AK16" s="28">
        <v>371.43</v>
      </c>
      <c r="AL16" s="28">
        <v>380.69</v>
      </c>
      <c r="AM16" s="28">
        <v>393.86</v>
      </c>
      <c r="AN16" s="28">
        <v>404.0453727415437</v>
      </c>
      <c r="AO16" s="28">
        <v>417.79</v>
      </c>
      <c r="AP16" s="28">
        <v>433.63</v>
      </c>
      <c r="AQ16" s="28">
        <v>458.17</v>
      </c>
      <c r="AR16" s="28">
        <v>478.39</v>
      </c>
      <c r="AS16" s="144"/>
      <c r="AT16" s="145"/>
    </row>
    <row r="17" spans="1:46" s="13" customFormat="1" outlineLevel="2">
      <c r="A17" s="1"/>
      <c r="B17" s="14" t="s">
        <v>62</v>
      </c>
      <c r="C17" s="1" t="s">
        <v>60</v>
      </c>
      <c r="D17" s="22"/>
      <c r="E17" s="22"/>
      <c r="F17" s="22"/>
      <c r="G17" s="22"/>
      <c r="H17" s="27">
        <v>115.09387705554722</v>
      </c>
      <c r="I17" s="27">
        <v>117.80955735016715</v>
      </c>
      <c r="J17" s="27">
        <v>121.57609602474113</v>
      </c>
      <c r="K17" s="27">
        <v>126.66180153394831</v>
      </c>
      <c r="L17" s="27">
        <v>131.0194213898429</v>
      </c>
      <c r="M17" s="27">
        <v>130.77674682121696</v>
      </c>
      <c r="N17" s="27">
        <v>137.22771022584837</v>
      </c>
      <c r="O17" s="27">
        <v>139.15433574481489</v>
      </c>
      <c r="P17" s="27">
        <v>142.55000000000001</v>
      </c>
      <c r="Q17" s="27">
        <v>142.4694304925622</v>
      </c>
      <c r="R17" s="27">
        <v>153.32</v>
      </c>
      <c r="S17" s="28" t="s">
        <v>63</v>
      </c>
      <c r="T17" s="28">
        <v>160.33000000000001</v>
      </c>
      <c r="U17" s="28">
        <v>160.63999999999999</v>
      </c>
      <c r="V17" s="28">
        <v>165.98</v>
      </c>
      <c r="W17" s="28">
        <v>165.71295815094527</v>
      </c>
      <c r="X17" s="28">
        <v>170.43305284446765</v>
      </c>
      <c r="Y17" s="28">
        <v>168.51935368117481</v>
      </c>
      <c r="Z17" s="28">
        <v>168.89272689208198</v>
      </c>
      <c r="AA17" s="28">
        <v>171.22190112205766</v>
      </c>
      <c r="AB17" s="28">
        <v>201.35275887652136</v>
      </c>
      <c r="AC17" s="28">
        <v>202.68022596594363</v>
      </c>
      <c r="AD17" s="28">
        <v>208.34430116681366</v>
      </c>
      <c r="AE17" s="29">
        <v>213.98</v>
      </c>
      <c r="AF17" s="29">
        <v>216.91</v>
      </c>
      <c r="AG17" s="29">
        <v>225.8</v>
      </c>
      <c r="AH17" s="28">
        <v>232.55</v>
      </c>
      <c r="AI17" s="28">
        <v>234.02</v>
      </c>
      <c r="AJ17" s="28">
        <v>239.21</v>
      </c>
      <c r="AK17" s="28">
        <v>244.58</v>
      </c>
      <c r="AL17" s="28">
        <v>252.71</v>
      </c>
      <c r="AM17" s="28">
        <v>258.05</v>
      </c>
      <c r="AN17" s="28">
        <v>256.84119738165293</v>
      </c>
      <c r="AO17" s="28">
        <v>262.55</v>
      </c>
      <c r="AP17" s="28">
        <v>263.62</v>
      </c>
      <c r="AQ17" s="28">
        <v>269.58</v>
      </c>
      <c r="AR17" s="28">
        <v>269.69</v>
      </c>
      <c r="AS17" s="144"/>
      <c r="AT17" s="145"/>
    </row>
    <row r="18" spans="1:46" s="13" customFormat="1" ht="13.5" outlineLevel="1" collapsed="1">
      <c r="A18" s="1"/>
      <c r="B18" s="204" t="s">
        <v>64</v>
      </c>
      <c r="C18" s="10" t="s">
        <v>60</v>
      </c>
      <c r="D18" s="20"/>
      <c r="E18" s="20"/>
      <c r="F18" s="20"/>
      <c r="G18" s="20"/>
      <c r="H18" s="25">
        <v>12.123057846809768</v>
      </c>
      <c r="I18" s="25">
        <v>12.310154604589297</v>
      </c>
      <c r="J18" s="25">
        <v>12.596219085405524</v>
      </c>
      <c r="K18" s="25">
        <v>12.706129750125353</v>
      </c>
      <c r="L18" s="25">
        <v>12.921166972747987</v>
      </c>
      <c r="M18" s="25">
        <v>12.480143269850446</v>
      </c>
      <c r="N18" s="25">
        <v>11.932062663962935</v>
      </c>
      <c r="O18" s="25">
        <v>11.53120962781669</v>
      </c>
      <c r="P18" s="25">
        <v>12.186858319781116</v>
      </c>
      <c r="Q18" s="25">
        <v>12.152778486548339</v>
      </c>
      <c r="R18" s="25">
        <v>12.14</v>
      </c>
      <c r="S18" s="104">
        <v>12.54</v>
      </c>
      <c r="T18" s="104">
        <v>12.81</v>
      </c>
      <c r="U18" s="104">
        <v>12.79</v>
      </c>
      <c r="V18" s="104">
        <v>12.57</v>
      </c>
      <c r="W18" s="104">
        <v>12.58</v>
      </c>
      <c r="X18" s="104">
        <v>12.714394133892872</v>
      </c>
      <c r="Y18" s="104">
        <v>12.386526122111556</v>
      </c>
      <c r="Z18" s="104">
        <v>12.749857884544564</v>
      </c>
      <c r="AA18" s="104">
        <v>11.478676554882783</v>
      </c>
      <c r="AB18" s="104">
        <v>9.9807553910619706</v>
      </c>
      <c r="AC18" s="104">
        <v>9.8092117595548309</v>
      </c>
      <c r="AD18" s="104">
        <v>9.83</v>
      </c>
      <c r="AE18" s="104">
        <v>9.7126215064666575</v>
      </c>
      <c r="AF18" s="104">
        <v>9.9</v>
      </c>
      <c r="AG18" s="104">
        <v>9.8000000000000007</v>
      </c>
      <c r="AH18" s="104">
        <v>10.02</v>
      </c>
      <c r="AI18" s="104">
        <v>10.45</v>
      </c>
      <c r="AJ18" s="104">
        <v>10.3</v>
      </c>
      <c r="AK18" s="104">
        <v>10.34</v>
      </c>
      <c r="AL18" s="104">
        <v>10.581446370131623</v>
      </c>
      <c r="AM18" s="104">
        <v>11.210395117511165</v>
      </c>
      <c r="AN18" s="104">
        <v>10.16</v>
      </c>
      <c r="AO18" s="104">
        <v>10.96</v>
      </c>
      <c r="AP18" s="104">
        <v>11.03</v>
      </c>
      <c r="AQ18" s="104">
        <v>10.8</v>
      </c>
      <c r="AR18" s="104">
        <v>10.35</v>
      </c>
      <c r="AS18" s="23"/>
    </row>
    <row r="19" spans="1:46" s="13" customFormat="1" outlineLevel="1">
      <c r="A19" s="1"/>
      <c r="B19" s="14" t="s">
        <v>61</v>
      </c>
      <c r="C19" s="1" t="s">
        <v>60</v>
      </c>
      <c r="D19" s="22"/>
      <c r="E19" s="22"/>
      <c r="F19" s="22"/>
      <c r="G19" s="22"/>
      <c r="H19" s="27">
        <v>13.47941379254325</v>
      </c>
      <c r="I19" s="27">
        <v>13.470505883871253</v>
      </c>
      <c r="J19" s="27">
        <v>13.703812425266225</v>
      </c>
      <c r="K19" s="27">
        <v>14.085595013616956</v>
      </c>
      <c r="L19" s="27">
        <v>14.353729873384374</v>
      </c>
      <c r="M19" s="27">
        <v>14.137186869150877</v>
      </c>
      <c r="N19" s="27">
        <v>14.562517513187172</v>
      </c>
      <c r="O19" s="27">
        <v>14.253852755360189</v>
      </c>
      <c r="P19" s="27">
        <v>14.382882874078401</v>
      </c>
      <c r="Q19" s="27">
        <v>14.511844802945276</v>
      </c>
      <c r="R19" s="27">
        <v>14.73</v>
      </c>
      <c r="S19" s="28">
        <v>15.69</v>
      </c>
      <c r="T19" s="28">
        <v>16.77</v>
      </c>
      <c r="U19" s="28">
        <v>16.829999999999998</v>
      </c>
      <c r="V19" s="28">
        <v>16.77</v>
      </c>
      <c r="W19" s="28">
        <v>17.38</v>
      </c>
      <c r="X19" s="28">
        <v>17.933473266731585</v>
      </c>
      <c r="Y19" s="28">
        <v>18.06945249572431</v>
      </c>
      <c r="Z19" s="28">
        <v>18.499389693765909</v>
      </c>
      <c r="AA19" s="28">
        <v>16.660723282683815</v>
      </c>
      <c r="AB19" s="28">
        <v>16.210970309515162</v>
      </c>
      <c r="AC19" s="28">
        <v>15.955156337468491</v>
      </c>
      <c r="AD19" s="28">
        <v>16.481871996460502</v>
      </c>
      <c r="AE19" s="29">
        <v>16.80709983277756</v>
      </c>
      <c r="AF19" s="29">
        <v>17.04</v>
      </c>
      <c r="AG19" s="29">
        <v>16.7</v>
      </c>
      <c r="AH19" s="28">
        <v>15.9</v>
      </c>
      <c r="AI19" s="28">
        <v>17.54</v>
      </c>
      <c r="AJ19" s="28">
        <v>16.399999999999999</v>
      </c>
      <c r="AK19" s="28">
        <v>16.239999999999998</v>
      </c>
      <c r="AL19" s="28">
        <v>17.399999999999999</v>
      </c>
      <c r="AM19" s="28">
        <v>18.64</v>
      </c>
      <c r="AN19" s="29">
        <v>18.78</v>
      </c>
      <c r="AO19" s="29">
        <v>18.899999999999999</v>
      </c>
      <c r="AP19" s="29">
        <v>19.46</v>
      </c>
      <c r="AQ19" s="29">
        <v>20.02</v>
      </c>
      <c r="AR19" s="29">
        <v>20.29</v>
      </c>
      <c r="AS19" s="23"/>
    </row>
    <row r="20" spans="1:46" s="13" customFormat="1" outlineLevel="1">
      <c r="A20" s="1"/>
      <c r="B20" s="14" t="s">
        <v>62</v>
      </c>
      <c r="C20" s="1" t="s">
        <v>60</v>
      </c>
      <c r="D20" s="22"/>
      <c r="E20" s="22"/>
      <c r="F20" s="22"/>
      <c r="G20" s="22"/>
      <c r="H20" s="27">
        <v>10.365728318375417</v>
      </c>
      <c r="I20" s="27">
        <v>10.845943242083649</v>
      </c>
      <c r="J20" s="27">
        <v>11.260637947687012</v>
      </c>
      <c r="K20" s="27">
        <v>11.156170397969944</v>
      </c>
      <c r="L20" s="27">
        <v>11.402664466804561</v>
      </c>
      <c r="M20" s="27">
        <v>10.85003371327624</v>
      </c>
      <c r="N20" s="27">
        <v>9.6117866999103274</v>
      </c>
      <c r="O20" s="27">
        <v>9.2267152724762234</v>
      </c>
      <c r="P20" s="27">
        <v>10.284176799805053</v>
      </c>
      <c r="Q20" s="27">
        <v>10.080917855977257</v>
      </c>
      <c r="R20" s="27">
        <v>9.94</v>
      </c>
      <c r="S20" s="28">
        <v>10.68</v>
      </c>
      <c r="T20" s="28">
        <v>10.77</v>
      </c>
      <c r="U20" s="28">
        <v>10.74</v>
      </c>
      <c r="V20" s="28">
        <v>10.43</v>
      </c>
      <c r="W20" s="28">
        <v>10.1</v>
      </c>
      <c r="X20" s="28">
        <v>9.9393049269590783</v>
      </c>
      <c r="Y20" s="28">
        <v>9.3404676068079091</v>
      </c>
      <c r="Z20" s="28">
        <v>9.5553364741487492</v>
      </c>
      <c r="AA20" s="28">
        <v>8.7034750617614662</v>
      </c>
      <c r="AB20" s="28">
        <v>8.6382357379979862</v>
      </c>
      <c r="AC20" s="28">
        <v>8.4658430835892169</v>
      </c>
      <c r="AD20" s="28">
        <v>8.3699999999999992</v>
      </c>
      <c r="AE20" s="29">
        <v>8.1411950682416787</v>
      </c>
      <c r="AF20" s="29">
        <v>8.32</v>
      </c>
      <c r="AG20" s="29">
        <v>8.26</v>
      </c>
      <c r="AH20" s="28">
        <v>8.7200000000000006</v>
      </c>
      <c r="AI20" s="28">
        <v>8.83</v>
      </c>
      <c r="AJ20" s="28">
        <v>8.9</v>
      </c>
      <c r="AK20" s="28">
        <v>8.93</v>
      </c>
      <c r="AL20" s="28">
        <v>9</v>
      </c>
      <c r="AM20" s="28">
        <v>9.57</v>
      </c>
      <c r="AN20" s="29">
        <v>8.24</v>
      </c>
      <c r="AO20" s="29">
        <v>9.23</v>
      </c>
      <c r="AP20" s="29">
        <v>9.15</v>
      </c>
      <c r="AQ20" s="29">
        <v>8.73</v>
      </c>
      <c r="AR20" s="29">
        <v>8.17</v>
      </c>
      <c r="AS20" s="23"/>
    </row>
    <row r="21" spans="1:46" s="13" customFormat="1" ht="13.5" outlineLevel="1">
      <c r="A21" s="1"/>
      <c r="B21" s="24" t="s">
        <v>65</v>
      </c>
      <c r="C21" s="10" t="s">
        <v>66</v>
      </c>
      <c r="D21" s="20"/>
      <c r="E21" s="20"/>
      <c r="F21" s="20"/>
      <c r="G21" s="20"/>
      <c r="H21" s="25">
        <f>SUM(H22:H23)</f>
        <v>2089.0129999999999</v>
      </c>
      <c r="I21" s="25">
        <f t="shared" ref="I21:AH21" si="3">SUM(I22:I23)</f>
        <v>2130.5699999999997</v>
      </c>
      <c r="J21" s="25">
        <f t="shared" si="3"/>
        <v>2171.9120000000003</v>
      </c>
      <c r="K21" s="25">
        <f t="shared" si="3"/>
        <v>2225.66</v>
      </c>
      <c r="L21" s="25">
        <f t="shared" si="3"/>
        <v>2244.277</v>
      </c>
      <c r="M21" s="25">
        <f t="shared" si="3"/>
        <v>2283.3360000000002</v>
      </c>
      <c r="N21" s="25">
        <f t="shared" si="3"/>
        <v>2291.3670000000002</v>
      </c>
      <c r="O21" s="25">
        <f t="shared" si="3"/>
        <v>2356.009</v>
      </c>
      <c r="P21" s="25">
        <f t="shared" si="3"/>
        <v>2368.4780000000001</v>
      </c>
      <c r="Q21" s="25">
        <f t="shared" si="3"/>
        <v>2420.4619999999995</v>
      </c>
      <c r="R21" s="25">
        <f t="shared" si="3"/>
        <v>2401</v>
      </c>
      <c r="S21" s="25">
        <f t="shared" si="3"/>
        <v>3511</v>
      </c>
      <c r="T21" s="25">
        <f t="shared" si="3"/>
        <v>3564.13</v>
      </c>
      <c r="U21" s="25">
        <f t="shared" si="3"/>
        <v>3500.2760000000003</v>
      </c>
      <c r="V21" s="25">
        <f t="shared" si="3"/>
        <v>3552.8779999999997</v>
      </c>
      <c r="W21" s="25">
        <f t="shared" si="3"/>
        <v>3743.7420000000002</v>
      </c>
      <c r="X21" s="25">
        <f t="shared" si="3"/>
        <v>3761.2719999999995</v>
      </c>
      <c r="Y21" s="25">
        <f t="shared" si="3"/>
        <v>4083.7330000000002</v>
      </c>
      <c r="Z21" s="25">
        <f t="shared" si="3"/>
        <v>4264.1299999999992</v>
      </c>
      <c r="AA21" s="25">
        <f t="shared" si="3"/>
        <v>4278.4979999999996</v>
      </c>
      <c r="AB21" s="25">
        <f t="shared" si="3"/>
        <v>8774.1360000000004</v>
      </c>
      <c r="AC21" s="25">
        <f t="shared" si="3"/>
        <v>8938.0830000000005</v>
      </c>
      <c r="AD21" s="25">
        <f t="shared" si="3"/>
        <v>9034.6990000000005</v>
      </c>
      <c r="AE21" s="25">
        <f t="shared" si="3"/>
        <v>9138.0349999999999</v>
      </c>
      <c r="AF21" s="25">
        <f t="shared" si="3"/>
        <v>9131.0029999999988</v>
      </c>
      <c r="AG21" s="25">
        <f t="shared" si="3"/>
        <v>9015.3535604526969</v>
      </c>
      <c r="AH21" s="25">
        <f t="shared" si="3"/>
        <v>8925.4835604526979</v>
      </c>
      <c r="AI21" s="25">
        <f t="shared" ref="AI21:AO21" si="4">SUM(AI22:AI23)</f>
        <v>8864.1815604526982</v>
      </c>
      <c r="AJ21" s="25">
        <f t="shared" si="4"/>
        <v>8853.4065604526986</v>
      </c>
      <c r="AK21" s="25">
        <f t="shared" si="4"/>
        <v>8840.5910000000003</v>
      </c>
      <c r="AL21" s="25">
        <f t="shared" si="4"/>
        <v>8848.4510000000009</v>
      </c>
      <c r="AM21" s="25">
        <f t="shared" si="4"/>
        <v>8868.7670000000035</v>
      </c>
      <c r="AN21" s="25">
        <f t="shared" si="4"/>
        <v>8798.5889999999999</v>
      </c>
      <c r="AO21" s="25">
        <f t="shared" si="4"/>
        <v>8856.3069999999989</v>
      </c>
      <c r="AP21" s="25">
        <f>SUM(AP22:AP23)</f>
        <v>8868.91</v>
      </c>
      <c r="AQ21" s="25">
        <f>SUM(AQ22:AQ23)</f>
        <v>8728.9869999999974</v>
      </c>
      <c r="AR21" s="25">
        <f>SUM(AR22:AR23)</f>
        <v>8684.4499999999971</v>
      </c>
      <c r="AS21" s="205"/>
      <c r="AT21" s="26"/>
    </row>
    <row r="22" spans="1:46" s="13" customFormat="1" outlineLevel="2">
      <c r="A22" s="1"/>
      <c r="B22" s="14" t="s">
        <v>61</v>
      </c>
      <c r="C22" s="1" t="s">
        <v>66</v>
      </c>
      <c r="D22" s="22"/>
      <c r="E22" s="22"/>
      <c r="F22" s="22"/>
      <c r="G22" s="22"/>
      <c r="H22" s="27">
        <v>595.85599999999999</v>
      </c>
      <c r="I22" s="27">
        <v>594.90699999999993</v>
      </c>
      <c r="J22" s="27">
        <v>599.98700000000008</v>
      </c>
      <c r="K22" s="27">
        <v>605.03899999999999</v>
      </c>
      <c r="L22" s="27">
        <v>610.303</v>
      </c>
      <c r="M22" s="27">
        <v>619.69000000000005</v>
      </c>
      <c r="N22" s="27">
        <v>612.60500000000002</v>
      </c>
      <c r="O22" s="27">
        <v>646.55899999999997</v>
      </c>
      <c r="P22" s="27">
        <v>646.33500000000004</v>
      </c>
      <c r="Q22" s="27">
        <v>648.10400000000004</v>
      </c>
      <c r="R22" s="27">
        <v>639</v>
      </c>
      <c r="S22" s="28">
        <v>897</v>
      </c>
      <c r="T22" s="28">
        <v>906.28399999999988</v>
      </c>
      <c r="U22" s="28">
        <v>897.25500000000011</v>
      </c>
      <c r="V22" s="28">
        <v>921.98299999999995</v>
      </c>
      <c r="W22" s="28">
        <v>969.80700000000002</v>
      </c>
      <c r="X22" s="28">
        <v>974.82</v>
      </c>
      <c r="Y22" s="28">
        <v>967.14700000000005</v>
      </c>
      <c r="Z22" s="28">
        <v>982.99800000000005</v>
      </c>
      <c r="AA22" s="28">
        <v>989.53100000000006</v>
      </c>
      <c r="AB22" s="29">
        <v>1486.046</v>
      </c>
      <c r="AC22" s="28">
        <v>1553.6870000000004</v>
      </c>
      <c r="AD22" s="28">
        <v>1566.7960000000003</v>
      </c>
      <c r="AE22" s="29">
        <v>1577.4490000000003</v>
      </c>
      <c r="AF22" s="29">
        <v>1585.6820000000002</v>
      </c>
      <c r="AG22" s="29">
        <v>1581.575560452698</v>
      </c>
      <c r="AH22" s="29">
        <v>1551.9085604526981</v>
      </c>
      <c r="AI22" s="29">
        <v>1549.3815604526983</v>
      </c>
      <c r="AJ22" s="29">
        <v>1547.4065604526982</v>
      </c>
      <c r="AK22" s="29">
        <v>1573.2975604526982</v>
      </c>
      <c r="AL22" s="29">
        <v>1582.8055604526983</v>
      </c>
      <c r="AM22" s="29">
        <v>1588.2535686539768</v>
      </c>
      <c r="AN22" s="29">
        <v>1555.0055686539768</v>
      </c>
      <c r="AO22" s="29">
        <v>1573.1915686539769</v>
      </c>
      <c r="AP22" s="29">
        <v>1573.2345686539768</v>
      </c>
      <c r="AQ22" s="29">
        <v>1554.3295686539768</v>
      </c>
      <c r="AR22" s="29">
        <v>1534.8765686539768</v>
      </c>
      <c r="AS22" s="21"/>
      <c r="AT22" s="26"/>
    </row>
    <row r="23" spans="1:46" s="13" customFormat="1" outlineLevel="2">
      <c r="A23" s="1"/>
      <c r="B23" s="14" t="s">
        <v>62</v>
      </c>
      <c r="C23" s="1" t="s">
        <v>66</v>
      </c>
      <c r="D23" s="22"/>
      <c r="E23" s="22"/>
      <c r="F23" s="22"/>
      <c r="G23" s="22"/>
      <c r="H23" s="27">
        <v>1493.1570000000002</v>
      </c>
      <c r="I23" s="27">
        <v>1535.6629999999998</v>
      </c>
      <c r="J23" s="27">
        <v>1571.925</v>
      </c>
      <c r="K23" s="27">
        <v>1620.6210000000001</v>
      </c>
      <c r="L23" s="27">
        <v>1633.9740000000002</v>
      </c>
      <c r="M23" s="27">
        <v>1663.646</v>
      </c>
      <c r="N23" s="27">
        <v>1678.7619999999999</v>
      </c>
      <c r="O23" s="27">
        <v>1709.45</v>
      </c>
      <c r="P23" s="27">
        <v>1722.1430000000003</v>
      </c>
      <c r="Q23" s="27">
        <v>1772.3579999999997</v>
      </c>
      <c r="R23" s="27">
        <v>1762</v>
      </c>
      <c r="S23" s="28">
        <v>2614</v>
      </c>
      <c r="T23" s="28">
        <v>2657.846</v>
      </c>
      <c r="U23" s="28">
        <v>2603.0210000000002</v>
      </c>
      <c r="V23" s="28">
        <v>2630.895</v>
      </c>
      <c r="W23" s="28">
        <v>2773.9350000000004</v>
      </c>
      <c r="X23" s="28">
        <v>2786.4519999999993</v>
      </c>
      <c r="Y23" s="28">
        <v>3116.5860000000002</v>
      </c>
      <c r="Z23" s="28">
        <v>3281.1319999999996</v>
      </c>
      <c r="AA23" s="28">
        <v>3288.9669999999996</v>
      </c>
      <c r="AB23" s="29">
        <v>7288.09</v>
      </c>
      <c r="AC23" s="28">
        <v>7384.3959999999997</v>
      </c>
      <c r="AD23" s="28">
        <v>7467.9030000000002</v>
      </c>
      <c r="AE23" s="29">
        <v>7560.5859999999993</v>
      </c>
      <c r="AF23" s="29">
        <v>7545.320999999999</v>
      </c>
      <c r="AG23" s="29">
        <v>7433.7779999999984</v>
      </c>
      <c r="AH23" s="29">
        <v>7373.5749999999998</v>
      </c>
      <c r="AI23" s="29">
        <v>7314.8</v>
      </c>
      <c r="AJ23" s="29">
        <v>7306</v>
      </c>
      <c r="AK23" s="29">
        <v>7267.2934395473021</v>
      </c>
      <c r="AL23" s="29">
        <v>7265.6454395473029</v>
      </c>
      <c r="AM23" s="29">
        <v>7280.5134313460267</v>
      </c>
      <c r="AN23" s="29">
        <v>7243.5834313460227</v>
      </c>
      <c r="AO23" s="29">
        <v>7283.115431346022</v>
      </c>
      <c r="AP23" s="29">
        <v>7295.6754313460224</v>
      </c>
      <c r="AQ23" s="29">
        <v>7174.6574313460196</v>
      </c>
      <c r="AR23" s="29">
        <v>7149.5734313460207</v>
      </c>
      <c r="AS23" s="21"/>
    </row>
    <row r="24" spans="1:46" s="13" customFormat="1" ht="13.5" outlineLevel="1" collapsed="1">
      <c r="A24" s="1"/>
      <c r="B24" s="24" t="s">
        <v>67</v>
      </c>
      <c r="C24" s="10" t="s">
        <v>66</v>
      </c>
      <c r="D24" s="20"/>
      <c r="E24" s="20"/>
      <c r="F24" s="20"/>
      <c r="G24" s="20"/>
      <c r="H24" s="25">
        <f>SUM(H25:H26)</f>
        <v>1300.7280000000001</v>
      </c>
      <c r="I24" s="25">
        <f t="shared" ref="I24:AH24" si="5">SUM(I25:I26)</f>
        <v>1335.028</v>
      </c>
      <c r="J24" s="25">
        <f t="shared" si="5"/>
        <v>1350.7860000000001</v>
      </c>
      <c r="K24" s="25">
        <f t="shared" si="5"/>
        <v>1415.752</v>
      </c>
      <c r="L24" s="25">
        <f t="shared" si="5"/>
        <v>1416.8579999999999</v>
      </c>
      <c r="M24" s="25">
        <f t="shared" si="5"/>
        <v>1530.7619999999999</v>
      </c>
      <c r="N24" s="25">
        <f t="shared" si="5"/>
        <v>1599.7270000000001</v>
      </c>
      <c r="O24" s="25">
        <f t="shared" si="5"/>
        <v>1679.77</v>
      </c>
      <c r="P24" s="25">
        <f t="shared" si="5"/>
        <v>1623.431</v>
      </c>
      <c r="Q24" s="25">
        <f t="shared" si="5"/>
        <v>1666.174</v>
      </c>
      <c r="R24" s="25">
        <f t="shared" si="5"/>
        <v>1678</v>
      </c>
      <c r="S24" s="25">
        <f t="shared" si="5"/>
        <v>2817</v>
      </c>
      <c r="T24" s="25">
        <f t="shared" si="5"/>
        <v>2810.1689999999999</v>
      </c>
      <c r="U24" s="25">
        <f t="shared" si="5"/>
        <v>2766.0510000000004</v>
      </c>
      <c r="V24" s="25">
        <f t="shared" si="5"/>
        <v>2847.569</v>
      </c>
      <c r="W24" s="25">
        <f t="shared" si="5"/>
        <v>2928.6950000000002</v>
      </c>
      <c r="X24" s="25">
        <f t="shared" si="5"/>
        <v>3089.6849999999999</v>
      </c>
      <c r="Y24" s="25">
        <f t="shared" si="5"/>
        <v>3112.8429999999998</v>
      </c>
      <c r="Z24" s="25">
        <f t="shared" si="5"/>
        <v>3184.2040000000002</v>
      </c>
      <c r="AA24" s="25">
        <f t="shared" si="5"/>
        <v>3257.3469999999998</v>
      </c>
      <c r="AB24" s="25">
        <f t="shared" si="5"/>
        <v>6497.8549999999977</v>
      </c>
      <c r="AC24" s="25">
        <f t="shared" si="5"/>
        <v>6747.0689999999995</v>
      </c>
      <c r="AD24" s="25">
        <f t="shared" si="5"/>
        <v>6880.9799999999987</v>
      </c>
      <c r="AE24" s="25">
        <f t="shared" si="5"/>
        <v>6933.6629999999986</v>
      </c>
      <c r="AF24" s="25">
        <f t="shared" si="5"/>
        <v>6984.3839999999982</v>
      </c>
      <c r="AG24" s="25">
        <f t="shared" si="5"/>
        <v>7106.8389999999999</v>
      </c>
      <c r="AH24" s="25">
        <f t="shared" si="5"/>
        <v>6922.6669999999995</v>
      </c>
      <c r="AI24" s="25">
        <f t="shared" ref="AI24:AO24" si="6">SUM(AI25:AI26)</f>
        <v>6994.34</v>
      </c>
      <c r="AJ24" s="25">
        <f t="shared" si="6"/>
        <v>6958.7420000000002</v>
      </c>
      <c r="AK24" s="25">
        <f t="shared" si="6"/>
        <v>6899.496000000001</v>
      </c>
      <c r="AL24" s="25">
        <f t="shared" si="6"/>
        <v>6913.2219999999979</v>
      </c>
      <c r="AM24" s="25">
        <f t="shared" si="6"/>
        <v>6932.1809999999978</v>
      </c>
      <c r="AN24" s="25">
        <f t="shared" si="6"/>
        <v>6940.4</v>
      </c>
      <c r="AO24" s="25">
        <f t="shared" si="6"/>
        <v>7032.2819999999974</v>
      </c>
      <c r="AP24" s="25">
        <f>SUM(AP25:AP26)</f>
        <v>7107.132999999998</v>
      </c>
      <c r="AQ24" s="25">
        <f>SUM(AQ25:AQ26)</f>
        <v>7129.6439999999984</v>
      </c>
      <c r="AR24" s="25">
        <f>SUM(AR25:AR26)</f>
        <v>7189.9859999999999</v>
      </c>
      <c r="AS24" s="205"/>
    </row>
    <row r="25" spans="1:46" s="13" customFormat="1" outlineLevel="1">
      <c r="A25" s="1"/>
      <c r="B25" s="14" t="s">
        <v>61</v>
      </c>
      <c r="C25" s="1" t="s">
        <v>66</v>
      </c>
      <c r="D25" s="22"/>
      <c r="E25" s="22"/>
      <c r="F25" s="22"/>
      <c r="G25" s="22"/>
      <c r="H25" s="27">
        <v>736.61599999999999</v>
      </c>
      <c r="I25" s="27">
        <v>733.84</v>
      </c>
      <c r="J25" s="27">
        <v>734.38200000000006</v>
      </c>
      <c r="K25" s="27">
        <v>729.39400000000001</v>
      </c>
      <c r="L25" s="27">
        <v>728.15600000000006</v>
      </c>
      <c r="M25" s="27">
        <v>733.57799999999997</v>
      </c>
      <c r="N25" s="27">
        <v>733.59899999999993</v>
      </c>
      <c r="O25" s="27">
        <v>769.75800000000004</v>
      </c>
      <c r="P25" s="27">
        <v>763.63800000000003</v>
      </c>
      <c r="Q25" s="27">
        <v>774.55100000000004</v>
      </c>
      <c r="R25" s="27">
        <v>760</v>
      </c>
      <c r="S25" s="28">
        <v>842</v>
      </c>
      <c r="T25" s="28">
        <v>842.1690000000001</v>
      </c>
      <c r="U25" s="28">
        <v>820.96</v>
      </c>
      <c r="V25" s="28">
        <v>868.95600000000002</v>
      </c>
      <c r="W25" s="28">
        <v>911.82400000000007</v>
      </c>
      <c r="X25" s="28">
        <v>977.4380000000001</v>
      </c>
      <c r="Y25" s="28">
        <v>981.56999999999994</v>
      </c>
      <c r="Z25" s="28">
        <v>1020.121</v>
      </c>
      <c r="AA25" s="28">
        <v>1149.0179999999996</v>
      </c>
      <c r="AB25" s="29">
        <v>1191.5329999999999</v>
      </c>
      <c r="AC25" s="28">
        <v>1278.1429999999998</v>
      </c>
      <c r="AD25" s="28">
        <v>1216.461</v>
      </c>
      <c r="AE25" s="29">
        <v>1354.241</v>
      </c>
      <c r="AF25" s="29">
        <v>1372.3120000000001</v>
      </c>
      <c r="AG25" s="29">
        <v>1397.229</v>
      </c>
      <c r="AH25" s="29">
        <v>1385.6180000000002</v>
      </c>
      <c r="AI25" s="29">
        <v>1407.9390000000001</v>
      </c>
      <c r="AJ25" s="29">
        <v>1426.086</v>
      </c>
      <c r="AK25" s="29">
        <v>1515.8290000000002</v>
      </c>
      <c r="AL25" s="29">
        <v>1393.8989999999999</v>
      </c>
      <c r="AM25" s="29">
        <v>1396.0249429928742</v>
      </c>
      <c r="AN25" s="29">
        <v>1390.7</v>
      </c>
      <c r="AO25" s="29">
        <v>1438.25</v>
      </c>
      <c r="AP25" s="29">
        <v>1456.0540000000001</v>
      </c>
      <c r="AQ25" s="29">
        <v>1486.6279999999999</v>
      </c>
      <c r="AR25" s="29">
        <v>1488.941</v>
      </c>
      <c r="AS25" s="30"/>
    </row>
    <row r="26" spans="1:46" s="13" customFormat="1" outlineLevel="1">
      <c r="A26" s="1"/>
      <c r="B26" s="14" t="s">
        <v>62</v>
      </c>
      <c r="C26" s="1" t="s">
        <v>66</v>
      </c>
      <c r="D26" s="22"/>
      <c r="E26" s="22"/>
      <c r="F26" s="22"/>
      <c r="G26" s="22"/>
      <c r="H26" s="27">
        <v>564.11200000000008</v>
      </c>
      <c r="I26" s="27">
        <v>601.18799999999999</v>
      </c>
      <c r="J26" s="27">
        <v>616.404</v>
      </c>
      <c r="K26" s="27">
        <v>686.35799999999995</v>
      </c>
      <c r="L26" s="27">
        <v>688.70199999999988</v>
      </c>
      <c r="M26" s="27">
        <v>797.18399999999997</v>
      </c>
      <c r="N26" s="27">
        <v>866.12800000000016</v>
      </c>
      <c r="O26" s="27">
        <v>910.01200000000006</v>
      </c>
      <c r="P26" s="27">
        <v>859.79300000000012</v>
      </c>
      <c r="Q26" s="27">
        <v>891.62299999999993</v>
      </c>
      <c r="R26" s="27">
        <v>918</v>
      </c>
      <c r="S26" s="28">
        <v>1975</v>
      </c>
      <c r="T26" s="28">
        <v>1968</v>
      </c>
      <c r="U26" s="28">
        <v>1945.0910000000001</v>
      </c>
      <c r="V26" s="28">
        <v>1978.6130000000001</v>
      </c>
      <c r="W26" s="28">
        <v>2016.8710000000001</v>
      </c>
      <c r="X26" s="28">
        <v>2112.2469999999998</v>
      </c>
      <c r="Y26" s="28">
        <v>2131.2730000000001</v>
      </c>
      <c r="Z26" s="28">
        <v>2164.0830000000001</v>
      </c>
      <c r="AA26" s="28">
        <v>2108.3290000000002</v>
      </c>
      <c r="AB26" s="29">
        <v>5306.3219999999983</v>
      </c>
      <c r="AC26" s="28">
        <v>5468.9259999999995</v>
      </c>
      <c r="AD26" s="28">
        <v>5664.5189999999984</v>
      </c>
      <c r="AE26" s="29">
        <v>5579.4219999999987</v>
      </c>
      <c r="AF26" s="29">
        <v>5612.0719999999983</v>
      </c>
      <c r="AG26" s="29">
        <v>5709.61</v>
      </c>
      <c r="AH26" s="29">
        <v>5537.0489999999991</v>
      </c>
      <c r="AI26" s="29">
        <v>5586.4009999999998</v>
      </c>
      <c r="AJ26" s="29">
        <v>5532.6559999999999</v>
      </c>
      <c r="AK26" s="29">
        <v>5383.6670000000004</v>
      </c>
      <c r="AL26" s="29">
        <v>5519.3229999999985</v>
      </c>
      <c r="AM26" s="29">
        <v>5536.1560570071233</v>
      </c>
      <c r="AN26" s="29">
        <v>5549.7</v>
      </c>
      <c r="AO26" s="29">
        <v>5594.0319999999974</v>
      </c>
      <c r="AP26" s="29">
        <v>5651.0789999999979</v>
      </c>
      <c r="AQ26" s="29">
        <v>5643.0159999999987</v>
      </c>
      <c r="AR26" s="29">
        <v>5701.0450000000001</v>
      </c>
      <c r="AS26" s="30"/>
    </row>
    <row r="27" spans="1:46" outlineLevel="1">
      <c r="B27" s="31"/>
      <c r="L27" s="3"/>
      <c r="M27" s="3"/>
      <c r="N27" s="3"/>
      <c r="O27" s="3"/>
      <c r="AJ27" s="29"/>
      <c r="AK27" s="29"/>
      <c r="AL27" s="29"/>
      <c r="AM27" s="29"/>
      <c r="AN27" s="29"/>
      <c r="AO27" s="29"/>
      <c r="AP27" s="29"/>
      <c r="AQ27" s="29"/>
      <c r="AR27" s="29"/>
    </row>
    <row r="28" spans="1:46">
      <c r="L28" s="3"/>
      <c r="M28" s="3"/>
      <c r="N28" s="3"/>
      <c r="O28" s="3"/>
    </row>
    <row r="29" spans="1:46" s="5" customFormat="1" ht="13.5">
      <c r="B29" s="4" t="s">
        <v>68</v>
      </c>
    </row>
    <row r="30" spans="1:46" ht="13.5" outlineLevel="1">
      <c r="B30" s="6" t="s">
        <v>10</v>
      </c>
      <c r="C30" s="6" t="s">
        <v>11</v>
      </c>
      <c r="D30" s="6" t="s">
        <v>12</v>
      </c>
      <c r="E30" s="6" t="s">
        <v>13</v>
      </c>
      <c r="F30" s="6" t="s">
        <v>14</v>
      </c>
      <c r="G30" s="6" t="s">
        <v>15</v>
      </c>
      <c r="H30" s="6" t="s">
        <v>16</v>
      </c>
      <c r="I30" s="6" t="s">
        <v>17</v>
      </c>
      <c r="J30" s="6" t="s">
        <v>18</v>
      </c>
      <c r="K30" s="6" t="s">
        <v>19</v>
      </c>
      <c r="L30" s="6" t="s">
        <v>20</v>
      </c>
      <c r="M30" s="6" t="s">
        <v>21</v>
      </c>
      <c r="N30" s="6" t="s">
        <v>22</v>
      </c>
      <c r="O30" s="6" t="s">
        <v>23</v>
      </c>
      <c r="P30" s="6" t="s">
        <v>24</v>
      </c>
      <c r="Q30" s="7" t="s">
        <v>25</v>
      </c>
      <c r="R30" s="6" t="s">
        <v>26</v>
      </c>
      <c r="S30" s="6" t="s">
        <v>27</v>
      </c>
      <c r="T30" s="6" t="s">
        <v>28</v>
      </c>
      <c r="U30" s="6" t="s">
        <v>29</v>
      </c>
      <c r="V30" s="6" t="s">
        <v>30</v>
      </c>
      <c r="W30" s="8" t="s">
        <v>69</v>
      </c>
      <c r="X30" s="8" t="s">
        <v>32</v>
      </c>
      <c r="Y30" s="8" t="s">
        <v>33</v>
      </c>
      <c r="Z30" s="8" t="s">
        <v>34</v>
      </c>
      <c r="AA30" s="8" t="s">
        <v>35</v>
      </c>
      <c r="AB30" s="8" t="s">
        <v>36</v>
      </c>
      <c r="AC30" s="8" t="s">
        <v>37</v>
      </c>
      <c r="AD30" s="8" t="s">
        <v>38</v>
      </c>
      <c r="AE30" s="9" t="s">
        <v>39</v>
      </c>
      <c r="AF30" s="8" t="s">
        <v>40</v>
      </c>
      <c r="AG30" s="8" t="s">
        <v>41</v>
      </c>
      <c r="AH30" s="8" t="s">
        <v>42</v>
      </c>
      <c r="AI30" s="8" t="s">
        <v>43</v>
      </c>
      <c r="AJ30" s="8" t="s">
        <v>44</v>
      </c>
      <c r="AK30" s="8" t="s">
        <v>45</v>
      </c>
      <c r="AL30" s="8" t="s">
        <v>46</v>
      </c>
      <c r="AM30" s="8" t="s">
        <v>47</v>
      </c>
      <c r="AN30" s="8" t="s">
        <v>48</v>
      </c>
      <c r="AO30" s="8" t="s">
        <v>49</v>
      </c>
      <c r="AP30" s="8" t="s">
        <v>50</v>
      </c>
      <c r="AQ30" s="8" t="s">
        <v>51</v>
      </c>
      <c r="AR30" s="8" t="s">
        <v>309</v>
      </c>
    </row>
    <row r="31" spans="1:46" outlineLevel="1">
      <c r="B31" s="14" t="s">
        <v>70</v>
      </c>
      <c r="C31" s="1" t="s">
        <v>71</v>
      </c>
      <c r="D31" s="33"/>
      <c r="E31" s="33"/>
      <c r="F31" s="33"/>
      <c r="G31" s="33"/>
      <c r="H31" s="33"/>
      <c r="I31" s="33"/>
      <c r="J31" s="33"/>
      <c r="K31" s="33">
        <v>503.64</v>
      </c>
      <c r="L31" s="33">
        <v>546.06100000000004</v>
      </c>
      <c r="M31" s="33">
        <v>587.02099999999996</v>
      </c>
      <c r="N31" s="33">
        <v>628.89200000000005</v>
      </c>
      <c r="O31" s="33">
        <v>671.10705397000004</v>
      </c>
      <c r="P31" s="33">
        <v>714.34362580999993</v>
      </c>
      <c r="Q31" s="33">
        <v>758.26177259725432</v>
      </c>
      <c r="R31" s="33">
        <v>808.12099999999998</v>
      </c>
      <c r="S31" s="33">
        <v>1197.0909999999999</v>
      </c>
      <c r="T31" s="33">
        <v>1294.3440000000001</v>
      </c>
      <c r="U31" s="33">
        <v>1315.874</v>
      </c>
      <c r="V31" s="33">
        <v>1188.2370000000001</v>
      </c>
      <c r="W31" s="33">
        <v>1296.2360000000001</v>
      </c>
      <c r="X31" s="33">
        <v>1342.797</v>
      </c>
      <c r="Y31" s="33">
        <v>1505.146</v>
      </c>
      <c r="Z31" s="33">
        <v>1708.3389999999999</v>
      </c>
      <c r="AA31" s="33">
        <v>1336.566</v>
      </c>
      <c r="AB31" s="33">
        <v>3630.2930000000001</v>
      </c>
      <c r="AC31" s="33">
        <v>3756.7730000000001</v>
      </c>
      <c r="AD31" s="34">
        <v>3844.8670000000002</v>
      </c>
      <c r="AE31" s="34">
        <v>3808.8955916496325</v>
      </c>
      <c r="AF31" s="35" t="s">
        <v>72</v>
      </c>
      <c r="AG31" s="35" t="s">
        <v>72</v>
      </c>
      <c r="AH31" s="36" t="s">
        <v>72</v>
      </c>
      <c r="AI31" s="36" t="s">
        <v>72</v>
      </c>
      <c r="AJ31" s="36" t="s">
        <v>72</v>
      </c>
      <c r="AK31" s="36" t="s">
        <v>72</v>
      </c>
      <c r="AL31" s="36" t="s">
        <v>72</v>
      </c>
      <c r="AM31" s="36" t="s">
        <v>72</v>
      </c>
      <c r="AN31" s="36" t="s">
        <v>72</v>
      </c>
      <c r="AO31" s="36" t="s">
        <v>72</v>
      </c>
      <c r="AP31" s="36" t="s">
        <v>72</v>
      </c>
      <c r="AQ31" s="36" t="s">
        <v>72</v>
      </c>
      <c r="AR31" s="36" t="s">
        <v>72</v>
      </c>
      <c r="AS31" s="37"/>
      <c r="AT31" s="37"/>
    </row>
    <row r="32" spans="1:46" outlineLevel="1">
      <c r="B32" s="14" t="s">
        <v>73</v>
      </c>
      <c r="C32" s="1" t="s">
        <v>71</v>
      </c>
      <c r="D32" s="38"/>
      <c r="E32" s="38"/>
      <c r="F32" s="38"/>
      <c r="G32" s="38"/>
      <c r="H32" s="38"/>
      <c r="I32" s="38"/>
      <c r="J32" s="38"/>
      <c r="K32" s="38">
        <v>904.53899999999999</v>
      </c>
      <c r="L32" s="38">
        <v>939.34100000000001</v>
      </c>
      <c r="M32" s="38">
        <v>1102.3150000000001</v>
      </c>
      <c r="N32" s="38">
        <v>1189.194</v>
      </c>
      <c r="O32" s="38">
        <v>1196.94189428</v>
      </c>
      <c r="P32" s="38">
        <v>1171.35304228</v>
      </c>
      <c r="Q32" s="33">
        <v>1305.3820000000001</v>
      </c>
      <c r="R32" s="33">
        <v>1330.41</v>
      </c>
      <c r="S32" s="33">
        <v>1616.2919999999999</v>
      </c>
      <c r="T32" s="33">
        <v>1907.886</v>
      </c>
      <c r="U32" s="33">
        <v>2066.2170000000001</v>
      </c>
      <c r="V32" s="33">
        <v>2265.8009999999999</v>
      </c>
      <c r="W32" s="33">
        <v>2648.0859999999998</v>
      </c>
      <c r="X32" s="33">
        <v>2760.8440000000001</v>
      </c>
      <c r="Y32" s="33">
        <v>3490.6439999999998</v>
      </c>
      <c r="Z32" s="33">
        <v>3094.3649999999998</v>
      </c>
      <c r="AA32" s="34">
        <v>2518.2460000000001</v>
      </c>
      <c r="AB32" s="33">
        <v>4657.6480000000001</v>
      </c>
      <c r="AC32" s="33">
        <v>5510.9380000000001</v>
      </c>
      <c r="AD32" s="34">
        <v>5855.384</v>
      </c>
      <c r="AE32" s="34">
        <v>4364.4320031700008</v>
      </c>
      <c r="AF32" s="35" t="s">
        <v>72</v>
      </c>
      <c r="AG32" s="35" t="s">
        <v>72</v>
      </c>
      <c r="AH32" s="36" t="s">
        <v>72</v>
      </c>
      <c r="AI32" s="36" t="s">
        <v>72</v>
      </c>
      <c r="AJ32" s="36" t="s">
        <v>72</v>
      </c>
      <c r="AK32" s="36" t="s">
        <v>72</v>
      </c>
      <c r="AL32" s="36" t="s">
        <v>72</v>
      </c>
      <c r="AM32" s="36" t="s">
        <v>72</v>
      </c>
      <c r="AN32" s="36" t="s">
        <v>72</v>
      </c>
      <c r="AO32" s="36" t="s">
        <v>72</v>
      </c>
      <c r="AP32" s="36" t="s">
        <v>72</v>
      </c>
      <c r="AQ32" s="36" t="s">
        <v>72</v>
      </c>
      <c r="AR32" s="36" t="s">
        <v>72</v>
      </c>
      <c r="AS32" s="37"/>
      <c r="AT32" s="37"/>
    </row>
    <row r="33" spans="2:46" ht="13.5" outlineLevel="1">
      <c r="B33" s="10" t="s">
        <v>74</v>
      </c>
      <c r="C33" s="10" t="s">
        <v>71</v>
      </c>
      <c r="D33" s="25"/>
      <c r="E33" s="25"/>
      <c r="F33" s="25"/>
      <c r="G33" s="25"/>
      <c r="H33" s="25"/>
      <c r="I33" s="25"/>
      <c r="J33" s="25"/>
      <c r="K33" s="25">
        <f>K32-K31</f>
        <v>400.899</v>
      </c>
      <c r="L33" s="25">
        <f>L32-L31</f>
        <v>393.28</v>
      </c>
      <c r="M33" s="25">
        <f>M32-M31</f>
        <v>515.2940000000001</v>
      </c>
      <c r="N33" s="25">
        <f t="shared" ref="N33:AE33" si="7">N32-N31</f>
        <v>560.30199999999991</v>
      </c>
      <c r="O33" s="25">
        <f t="shared" si="7"/>
        <v>525.83484031</v>
      </c>
      <c r="P33" s="25">
        <f t="shared" si="7"/>
        <v>457.00941647000002</v>
      </c>
      <c r="Q33" s="25">
        <f t="shared" si="7"/>
        <v>547.12022740274574</v>
      </c>
      <c r="R33" s="25">
        <f t="shared" si="7"/>
        <v>522.2890000000001</v>
      </c>
      <c r="S33" s="25">
        <f t="shared" si="7"/>
        <v>419.20100000000002</v>
      </c>
      <c r="T33" s="25">
        <f t="shared" si="7"/>
        <v>613.54199999999992</v>
      </c>
      <c r="U33" s="25">
        <f t="shared" si="7"/>
        <v>750.34300000000007</v>
      </c>
      <c r="V33" s="25">
        <f t="shared" si="7"/>
        <v>1077.5639999999999</v>
      </c>
      <c r="W33" s="25">
        <f t="shared" si="7"/>
        <v>1351.8499999999997</v>
      </c>
      <c r="X33" s="25">
        <f t="shared" si="7"/>
        <v>1418.047</v>
      </c>
      <c r="Y33" s="25">
        <f t="shared" si="7"/>
        <v>1985.4979999999998</v>
      </c>
      <c r="Z33" s="25">
        <f t="shared" si="7"/>
        <v>1386.0259999999998</v>
      </c>
      <c r="AA33" s="25">
        <f t="shared" si="7"/>
        <v>1181.68</v>
      </c>
      <c r="AB33" s="25">
        <f t="shared" si="7"/>
        <v>1027.355</v>
      </c>
      <c r="AC33" s="25">
        <f t="shared" si="7"/>
        <v>1754.165</v>
      </c>
      <c r="AD33" s="25">
        <f t="shared" si="7"/>
        <v>2010.5169999999998</v>
      </c>
      <c r="AE33" s="25">
        <f t="shared" si="7"/>
        <v>555.53641152036835</v>
      </c>
      <c r="AF33" s="35" t="s">
        <v>72</v>
      </c>
      <c r="AG33" s="35" t="s">
        <v>72</v>
      </c>
      <c r="AH33" s="36" t="s">
        <v>72</v>
      </c>
      <c r="AI33" s="36" t="s">
        <v>72</v>
      </c>
      <c r="AJ33" s="36" t="s">
        <v>72</v>
      </c>
      <c r="AK33" s="36" t="s">
        <v>72</v>
      </c>
      <c r="AL33" s="36" t="s">
        <v>72</v>
      </c>
      <c r="AM33" s="36" t="s">
        <v>72</v>
      </c>
      <c r="AN33" s="36" t="s">
        <v>72</v>
      </c>
      <c r="AO33" s="36" t="s">
        <v>72</v>
      </c>
      <c r="AP33" s="36" t="s">
        <v>72</v>
      </c>
      <c r="AQ33" s="36" t="s">
        <v>72</v>
      </c>
      <c r="AR33" s="36" t="s">
        <v>72</v>
      </c>
      <c r="AS33" s="37"/>
    </row>
    <row r="34" spans="2:46" outlineLevel="1" collapsed="1">
      <c r="B34" s="24" t="s">
        <v>75</v>
      </c>
      <c r="C34" s="24" t="s">
        <v>76</v>
      </c>
      <c r="D34" s="39"/>
      <c r="E34" s="39"/>
      <c r="F34" s="39"/>
      <c r="G34" s="39"/>
      <c r="H34" s="39"/>
      <c r="I34" s="39"/>
      <c r="J34" s="39"/>
      <c r="K34" s="39">
        <f>K32/K31</f>
        <v>1.7960030974505599</v>
      </c>
      <c r="L34" s="39">
        <f>L32/L31</f>
        <v>1.7202125769831575</v>
      </c>
      <c r="M34" s="39">
        <f>M32/M31</f>
        <v>1.8778118670371249</v>
      </c>
      <c r="N34" s="39">
        <f t="shared" ref="N34:AE34" si="8">N32/N31</f>
        <v>1.8909351685186007</v>
      </c>
      <c r="O34" s="39">
        <f t="shared" si="8"/>
        <v>1.783533472341517</v>
      </c>
      <c r="P34" s="39">
        <f t="shared" si="8"/>
        <v>1.6397613136840039</v>
      </c>
      <c r="Q34" s="39">
        <f t="shared" si="8"/>
        <v>1.7215453121534916</v>
      </c>
      <c r="R34" s="39">
        <f t="shared" si="8"/>
        <v>1.6463004921292728</v>
      </c>
      <c r="S34" s="39">
        <f t="shared" si="8"/>
        <v>1.3501830687892566</v>
      </c>
      <c r="T34" s="39">
        <f t="shared" si="8"/>
        <v>1.4740177263540448</v>
      </c>
      <c r="U34" s="39">
        <f t="shared" si="8"/>
        <v>1.5702240488071046</v>
      </c>
      <c r="V34" s="39">
        <f t="shared" si="8"/>
        <v>1.9068594901522169</v>
      </c>
      <c r="W34" s="39">
        <f t="shared" si="8"/>
        <v>2.0429042242307727</v>
      </c>
      <c r="X34" s="39">
        <f t="shared" si="8"/>
        <v>2.0560397439076792</v>
      </c>
      <c r="Y34" s="39">
        <f t="shared" si="8"/>
        <v>2.3191398043777811</v>
      </c>
      <c r="Z34" s="39">
        <f t="shared" si="8"/>
        <v>1.8113296014432732</v>
      </c>
      <c r="AA34" s="39">
        <f t="shared" si="8"/>
        <v>1.8841164596435942</v>
      </c>
      <c r="AB34" s="39">
        <f t="shared" si="8"/>
        <v>1.2829950640347763</v>
      </c>
      <c r="AC34" s="39">
        <f t="shared" si="8"/>
        <v>1.4669339882926118</v>
      </c>
      <c r="AD34" s="39">
        <f t="shared" si="8"/>
        <v>1.5229093750186937</v>
      </c>
      <c r="AE34" s="39">
        <f t="shared" si="8"/>
        <v>1.1458523601272477</v>
      </c>
      <c r="AF34" s="35" t="s">
        <v>72</v>
      </c>
      <c r="AG34" s="35" t="s">
        <v>72</v>
      </c>
      <c r="AH34" s="36" t="s">
        <v>72</v>
      </c>
      <c r="AI34" s="36" t="s">
        <v>72</v>
      </c>
      <c r="AJ34" s="36" t="s">
        <v>72</v>
      </c>
      <c r="AK34" s="36" t="s">
        <v>72</v>
      </c>
      <c r="AL34" s="36" t="s">
        <v>72</v>
      </c>
      <c r="AM34" s="36" t="s">
        <v>72</v>
      </c>
      <c r="AN34" s="36" t="s">
        <v>72</v>
      </c>
      <c r="AO34" s="36" t="s">
        <v>72</v>
      </c>
      <c r="AP34" s="36" t="s">
        <v>72</v>
      </c>
      <c r="AQ34" s="36" t="s">
        <v>72</v>
      </c>
      <c r="AR34" s="36" t="s">
        <v>72</v>
      </c>
      <c r="AS34" s="37"/>
    </row>
    <row r="35" spans="2:46" outlineLevel="1">
      <c r="B35" s="14" t="s">
        <v>77</v>
      </c>
      <c r="C35" s="1" t="s">
        <v>71</v>
      </c>
      <c r="D35" s="38"/>
      <c r="E35" s="38"/>
      <c r="F35" s="38"/>
      <c r="G35" s="38"/>
      <c r="H35" s="38"/>
      <c r="I35" s="38"/>
      <c r="J35" s="38"/>
      <c r="K35" s="38">
        <v>278.40899999999999</v>
      </c>
      <c r="L35" s="38">
        <v>281.19799999999998</v>
      </c>
      <c r="M35" s="38">
        <v>287.51</v>
      </c>
      <c r="N35" s="38">
        <v>292.46100000000001</v>
      </c>
      <c r="O35" s="38">
        <v>343.42651231999997</v>
      </c>
      <c r="P35" s="38">
        <v>328.14490116000002</v>
      </c>
      <c r="Q35" s="38">
        <v>352.45496551999997</v>
      </c>
      <c r="R35" s="38">
        <v>332.21899999999999</v>
      </c>
      <c r="S35" s="38">
        <v>458.75900000000001</v>
      </c>
      <c r="T35" s="38">
        <v>686.33900000000006</v>
      </c>
      <c r="U35" s="38">
        <v>648.79300000000001</v>
      </c>
      <c r="V35" s="38">
        <v>783.08100000000002</v>
      </c>
      <c r="W35" s="38">
        <v>802.19299999999998</v>
      </c>
      <c r="X35" s="38">
        <v>998.01</v>
      </c>
      <c r="Y35" s="38">
        <v>1217.9000000000001</v>
      </c>
      <c r="Z35" s="38">
        <v>1366.22</v>
      </c>
      <c r="AA35" s="38">
        <v>1363.729</v>
      </c>
      <c r="AB35" s="38">
        <v>2868.2</v>
      </c>
      <c r="AC35" s="38">
        <v>2888.9380000000001</v>
      </c>
      <c r="AD35" s="27">
        <v>2871.0519991375813</v>
      </c>
      <c r="AE35" s="27">
        <v>3031.7166458310453</v>
      </c>
      <c r="AF35" s="35" t="s">
        <v>72</v>
      </c>
      <c r="AG35" s="35" t="s">
        <v>72</v>
      </c>
      <c r="AH35" s="36" t="s">
        <v>72</v>
      </c>
      <c r="AI35" s="36" t="s">
        <v>72</v>
      </c>
      <c r="AJ35" s="36" t="s">
        <v>72</v>
      </c>
      <c r="AK35" s="36" t="s">
        <v>72</v>
      </c>
      <c r="AL35" s="36" t="s">
        <v>72</v>
      </c>
      <c r="AM35" s="36" t="s">
        <v>72</v>
      </c>
      <c r="AN35" s="36" t="s">
        <v>72</v>
      </c>
      <c r="AO35" s="36" t="s">
        <v>72</v>
      </c>
      <c r="AP35" s="36" t="s">
        <v>72</v>
      </c>
      <c r="AQ35" s="36" t="s">
        <v>72</v>
      </c>
      <c r="AR35" s="36" t="s">
        <v>72</v>
      </c>
      <c r="AS35" s="37"/>
    </row>
    <row r="36" spans="2:46" outlineLevel="1">
      <c r="B36" s="14" t="s">
        <v>78</v>
      </c>
      <c r="C36" s="1" t="s">
        <v>71</v>
      </c>
      <c r="D36" s="38"/>
      <c r="E36" s="38"/>
      <c r="F36" s="38"/>
      <c r="G36" s="38"/>
      <c r="H36" s="38"/>
      <c r="I36" s="38"/>
      <c r="J36" s="38"/>
      <c r="K36" s="38">
        <v>368.18099999999998</v>
      </c>
      <c r="L36" s="38">
        <v>373.995</v>
      </c>
      <c r="M36" s="38">
        <v>379.86200000000002</v>
      </c>
      <c r="N36" s="38">
        <v>402.07100000000003</v>
      </c>
      <c r="O36" s="38">
        <v>407.13496779000002</v>
      </c>
      <c r="P36" s="38">
        <v>413.45907282000002</v>
      </c>
      <c r="Q36" s="38">
        <v>418.02300000000002</v>
      </c>
      <c r="R36" s="38">
        <v>424.58800000000002</v>
      </c>
      <c r="S36" s="38">
        <v>660.75</v>
      </c>
      <c r="T36" s="38">
        <v>757.31899999999996</v>
      </c>
      <c r="U36" s="38">
        <v>822.24900000000002</v>
      </c>
      <c r="V36" s="38">
        <v>855.55499999999995</v>
      </c>
      <c r="W36" s="38">
        <v>1003.827</v>
      </c>
      <c r="X36" s="38">
        <v>1119.816</v>
      </c>
      <c r="Y36" s="38">
        <v>1314.759</v>
      </c>
      <c r="Z36" s="38">
        <v>1528.6220000000001</v>
      </c>
      <c r="AA36" s="38">
        <v>1636.904</v>
      </c>
      <c r="AB36" s="38">
        <v>2812.5239999999999</v>
      </c>
      <c r="AC36" s="38">
        <v>2797.5459999999998</v>
      </c>
      <c r="AD36" s="27">
        <v>3022.1619102800005</v>
      </c>
      <c r="AE36" s="27">
        <v>3016.5639761199996</v>
      </c>
      <c r="AF36" s="35" t="s">
        <v>72</v>
      </c>
      <c r="AG36" s="35" t="s">
        <v>72</v>
      </c>
      <c r="AH36" s="36" t="s">
        <v>72</v>
      </c>
      <c r="AI36" s="36" t="s">
        <v>72</v>
      </c>
      <c r="AJ36" s="36" t="s">
        <v>72</v>
      </c>
      <c r="AK36" s="36" t="s">
        <v>72</v>
      </c>
      <c r="AL36" s="36" t="s">
        <v>72</v>
      </c>
      <c r="AM36" s="36" t="s">
        <v>72</v>
      </c>
      <c r="AN36" s="36" t="s">
        <v>72</v>
      </c>
      <c r="AO36" s="36" t="s">
        <v>72</v>
      </c>
      <c r="AP36" s="36" t="s">
        <v>72</v>
      </c>
      <c r="AQ36" s="36" t="s">
        <v>72</v>
      </c>
      <c r="AR36" s="36" t="s">
        <v>72</v>
      </c>
      <c r="AS36" s="37"/>
      <c r="AT36" s="37"/>
    </row>
    <row r="37" spans="2:46" outlineLevel="1">
      <c r="B37" s="14" t="s">
        <v>79</v>
      </c>
      <c r="C37" s="1" t="s">
        <v>71</v>
      </c>
      <c r="D37" s="38"/>
      <c r="E37" s="38"/>
      <c r="F37" s="38"/>
      <c r="G37" s="38"/>
      <c r="H37" s="38"/>
      <c r="I37" s="38"/>
      <c r="J37" s="38"/>
      <c r="K37" s="38"/>
      <c r="L37" s="38"/>
      <c r="M37" s="38"/>
      <c r="N37" s="38"/>
      <c r="O37" s="38"/>
      <c r="P37" s="38"/>
      <c r="Q37" s="38"/>
      <c r="R37" s="38"/>
      <c r="S37" s="38"/>
      <c r="T37" s="38"/>
      <c r="U37" s="38"/>
      <c r="V37" s="38"/>
      <c r="W37" s="38">
        <v>1.9750000000000001</v>
      </c>
      <c r="X37" s="38">
        <v>1.9750000000000001</v>
      </c>
      <c r="Y37" s="38">
        <v>2.91</v>
      </c>
      <c r="Z37" s="38">
        <v>2.8889999999999998</v>
      </c>
      <c r="AA37" s="38">
        <v>1.9750000000000001</v>
      </c>
      <c r="AB37" s="38">
        <v>93.6</v>
      </c>
      <c r="AC37" s="38">
        <v>190.029</v>
      </c>
      <c r="AD37" s="27">
        <v>210.202</v>
      </c>
      <c r="AE37" s="27">
        <v>234.529</v>
      </c>
      <c r="AF37" s="35" t="s">
        <v>72</v>
      </c>
      <c r="AG37" s="35" t="s">
        <v>72</v>
      </c>
      <c r="AH37" s="36" t="s">
        <v>72</v>
      </c>
      <c r="AI37" s="36" t="s">
        <v>72</v>
      </c>
      <c r="AJ37" s="36" t="s">
        <v>72</v>
      </c>
      <c r="AK37" s="36" t="s">
        <v>72</v>
      </c>
      <c r="AL37" s="36" t="s">
        <v>72</v>
      </c>
      <c r="AM37" s="36" t="s">
        <v>72</v>
      </c>
      <c r="AN37" s="36" t="s">
        <v>72</v>
      </c>
      <c r="AO37" s="36" t="s">
        <v>72</v>
      </c>
      <c r="AP37" s="36" t="s">
        <v>72</v>
      </c>
      <c r="AQ37" s="36" t="s">
        <v>72</v>
      </c>
      <c r="AR37" s="36" t="s">
        <v>72</v>
      </c>
      <c r="AS37" s="37"/>
    </row>
    <row r="38" spans="2:46" ht="13.5" outlineLevel="1">
      <c r="B38" s="10" t="s">
        <v>80</v>
      </c>
      <c r="C38" s="10" t="s">
        <v>71</v>
      </c>
      <c r="D38" s="25"/>
      <c r="E38" s="25"/>
      <c r="F38" s="25"/>
      <c r="G38" s="25"/>
      <c r="H38" s="25"/>
      <c r="I38" s="25"/>
      <c r="J38" s="25"/>
      <c r="K38" s="25">
        <f t="shared" ref="K38:P38" si="9">K36-K35</f>
        <v>89.771999999999991</v>
      </c>
      <c r="L38" s="25">
        <f t="shared" si="9"/>
        <v>92.797000000000025</v>
      </c>
      <c r="M38" s="25">
        <f t="shared" si="9"/>
        <v>92.352000000000032</v>
      </c>
      <c r="N38" s="25">
        <f t="shared" si="9"/>
        <v>109.61000000000001</v>
      </c>
      <c r="O38" s="25">
        <f t="shared" si="9"/>
        <v>63.708455470000047</v>
      </c>
      <c r="P38" s="25">
        <f t="shared" si="9"/>
        <v>85.31417166</v>
      </c>
      <c r="Q38" s="25">
        <f t="shared" ref="Q38:V38" si="10">Q36-Q35</f>
        <v>65.568034480000051</v>
      </c>
      <c r="R38" s="25">
        <f t="shared" si="10"/>
        <v>92.369000000000028</v>
      </c>
      <c r="S38" s="25">
        <f t="shared" si="10"/>
        <v>201.99099999999999</v>
      </c>
      <c r="T38" s="25">
        <f t="shared" si="10"/>
        <v>70.979999999999905</v>
      </c>
      <c r="U38" s="25">
        <f t="shared" si="10"/>
        <v>173.45600000000002</v>
      </c>
      <c r="V38" s="25">
        <f t="shared" si="10"/>
        <v>72.473999999999933</v>
      </c>
      <c r="W38" s="25">
        <f>W36-W35+W37</f>
        <v>203.60900000000001</v>
      </c>
      <c r="X38" s="25">
        <f t="shared" ref="X38:AE38" si="11">X36-X35+X37</f>
        <v>123.78100000000003</v>
      </c>
      <c r="Y38" s="25">
        <f t="shared" si="11"/>
        <v>99.76899999999992</v>
      </c>
      <c r="Z38" s="25">
        <f t="shared" si="11"/>
        <v>165.29100000000005</v>
      </c>
      <c r="AA38" s="25">
        <f t="shared" si="11"/>
        <v>275.14999999999998</v>
      </c>
      <c r="AB38" s="25">
        <f t="shared" si="11"/>
        <v>37.924000000000063</v>
      </c>
      <c r="AC38" s="25">
        <f t="shared" si="11"/>
        <v>98.636999999999716</v>
      </c>
      <c r="AD38" s="25">
        <f t="shared" si="11"/>
        <v>361.31191114241915</v>
      </c>
      <c r="AE38" s="25">
        <f t="shared" si="11"/>
        <v>219.37633028895425</v>
      </c>
      <c r="AF38" s="35" t="s">
        <v>72</v>
      </c>
      <c r="AG38" s="35" t="s">
        <v>72</v>
      </c>
      <c r="AH38" s="36" t="s">
        <v>72</v>
      </c>
      <c r="AI38" s="36" t="s">
        <v>72</v>
      </c>
      <c r="AJ38" s="36" t="s">
        <v>72</v>
      </c>
      <c r="AK38" s="36" t="s">
        <v>72</v>
      </c>
      <c r="AL38" s="36" t="s">
        <v>72</v>
      </c>
      <c r="AM38" s="36" t="s">
        <v>72</v>
      </c>
      <c r="AN38" s="36" t="s">
        <v>72</v>
      </c>
      <c r="AO38" s="36" t="s">
        <v>72</v>
      </c>
      <c r="AP38" s="36" t="s">
        <v>72</v>
      </c>
      <c r="AQ38" s="36" t="s">
        <v>72</v>
      </c>
      <c r="AR38" s="36" t="s">
        <v>72</v>
      </c>
      <c r="AS38" s="37"/>
    </row>
    <row r="39" spans="2:46" outlineLevel="1">
      <c r="B39" s="24" t="s">
        <v>81</v>
      </c>
      <c r="C39" s="24" t="s">
        <v>76</v>
      </c>
      <c r="D39" s="39"/>
      <c r="E39" s="39"/>
      <c r="F39" s="39"/>
      <c r="G39" s="39"/>
      <c r="H39" s="39"/>
      <c r="I39" s="39"/>
      <c r="J39" s="39"/>
      <c r="K39" s="39">
        <f t="shared" ref="K39:W39" si="12">(K36+K37)/K35</f>
        <v>1.3224464726355829</v>
      </c>
      <c r="L39" s="39">
        <f t="shared" si="12"/>
        <v>1.3300059033136795</v>
      </c>
      <c r="M39" s="39">
        <f t="shared" si="12"/>
        <v>1.3212131751939065</v>
      </c>
      <c r="N39" s="39">
        <f t="shared" si="12"/>
        <v>1.3747850140702522</v>
      </c>
      <c r="O39" s="39">
        <f t="shared" si="12"/>
        <v>1.1855082621304363</v>
      </c>
      <c r="P39" s="39">
        <f t="shared" si="12"/>
        <v>1.2599893259301376</v>
      </c>
      <c r="Q39" s="39">
        <f t="shared" si="12"/>
        <v>1.1860323754646589</v>
      </c>
      <c r="R39" s="39">
        <f t="shared" si="12"/>
        <v>1.2780364759390643</v>
      </c>
      <c r="S39" s="39">
        <f t="shared" si="12"/>
        <v>1.4402987189352143</v>
      </c>
      <c r="T39" s="39">
        <f t="shared" si="12"/>
        <v>1.103418281636334</v>
      </c>
      <c r="U39" s="39">
        <f t="shared" si="12"/>
        <v>1.2673518364100722</v>
      </c>
      <c r="V39" s="39">
        <f t="shared" si="12"/>
        <v>1.0925498128546087</v>
      </c>
      <c r="W39" s="39">
        <f t="shared" si="12"/>
        <v>1.2538154783200552</v>
      </c>
      <c r="X39" s="39">
        <f t="shared" ref="X39:AE39" si="13">(X36+X37)/X35</f>
        <v>1.1240278153525516</v>
      </c>
      <c r="Y39" s="39">
        <f t="shared" si="13"/>
        <v>1.0819188767550703</v>
      </c>
      <c r="Z39" s="39">
        <f t="shared" si="13"/>
        <v>1.1209841753158349</v>
      </c>
      <c r="AA39" s="39">
        <f t="shared" si="13"/>
        <v>1.2017629602362345</v>
      </c>
      <c r="AB39" s="39">
        <f t="shared" si="13"/>
        <v>1.013222229970016</v>
      </c>
      <c r="AC39" s="39">
        <f t="shared" si="13"/>
        <v>1.0341429964921365</v>
      </c>
      <c r="AD39" s="39">
        <f t="shared" si="13"/>
        <v>1.1258465228950754</v>
      </c>
      <c r="AE39" s="39">
        <f t="shared" si="13"/>
        <v>1.0723604333507295</v>
      </c>
      <c r="AF39" s="35" t="s">
        <v>72</v>
      </c>
      <c r="AG39" s="35" t="s">
        <v>72</v>
      </c>
      <c r="AH39" s="36" t="s">
        <v>72</v>
      </c>
      <c r="AI39" s="36" t="s">
        <v>72</v>
      </c>
      <c r="AJ39" s="36" t="s">
        <v>72</v>
      </c>
      <c r="AK39" s="36" t="s">
        <v>72</v>
      </c>
      <c r="AL39" s="36" t="s">
        <v>72</v>
      </c>
      <c r="AM39" s="36" t="s">
        <v>72</v>
      </c>
      <c r="AN39" s="36" t="s">
        <v>72</v>
      </c>
      <c r="AO39" s="36" t="s">
        <v>72</v>
      </c>
      <c r="AP39" s="36" t="s">
        <v>72</v>
      </c>
      <c r="AQ39" s="36" t="s">
        <v>72</v>
      </c>
      <c r="AR39" s="36" t="s">
        <v>72</v>
      </c>
      <c r="AS39" s="37"/>
    </row>
    <row r="40" spans="2:46" s="13" customFormat="1" outlineLevel="1">
      <c r="B40" s="40"/>
      <c r="C40" s="40"/>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2"/>
    </row>
    <row r="41" spans="2:46" s="13" customFormat="1" ht="13.5" outlineLevel="1">
      <c r="B41" s="6" t="s">
        <v>82</v>
      </c>
      <c r="C41" s="6" t="s">
        <v>11</v>
      </c>
      <c r="D41" s="32" t="s">
        <v>12</v>
      </c>
      <c r="E41" s="32" t="s">
        <v>13</v>
      </c>
      <c r="F41" s="32" t="s">
        <v>14</v>
      </c>
      <c r="G41" s="32" t="s">
        <v>15</v>
      </c>
      <c r="H41" s="6" t="s">
        <v>16</v>
      </c>
      <c r="I41" s="6" t="s">
        <v>17</v>
      </c>
      <c r="J41" s="6" t="s">
        <v>18</v>
      </c>
      <c r="K41" s="6" t="s">
        <v>19</v>
      </c>
      <c r="L41" s="6" t="s">
        <v>20</v>
      </c>
      <c r="M41" s="6" t="s">
        <v>21</v>
      </c>
      <c r="N41" s="6" t="s">
        <v>22</v>
      </c>
      <c r="O41" s="6" t="s">
        <v>23</v>
      </c>
      <c r="P41" s="6" t="s">
        <v>24</v>
      </c>
      <c r="Q41" s="7" t="s">
        <v>25</v>
      </c>
      <c r="R41" s="6" t="s">
        <v>26</v>
      </c>
      <c r="S41" s="6" t="s">
        <v>27</v>
      </c>
      <c r="T41" s="6" t="s">
        <v>28</v>
      </c>
      <c r="U41" s="6" t="s">
        <v>29</v>
      </c>
      <c r="V41" s="6" t="s">
        <v>30</v>
      </c>
      <c r="W41" s="8" t="s">
        <v>31</v>
      </c>
      <c r="X41" s="8" t="s">
        <v>32</v>
      </c>
      <c r="Y41" s="8" t="s">
        <v>33</v>
      </c>
      <c r="Z41" s="8" t="s">
        <v>34</v>
      </c>
      <c r="AA41" s="8" t="s">
        <v>35</v>
      </c>
      <c r="AB41" s="8" t="s">
        <v>36</v>
      </c>
      <c r="AC41" s="8" t="s">
        <v>37</v>
      </c>
      <c r="AD41" s="8" t="s">
        <v>38</v>
      </c>
      <c r="AE41" s="9" t="s">
        <v>39</v>
      </c>
      <c r="AF41" s="8" t="s">
        <v>40</v>
      </c>
      <c r="AG41" s="8" t="s">
        <v>41</v>
      </c>
      <c r="AH41" s="8" t="s">
        <v>42</v>
      </c>
      <c r="AI41" s="8" t="s">
        <v>43</v>
      </c>
      <c r="AJ41" s="8" t="s">
        <v>44</v>
      </c>
      <c r="AK41" s="8" t="s">
        <v>45</v>
      </c>
      <c r="AL41" s="8" t="s">
        <v>46</v>
      </c>
      <c r="AM41" s="8" t="s">
        <v>47</v>
      </c>
      <c r="AN41" s="8" t="s">
        <v>48</v>
      </c>
      <c r="AO41" s="8" t="s">
        <v>49</v>
      </c>
      <c r="AP41" s="8" t="s">
        <v>50</v>
      </c>
      <c r="AQ41" s="8" t="s">
        <v>51</v>
      </c>
      <c r="AR41" s="8" t="s">
        <v>309</v>
      </c>
      <c r="AS41" s="42"/>
    </row>
    <row r="42" spans="2:46" s="13" customFormat="1" ht="13.5" outlineLevel="1">
      <c r="B42" s="43" t="s">
        <v>83</v>
      </c>
      <c r="C42" s="2" t="s">
        <v>71</v>
      </c>
      <c r="D42" s="44"/>
      <c r="E42" s="44"/>
      <c r="F42" s="44"/>
      <c r="G42" s="44"/>
      <c r="H42" s="45" t="s">
        <v>72</v>
      </c>
      <c r="I42" s="45" t="s">
        <v>72</v>
      </c>
      <c r="J42" s="45" t="s">
        <v>72</v>
      </c>
      <c r="K42" s="45" t="s">
        <v>72</v>
      </c>
      <c r="L42" s="45" t="s">
        <v>72</v>
      </c>
      <c r="M42" s="45" t="s">
        <v>72</v>
      </c>
      <c r="N42" s="45" t="s">
        <v>72</v>
      </c>
      <c r="O42" s="45" t="s">
        <v>72</v>
      </c>
      <c r="P42" s="45" t="s">
        <v>72</v>
      </c>
      <c r="Q42" s="45" t="s">
        <v>72</v>
      </c>
      <c r="R42" s="45" t="s">
        <v>72</v>
      </c>
      <c r="S42" s="45" t="s">
        <v>72</v>
      </c>
      <c r="T42" s="45" t="s">
        <v>72</v>
      </c>
      <c r="U42" s="45" t="s">
        <v>72</v>
      </c>
      <c r="V42" s="45" t="s">
        <v>72</v>
      </c>
      <c r="W42" s="45" t="s">
        <v>72</v>
      </c>
      <c r="X42" s="45" t="s">
        <v>72</v>
      </c>
      <c r="Y42" s="45" t="s">
        <v>72</v>
      </c>
      <c r="Z42" s="45" t="s">
        <v>72</v>
      </c>
      <c r="AA42" s="45" t="s">
        <v>72</v>
      </c>
      <c r="AB42" s="45" t="s">
        <v>72</v>
      </c>
      <c r="AC42" s="45" t="s">
        <v>72</v>
      </c>
      <c r="AD42" s="45" t="s">
        <v>72</v>
      </c>
      <c r="AE42" s="45" t="s">
        <v>72</v>
      </c>
      <c r="AF42" s="46">
        <v>3439.7</v>
      </c>
      <c r="AG42" s="46">
        <v>3625.9830000000002</v>
      </c>
      <c r="AH42" s="46">
        <v>3747.2</v>
      </c>
      <c r="AI42" s="46">
        <v>4071.4870000000001</v>
      </c>
      <c r="AJ42" s="46">
        <v>4105.1652308599996</v>
      </c>
      <c r="AK42" s="46">
        <v>4333.6220000000003</v>
      </c>
      <c r="AL42" s="27">
        <v>4372.71</v>
      </c>
      <c r="AM42" s="27">
        <v>4357.4939999999997</v>
      </c>
      <c r="AN42" s="53">
        <v>4394.9610000000002</v>
      </c>
      <c r="AO42" s="53">
        <v>4442.866</v>
      </c>
      <c r="AP42" s="53">
        <v>4646.1379999999999</v>
      </c>
      <c r="AQ42" s="53">
        <v>4460.0959999999995</v>
      </c>
      <c r="AR42" s="53">
        <v>4580.0079999999998</v>
      </c>
      <c r="AS42" s="37"/>
    </row>
    <row r="43" spans="2:46" s="13" customFormat="1" ht="13.5" outlineLevel="1">
      <c r="B43" s="43" t="s">
        <v>84</v>
      </c>
      <c r="C43" s="2" t="s">
        <v>71</v>
      </c>
      <c r="D43" s="44"/>
      <c r="E43" s="44"/>
      <c r="F43" s="44"/>
      <c r="G43" s="44"/>
      <c r="H43" s="45" t="s">
        <v>72</v>
      </c>
      <c r="I43" s="45" t="s">
        <v>72</v>
      </c>
      <c r="J43" s="45" t="s">
        <v>72</v>
      </c>
      <c r="K43" s="45" t="s">
        <v>72</v>
      </c>
      <c r="L43" s="45" t="s">
        <v>72</v>
      </c>
      <c r="M43" s="45" t="s">
        <v>72</v>
      </c>
      <c r="N43" s="45" t="s">
        <v>72</v>
      </c>
      <c r="O43" s="45" t="s">
        <v>72</v>
      </c>
      <c r="P43" s="45" t="s">
        <v>72</v>
      </c>
      <c r="Q43" s="45" t="s">
        <v>72</v>
      </c>
      <c r="R43" s="45" t="s">
        <v>72</v>
      </c>
      <c r="S43" s="45" t="s">
        <v>72</v>
      </c>
      <c r="T43" s="45" t="s">
        <v>72</v>
      </c>
      <c r="U43" s="45" t="s">
        <v>72</v>
      </c>
      <c r="V43" s="45" t="s">
        <v>72</v>
      </c>
      <c r="W43" s="45" t="s">
        <v>72</v>
      </c>
      <c r="X43" s="45" t="s">
        <v>72</v>
      </c>
      <c r="Y43" s="45" t="s">
        <v>72</v>
      </c>
      <c r="Z43" s="45" t="s">
        <v>72</v>
      </c>
      <c r="AA43" s="45" t="s">
        <v>72</v>
      </c>
      <c r="AB43" s="45" t="s">
        <v>72</v>
      </c>
      <c r="AC43" s="45" t="s">
        <v>72</v>
      </c>
      <c r="AD43" s="45" t="s">
        <v>72</v>
      </c>
      <c r="AE43" s="45" t="s">
        <v>72</v>
      </c>
      <c r="AF43" s="47">
        <f>SUM(AF44:AF49)</f>
        <v>4011.4370000000013</v>
      </c>
      <c r="AG43" s="47">
        <f>SUM(AG44:AG49)</f>
        <v>4568.3690000000006</v>
      </c>
      <c r="AH43" s="47">
        <f>SUM(AH44:AH49)</f>
        <v>4816.5329999999994</v>
      </c>
      <c r="AI43" s="47">
        <f>SUM(AI44:AI49)</f>
        <v>5484.1410000000005</v>
      </c>
      <c r="AJ43" s="47">
        <f>SUM(AJ44:AJ49)</f>
        <v>6028.3494939800012</v>
      </c>
      <c r="AK43" s="47">
        <f t="shared" ref="AK43:AP43" si="14">SUM(AK44:AK49)</f>
        <v>7470.4839999999995</v>
      </c>
      <c r="AL43" s="48">
        <f t="shared" si="14"/>
        <v>7789.9979999999978</v>
      </c>
      <c r="AM43" s="48">
        <f t="shared" si="14"/>
        <v>8993.1790000000037</v>
      </c>
      <c r="AN43" s="48">
        <f t="shared" si="14"/>
        <v>9391.0980000000018</v>
      </c>
      <c r="AO43" s="48">
        <f>SUM(AO44:AO49)</f>
        <v>9427.7000000000007</v>
      </c>
      <c r="AP43" s="48">
        <f t="shared" si="14"/>
        <v>9854.8490000000038</v>
      </c>
      <c r="AQ43" s="48">
        <f>SUM(AQ44:AQ49)</f>
        <v>9924.8009999999977</v>
      </c>
      <c r="AR43" s="48">
        <f>SUM(AR44:AR49)</f>
        <v>9894.0139999999992</v>
      </c>
      <c r="AS43" s="37"/>
    </row>
    <row r="44" spans="2:46" s="13" customFormat="1" ht="13.5" outlineLevel="1">
      <c r="B44" s="43" t="s">
        <v>85</v>
      </c>
      <c r="C44" s="2" t="s">
        <v>71</v>
      </c>
      <c r="D44" s="44"/>
      <c r="E44" s="44"/>
      <c r="F44" s="44"/>
      <c r="G44" s="44"/>
      <c r="H44" s="45" t="s">
        <v>72</v>
      </c>
      <c r="I44" s="45" t="s">
        <v>72</v>
      </c>
      <c r="J44" s="45" t="s">
        <v>72</v>
      </c>
      <c r="K44" s="45" t="s">
        <v>72</v>
      </c>
      <c r="L44" s="45" t="s">
        <v>72</v>
      </c>
      <c r="M44" s="45" t="s">
        <v>72</v>
      </c>
      <c r="N44" s="45" t="s">
        <v>72</v>
      </c>
      <c r="O44" s="45" t="s">
        <v>72</v>
      </c>
      <c r="P44" s="45" t="s">
        <v>72</v>
      </c>
      <c r="Q44" s="45" t="s">
        <v>72</v>
      </c>
      <c r="R44" s="45" t="s">
        <v>72</v>
      </c>
      <c r="S44" s="45" t="s">
        <v>72</v>
      </c>
      <c r="T44" s="45" t="s">
        <v>72</v>
      </c>
      <c r="U44" s="45" t="s">
        <v>72</v>
      </c>
      <c r="V44" s="45" t="s">
        <v>72</v>
      </c>
      <c r="W44" s="45" t="s">
        <v>72</v>
      </c>
      <c r="X44" s="45" t="s">
        <v>72</v>
      </c>
      <c r="Y44" s="45" t="s">
        <v>72</v>
      </c>
      <c r="Z44" s="45" t="s">
        <v>72</v>
      </c>
      <c r="AA44" s="45" t="s">
        <v>72</v>
      </c>
      <c r="AB44" s="45" t="s">
        <v>72</v>
      </c>
      <c r="AC44" s="45" t="s">
        <v>72</v>
      </c>
      <c r="AD44" s="45" t="s">
        <v>72</v>
      </c>
      <c r="AE44" s="45" t="s">
        <v>72</v>
      </c>
      <c r="AF44" s="47">
        <v>17838.061000000002</v>
      </c>
      <c r="AG44" s="47">
        <v>18281.607</v>
      </c>
      <c r="AH44" s="47">
        <v>18436.3</v>
      </c>
      <c r="AI44" s="47">
        <v>21269.168000000001</v>
      </c>
      <c r="AJ44" s="47">
        <v>21700.61819642</v>
      </c>
      <c r="AK44" s="47">
        <v>26366.806</v>
      </c>
      <c r="AL44" s="48">
        <v>26615.335999999999</v>
      </c>
      <c r="AM44" s="48">
        <v>30030.722000000002</v>
      </c>
      <c r="AN44" s="48">
        <v>30369.210999999999</v>
      </c>
      <c r="AO44" s="48">
        <v>30294.735000000001</v>
      </c>
      <c r="AP44" s="48">
        <v>30871.064999999999</v>
      </c>
      <c r="AQ44" s="48">
        <v>31058.001</v>
      </c>
      <c r="AR44" s="48">
        <v>31185.580999999998</v>
      </c>
      <c r="AS44" s="37"/>
    </row>
    <row r="45" spans="2:46" s="13" customFormat="1" outlineLevel="1">
      <c r="B45" s="13" t="s">
        <v>86</v>
      </c>
      <c r="C45" s="1" t="s">
        <v>71</v>
      </c>
      <c r="D45" s="49"/>
      <c r="E45" s="49"/>
      <c r="F45" s="49"/>
      <c r="G45" s="49"/>
      <c r="H45" s="50" t="s">
        <v>72</v>
      </c>
      <c r="I45" s="50" t="s">
        <v>72</v>
      </c>
      <c r="J45" s="50" t="s">
        <v>72</v>
      </c>
      <c r="K45" s="50" t="s">
        <v>72</v>
      </c>
      <c r="L45" s="50" t="s">
        <v>72</v>
      </c>
      <c r="M45" s="50" t="s">
        <v>72</v>
      </c>
      <c r="N45" s="50" t="s">
        <v>72</v>
      </c>
      <c r="O45" s="50" t="s">
        <v>72</v>
      </c>
      <c r="P45" s="50" t="s">
        <v>72</v>
      </c>
      <c r="Q45" s="50" t="s">
        <v>72</v>
      </c>
      <c r="R45" s="50" t="s">
        <v>72</v>
      </c>
      <c r="S45" s="50" t="s">
        <v>72</v>
      </c>
      <c r="T45" s="50" t="s">
        <v>72</v>
      </c>
      <c r="U45" s="50" t="s">
        <v>72</v>
      </c>
      <c r="V45" s="50" t="s">
        <v>72</v>
      </c>
      <c r="W45" s="50" t="s">
        <v>72</v>
      </c>
      <c r="X45" s="50" t="s">
        <v>72</v>
      </c>
      <c r="Y45" s="50" t="s">
        <v>72</v>
      </c>
      <c r="Z45" s="50" t="s">
        <v>72</v>
      </c>
      <c r="AA45" s="50" t="s">
        <v>72</v>
      </c>
      <c r="AB45" s="50" t="s">
        <v>72</v>
      </c>
      <c r="AC45" s="50" t="s">
        <v>72</v>
      </c>
      <c r="AD45" s="50" t="s">
        <v>72</v>
      </c>
      <c r="AE45" s="50" t="s">
        <v>72</v>
      </c>
      <c r="AF45" s="46">
        <v>-9097.6180000000004</v>
      </c>
      <c r="AG45" s="46">
        <v>-9011.2549999999992</v>
      </c>
      <c r="AH45" s="46">
        <v>-9158.8040000000001</v>
      </c>
      <c r="AI45" s="46">
        <v>-11439.205</v>
      </c>
      <c r="AJ45" s="46">
        <v>-11304.01618067</v>
      </c>
      <c r="AK45" s="46">
        <v>-11328.993</v>
      </c>
      <c r="AL45" s="27">
        <v>-11259.003000000001</v>
      </c>
      <c r="AM45" s="27">
        <v>-11680.093999999999</v>
      </c>
      <c r="AN45" s="27">
        <v>-11587.15</v>
      </c>
      <c r="AO45" s="27">
        <v>-11464.405000000001</v>
      </c>
      <c r="AP45" s="27">
        <v>-11336.236999999999</v>
      </c>
      <c r="AQ45" s="27">
        <v>-11625.53</v>
      </c>
      <c r="AR45" s="27">
        <v>-11615.249</v>
      </c>
      <c r="AS45" s="37"/>
    </row>
    <row r="46" spans="2:46" s="13" customFormat="1" outlineLevel="1">
      <c r="B46" s="13" t="s">
        <v>87</v>
      </c>
      <c r="C46" s="1" t="s">
        <v>71</v>
      </c>
      <c r="D46" s="44"/>
      <c r="E46" s="44"/>
      <c r="F46" s="44"/>
      <c r="G46" s="44"/>
      <c r="H46" s="45" t="s">
        <v>72</v>
      </c>
      <c r="I46" s="45" t="s">
        <v>72</v>
      </c>
      <c r="J46" s="45" t="s">
        <v>72</v>
      </c>
      <c r="K46" s="45" t="s">
        <v>72</v>
      </c>
      <c r="L46" s="45" t="s">
        <v>72</v>
      </c>
      <c r="M46" s="45" t="s">
        <v>72</v>
      </c>
      <c r="N46" s="45" t="s">
        <v>72</v>
      </c>
      <c r="O46" s="45" t="s">
        <v>72</v>
      </c>
      <c r="P46" s="45" t="s">
        <v>72</v>
      </c>
      <c r="Q46" s="45" t="s">
        <v>72</v>
      </c>
      <c r="R46" s="45" t="s">
        <v>72</v>
      </c>
      <c r="S46" s="45" t="s">
        <v>72</v>
      </c>
      <c r="T46" s="45" t="s">
        <v>72</v>
      </c>
      <c r="U46" s="45" t="s">
        <v>72</v>
      </c>
      <c r="V46" s="45" t="s">
        <v>72</v>
      </c>
      <c r="W46" s="45" t="s">
        <v>72</v>
      </c>
      <c r="X46" s="45" t="s">
        <v>72</v>
      </c>
      <c r="Y46" s="45" t="s">
        <v>72</v>
      </c>
      <c r="Z46" s="45" t="s">
        <v>72</v>
      </c>
      <c r="AA46" s="45" t="s">
        <v>72</v>
      </c>
      <c r="AB46" s="45" t="s">
        <v>72</v>
      </c>
      <c r="AC46" s="45" t="s">
        <v>72</v>
      </c>
      <c r="AD46" s="45" t="s">
        <v>72</v>
      </c>
      <c r="AE46" s="45" t="s">
        <v>72</v>
      </c>
      <c r="AF46" s="46">
        <v>-3375.8310000000001</v>
      </c>
      <c r="AG46" s="46">
        <v>-3301.6970000000001</v>
      </c>
      <c r="AH46" s="46">
        <v>-3077.817</v>
      </c>
      <c r="AI46" s="46">
        <v>-3076.6559999999999</v>
      </c>
      <c r="AJ46" s="46">
        <v>-3089.5085217699998</v>
      </c>
      <c r="AK46" s="46">
        <v>-6307.0649999999996</v>
      </c>
      <c r="AL46" s="27">
        <v>-6317.79</v>
      </c>
      <c r="AM46" s="27">
        <v>-7897.933</v>
      </c>
      <c r="AN46" s="27">
        <v>-7911.29</v>
      </c>
      <c r="AO46" s="27">
        <v>-7935.85</v>
      </c>
      <c r="AP46" s="27">
        <v>-7947.0649999999996</v>
      </c>
      <c r="AQ46" s="27">
        <v>-7921.8459999999995</v>
      </c>
      <c r="AR46" s="27">
        <v>-7959.0159999999996</v>
      </c>
      <c r="AS46" s="37"/>
    </row>
    <row r="47" spans="2:46" s="13" customFormat="1" outlineLevel="1">
      <c r="B47" s="13" t="s">
        <v>88</v>
      </c>
      <c r="C47" s="1" t="s">
        <v>71</v>
      </c>
      <c r="D47" s="44"/>
      <c r="E47" s="44"/>
      <c r="F47" s="44"/>
      <c r="G47" s="44"/>
      <c r="H47" s="45" t="s">
        <v>72</v>
      </c>
      <c r="I47" s="45" t="s">
        <v>72</v>
      </c>
      <c r="J47" s="45" t="s">
        <v>72</v>
      </c>
      <c r="K47" s="45" t="s">
        <v>72</v>
      </c>
      <c r="L47" s="45" t="s">
        <v>72</v>
      </c>
      <c r="M47" s="45" t="s">
        <v>72</v>
      </c>
      <c r="N47" s="45" t="s">
        <v>72</v>
      </c>
      <c r="O47" s="45" t="s">
        <v>72</v>
      </c>
      <c r="P47" s="45" t="s">
        <v>72</v>
      </c>
      <c r="Q47" s="45" t="s">
        <v>72</v>
      </c>
      <c r="R47" s="45" t="s">
        <v>72</v>
      </c>
      <c r="S47" s="45" t="s">
        <v>72</v>
      </c>
      <c r="T47" s="45" t="s">
        <v>72</v>
      </c>
      <c r="U47" s="45" t="s">
        <v>72</v>
      </c>
      <c r="V47" s="45" t="s">
        <v>72</v>
      </c>
      <c r="W47" s="45" t="s">
        <v>72</v>
      </c>
      <c r="X47" s="45" t="s">
        <v>72</v>
      </c>
      <c r="Y47" s="45" t="s">
        <v>72</v>
      </c>
      <c r="Z47" s="45" t="s">
        <v>72</v>
      </c>
      <c r="AA47" s="45" t="s">
        <v>72</v>
      </c>
      <c r="AB47" s="45" t="s">
        <v>72</v>
      </c>
      <c r="AC47" s="45" t="s">
        <v>72</v>
      </c>
      <c r="AD47" s="45" t="s">
        <v>72</v>
      </c>
      <c r="AE47" s="45" t="s">
        <v>72</v>
      </c>
      <c r="AF47" s="46">
        <v>-735.13400000000001</v>
      </c>
      <c r="AG47" s="46">
        <v>-755.01400000000001</v>
      </c>
      <c r="AH47" s="46">
        <v>-724.84199999999998</v>
      </c>
      <c r="AI47" s="46">
        <v>-688.971</v>
      </c>
      <c r="AJ47" s="46">
        <v>-650.62400000000002</v>
      </c>
      <c r="AK47" s="46">
        <v>-658.52700000000004</v>
      </c>
      <c r="AL47" s="27">
        <v>-677.52700000000004</v>
      </c>
      <c r="AM47" s="27">
        <v>-704.88900000000001</v>
      </c>
      <c r="AN47" s="27">
        <v>-706.48699999999997</v>
      </c>
      <c r="AO47" s="27">
        <v>-734.05700000000002</v>
      </c>
      <c r="AP47" s="27">
        <v>-740.61199999999997</v>
      </c>
      <c r="AQ47" s="27">
        <v>-731.68899999999996</v>
      </c>
      <c r="AR47" s="27">
        <v>-792.92600000000004</v>
      </c>
      <c r="AS47" s="37"/>
    </row>
    <row r="48" spans="2:46" s="13" customFormat="1" outlineLevel="1">
      <c r="B48" s="13" t="s">
        <v>89</v>
      </c>
      <c r="C48" s="1" t="s">
        <v>71</v>
      </c>
      <c r="D48" s="44"/>
      <c r="E48" s="44"/>
      <c r="F48" s="44"/>
      <c r="G48" s="44"/>
      <c r="H48" s="45" t="s">
        <v>72</v>
      </c>
      <c r="I48" s="45" t="s">
        <v>72</v>
      </c>
      <c r="J48" s="45" t="s">
        <v>72</v>
      </c>
      <c r="K48" s="45" t="s">
        <v>72</v>
      </c>
      <c r="L48" s="45" t="s">
        <v>72</v>
      </c>
      <c r="M48" s="45" t="s">
        <v>72</v>
      </c>
      <c r="N48" s="45" t="s">
        <v>72</v>
      </c>
      <c r="O48" s="45" t="s">
        <v>72</v>
      </c>
      <c r="P48" s="45" t="s">
        <v>72</v>
      </c>
      <c r="Q48" s="45" t="s">
        <v>72</v>
      </c>
      <c r="R48" s="45" t="s">
        <v>72</v>
      </c>
      <c r="S48" s="45" t="s">
        <v>72</v>
      </c>
      <c r="T48" s="45" t="s">
        <v>72</v>
      </c>
      <c r="U48" s="45" t="s">
        <v>72</v>
      </c>
      <c r="V48" s="45" t="s">
        <v>72</v>
      </c>
      <c r="W48" s="45" t="s">
        <v>72</v>
      </c>
      <c r="X48" s="45" t="s">
        <v>72</v>
      </c>
      <c r="Y48" s="45" t="s">
        <v>72</v>
      </c>
      <c r="Z48" s="45" t="s">
        <v>72</v>
      </c>
      <c r="AA48" s="45" t="s">
        <v>72</v>
      </c>
      <c r="AB48" s="45" t="s">
        <v>72</v>
      </c>
      <c r="AC48" s="45" t="s">
        <v>72</v>
      </c>
      <c r="AD48" s="45" t="s">
        <v>72</v>
      </c>
      <c r="AE48" s="45" t="s">
        <v>72</v>
      </c>
      <c r="AF48" s="46">
        <v>-549.14599999999996</v>
      </c>
      <c r="AG48" s="46">
        <v>-507.67500000000001</v>
      </c>
      <c r="AH48" s="46">
        <v>-581.77200000000005</v>
      </c>
      <c r="AI48" s="33">
        <v>-480.01499999999999</v>
      </c>
      <c r="AJ48" s="33">
        <v>-502.74700000000001</v>
      </c>
      <c r="AK48" s="33">
        <v>-479.548</v>
      </c>
      <c r="AL48" s="34">
        <v>-459.82499999999999</v>
      </c>
      <c r="AM48" s="34">
        <v>-648.20600000000002</v>
      </c>
      <c r="AN48" s="34">
        <v>-626.19500000000005</v>
      </c>
      <c r="AO48" s="34">
        <v>-605.20899999999995</v>
      </c>
      <c r="AP48" s="34">
        <v>-823.55100000000004</v>
      </c>
      <c r="AQ48" s="34">
        <v>-692.38400000000001</v>
      </c>
      <c r="AR48" s="34">
        <v>-690.56500000000005</v>
      </c>
      <c r="AS48" s="37"/>
    </row>
    <row r="49" spans="2:54">
      <c r="B49" s="1" t="s">
        <v>90</v>
      </c>
      <c r="C49" s="1" t="s">
        <v>71</v>
      </c>
      <c r="D49" s="51"/>
      <c r="E49" s="51"/>
      <c r="F49" s="51"/>
      <c r="G49" s="51"/>
      <c r="H49" s="45" t="s">
        <v>72</v>
      </c>
      <c r="I49" s="45" t="s">
        <v>72</v>
      </c>
      <c r="J49" s="45" t="s">
        <v>72</v>
      </c>
      <c r="K49" s="45" t="s">
        <v>72</v>
      </c>
      <c r="L49" s="45" t="s">
        <v>72</v>
      </c>
      <c r="M49" s="45" t="s">
        <v>72</v>
      </c>
      <c r="N49" s="45" t="s">
        <v>72</v>
      </c>
      <c r="O49" s="45" t="s">
        <v>72</v>
      </c>
      <c r="P49" s="45" t="s">
        <v>72</v>
      </c>
      <c r="Q49" s="45" t="s">
        <v>72</v>
      </c>
      <c r="R49" s="45" t="s">
        <v>72</v>
      </c>
      <c r="S49" s="45" t="s">
        <v>72</v>
      </c>
      <c r="T49" s="45" t="s">
        <v>72</v>
      </c>
      <c r="U49" s="45" t="s">
        <v>72</v>
      </c>
      <c r="V49" s="45" t="s">
        <v>72</v>
      </c>
      <c r="W49" s="45" t="s">
        <v>72</v>
      </c>
      <c r="X49" s="45" t="s">
        <v>72</v>
      </c>
      <c r="Y49" s="45" t="s">
        <v>72</v>
      </c>
      <c r="Z49" s="45" t="s">
        <v>72</v>
      </c>
      <c r="AA49" s="45" t="s">
        <v>72</v>
      </c>
      <c r="AB49" s="45" t="s">
        <v>72</v>
      </c>
      <c r="AC49" s="45" t="s">
        <v>72</v>
      </c>
      <c r="AD49" s="45" t="s">
        <v>72</v>
      </c>
      <c r="AE49" s="45" t="s">
        <v>72</v>
      </c>
      <c r="AF49" s="33">
        <v>-68.894999999999996</v>
      </c>
      <c r="AG49" s="33">
        <v>-137.59700000000001</v>
      </c>
      <c r="AH49" s="33">
        <v>-76.531999999999996</v>
      </c>
      <c r="AI49" s="33">
        <v>-100.18</v>
      </c>
      <c r="AJ49" s="33">
        <v>-125.373</v>
      </c>
      <c r="AK49" s="33">
        <v>-122.18899999999999</v>
      </c>
      <c r="AL49" s="34">
        <v>-111.193</v>
      </c>
      <c r="AM49" s="34">
        <v>-106.42100000000001</v>
      </c>
      <c r="AN49" s="34">
        <v>-146.99100000000001</v>
      </c>
      <c r="AO49" s="34">
        <v>-127.514</v>
      </c>
      <c r="AP49" s="34">
        <v>-168.751</v>
      </c>
      <c r="AQ49" s="34">
        <v>-161.751</v>
      </c>
      <c r="AR49" s="34">
        <v>-233.81100000000001</v>
      </c>
      <c r="AS49" s="37"/>
    </row>
    <row r="50" spans="2:54" ht="13.5">
      <c r="B50" s="2" t="s">
        <v>91</v>
      </c>
      <c r="C50" s="2" t="s">
        <v>71</v>
      </c>
      <c r="D50" s="51"/>
      <c r="E50" s="51"/>
      <c r="F50" s="51"/>
      <c r="G50" s="51"/>
      <c r="H50" s="45" t="s">
        <v>72</v>
      </c>
      <c r="I50" s="45" t="s">
        <v>72</v>
      </c>
      <c r="J50" s="45" t="s">
        <v>72</v>
      </c>
      <c r="K50" s="45" t="s">
        <v>72</v>
      </c>
      <c r="L50" s="45" t="s">
        <v>72</v>
      </c>
      <c r="M50" s="45" t="s">
        <v>72</v>
      </c>
      <c r="N50" s="45" t="s">
        <v>72</v>
      </c>
      <c r="O50" s="45" t="s">
        <v>72</v>
      </c>
      <c r="P50" s="45" t="s">
        <v>72</v>
      </c>
      <c r="Q50" s="45" t="s">
        <v>72</v>
      </c>
      <c r="R50" s="45" t="s">
        <v>72</v>
      </c>
      <c r="S50" s="45" t="s">
        <v>72</v>
      </c>
      <c r="T50" s="45" t="s">
        <v>72</v>
      </c>
      <c r="U50" s="45" t="s">
        <v>72</v>
      </c>
      <c r="V50" s="45" t="s">
        <v>72</v>
      </c>
      <c r="W50" s="45" t="s">
        <v>72</v>
      </c>
      <c r="X50" s="45" t="s">
        <v>72</v>
      </c>
      <c r="Y50" s="45" t="s">
        <v>72</v>
      </c>
      <c r="Z50" s="45" t="s">
        <v>72</v>
      </c>
      <c r="AA50" s="45" t="s">
        <v>72</v>
      </c>
      <c r="AB50" s="45" t="s">
        <v>72</v>
      </c>
      <c r="AC50" s="45" t="s">
        <v>72</v>
      </c>
      <c r="AD50" s="45" t="s">
        <v>72</v>
      </c>
      <c r="AE50" s="45" t="s">
        <v>72</v>
      </c>
      <c r="AF50" s="47">
        <f>AF43-AF42</f>
        <v>571.73700000000144</v>
      </c>
      <c r="AG50" s="47">
        <f>AG43-AG42</f>
        <v>942.38600000000042</v>
      </c>
      <c r="AH50" s="47">
        <f>AH43-AH42</f>
        <v>1069.3329999999996</v>
      </c>
      <c r="AI50" s="47">
        <f>AI43-AI42</f>
        <v>1412.6540000000005</v>
      </c>
      <c r="AJ50" s="47">
        <f>AJ43-AJ42</f>
        <v>1923.1842631200016</v>
      </c>
      <c r="AK50" s="47">
        <f t="shared" ref="AK50:AP50" si="15">AK43-AK42</f>
        <v>3136.8619999999992</v>
      </c>
      <c r="AL50" s="48">
        <f t="shared" si="15"/>
        <v>3417.2879999999977</v>
      </c>
      <c r="AM50" s="48">
        <f t="shared" si="15"/>
        <v>4635.685000000004</v>
      </c>
      <c r="AN50" s="48">
        <f t="shared" si="15"/>
        <v>4996.1370000000015</v>
      </c>
      <c r="AO50" s="48">
        <f t="shared" si="15"/>
        <v>4984.8340000000007</v>
      </c>
      <c r="AP50" s="48">
        <f t="shared" si="15"/>
        <v>5208.7110000000039</v>
      </c>
      <c r="AQ50" s="48">
        <f>AQ43-AQ42</f>
        <v>5464.7049999999981</v>
      </c>
      <c r="AR50" s="48">
        <f>AR43-AR42</f>
        <v>5314.0059999999994</v>
      </c>
      <c r="AS50" s="48"/>
    </row>
    <row r="51" spans="2:54" ht="13.5">
      <c r="H51" s="37"/>
      <c r="I51" s="37"/>
      <c r="J51" s="37"/>
      <c r="K51" s="37"/>
      <c r="L51" s="37"/>
      <c r="M51" s="37"/>
      <c r="N51" s="37"/>
      <c r="O51" s="37"/>
      <c r="P51" s="37"/>
      <c r="Q51" s="37"/>
      <c r="R51" s="37"/>
      <c r="S51" s="37"/>
      <c r="T51" s="37"/>
      <c r="U51" s="37"/>
      <c r="V51" s="37"/>
      <c r="W51" s="37"/>
      <c r="X51" s="37"/>
      <c r="Y51" s="37"/>
      <c r="Z51" s="37"/>
      <c r="AA51" s="37"/>
      <c r="AB51" s="37"/>
      <c r="AC51" s="37"/>
      <c r="AD51" s="37"/>
      <c r="AE51" s="52"/>
      <c r="AF51" s="52"/>
      <c r="AG51" s="52"/>
      <c r="AH51" s="52"/>
      <c r="AI51" s="52"/>
      <c r="AJ51" s="52"/>
      <c r="AK51" s="52"/>
      <c r="AL51" s="52"/>
      <c r="AM51" s="52"/>
      <c r="AN51" s="52"/>
      <c r="AO51" s="52"/>
      <c r="AP51" s="52"/>
      <c r="AQ51" s="52"/>
      <c r="AR51" s="52"/>
      <c r="AS51" s="37"/>
    </row>
    <row r="52" spans="2:54" s="5" customFormat="1" ht="13.5">
      <c r="B52" s="4" t="s">
        <v>92</v>
      </c>
      <c r="AS52" s="37"/>
    </row>
    <row r="53" spans="2:54" ht="27" outlineLevel="1">
      <c r="B53" s="6" t="s">
        <v>10</v>
      </c>
      <c r="C53" s="6" t="s">
        <v>11</v>
      </c>
      <c r="D53" s="6" t="s">
        <v>12</v>
      </c>
      <c r="E53" s="6" t="s">
        <v>13</v>
      </c>
      <c r="F53" s="6" t="s">
        <v>14</v>
      </c>
      <c r="G53" s="6" t="s">
        <v>15</v>
      </c>
      <c r="H53" s="6" t="s">
        <v>16</v>
      </c>
      <c r="I53" s="6" t="s">
        <v>17</v>
      </c>
      <c r="J53" s="6" t="s">
        <v>18</v>
      </c>
      <c r="K53" s="6" t="s">
        <v>19</v>
      </c>
      <c r="L53" s="6" t="s">
        <v>20</v>
      </c>
      <c r="M53" s="6" t="s">
        <v>21</v>
      </c>
      <c r="N53" s="6" t="s">
        <v>22</v>
      </c>
      <c r="O53" s="6" t="s">
        <v>23</v>
      </c>
      <c r="P53" s="6" t="s">
        <v>24</v>
      </c>
      <c r="Q53" s="7" t="s">
        <v>25</v>
      </c>
      <c r="R53" s="6" t="s">
        <v>26</v>
      </c>
      <c r="S53" s="6" t="s">
        <v>27</v>
      </c>
      <c r="T53" s="6" t="s">
        <v>28</v>
      </c>
      <c r="U53" s="6" t="s">
        <v>29</v>
      </c>
      <c r="V53" s="6" t="s">
        <v>30</v>
      </c>
      <c r="W53" s="6" t="s">
        <v>31</v>
      </c>
      <c r="X53" s="6" t="s">
        <v>32</v>
      </c>
      <c r="Y53" s="6" t="s">
        <v>33</v>
      </c>
      <c r="Z53" s="6" t="s">
        <v>34</v>
      </c>
      <c r="AA53" s="6" t="s">
        <v>35</v>
      </c>
      <c r="AB53" s="6" t="s">
        <v>36</v>
      </c>
      <c r="AC53" s="6" t="s">
        <v>37</v>
      </c>
      <c r="AD53" s="6" t="s">
        <v>38</v>
      </c>
      <c r="AE53" s="7" t="s">
        <v>39</v>
      </c>
      <c r="AF53" s="6" t="s">
        <v>93</v>
      </c>
      <c r="AG53" s="6" t="s">
        <v>94</v>
      </c>
      <c r="AH53" s="6" t="s">
        <v>95</v>
      </c>
      <c r="AI53" s="6" t="s">
        <v>96</v>
      </c>
      <c r="AJ53" s="6" t="s">
        <v>44</v>
      </c>
      <c r="AK53" s="6" t="s">
        <v>45</v>
      </c>
      <c r="AL53" s="6" t="s">
        <v>46</v>
      </c>
      <c r="AM53" s="6" t="s">
        <v>47</v>
      </c>
      <c r="AN53" s="8" t="s">
        <v>48</v>
      </c>
      <c r="AO53" s="8" t="s">
        <v>49</v>
      </c>
      <c r="AP53" s="8" t="s">
        <v>50</v>
      </c>
      <c r="AQ53" s="8" t="s">
        <v>51</v>
      </c>
      <c r="AR53" s="8" t="s">
        <v>309</v>
      </c>
      <c r="AT53" s="6">
        <v>2017</v>
      </c>
      <c r="AU53" s="6">
        <v>2018</v>
      </c>
      <c r="AV53" s="6">
        <v>2019</v>
      </c>
      <c r="AW53" s="6">
        <v>2020</v>
      </c>
      <c r="AX53" s="6">
        <v>2021</v>
      </c>
      <c r="AY53" s="6">
        <v>2022</v>
      </c>
      <c r="AZ53" s="101" t="s">
        <v>97</v>
      </c>
      <c r="BA53" s="6">
        <v>2024</v>
      </c>
      <c r="BB53" s="7">
        <v>2025</v>
      </c>
    </row>
    <row r="54" spans="2:54" outlineLevel="1">
      <c r="B54" s="18" t="s">
        <v>98</v>
      </c>
      <c r="C54" s="1" t="s">
        <v>71</v>
      </c>
      <c r="D54" s="53"/>
      <c r="E54" s="53"/>
      <c r="F54" s="53"/>
      <c r="G54" s="53"/>
      <c r="H54" s="53">
        <v>925.57022447999975</v>
      </c>
      <c r="I54" s="53">
        <v>965.17208590999985</v>
      </c>
      <c r="J54" s="53">
        <v>1024.7834355700002</v>
      </c>
      <c r="K54" s="53">
        <v>1084.2657113099999</v>
      </c>
      <c r="L54" s="53">
        <v>1136.0940000000001</v>
      </c>
      <c r="M54" s="53">
        <v>1160.5070000000001</v>
      </c>
      <c r="N54" s="53">
        <v>1213.623</v>
      </c>
      <c r="O54" s="53">
        <v>1247.9361650000001</v>
      </c>
      <c r="P54" s="53">
        <v>1309.577</v>
      </c>
      <c r="Q54" s="53">
        <v>1327.9549999999999</v>
      </c>
      <c r="R54" s="53">
        <v>1394.433</v>
      </c>
      <c r="S54" s="53">
        <v>1845.1970000000001</v>
      </c>
      <c r="T54" s="53">
        <v>2111.9209999999998</v>
      </c>
      <c r="U54" s="53">
        <v>2106.0010000000002</v>
      </c>
      <c r="V54" s="53">
        <v>2160.6750000000002</v>
      </c>
      <c r="W54" s="53">
        <v>2315.3999999999987</v>
      </c>
      <c r="X54" s="53">
        <v>2371.605</v>
      </c>
      <c r="Y54" s="53">
        <v>2442.4780000000001</v>
      </c>
      <c r="Z54" s="53">
        <v>2614.973</v>
      </c>
      <c r="AA54" s="53">
        <v>2649.393</v>
      </c>
      <c r="AB54" s="53">
        <v>4791.8050000000003</v>
      </c>
      <c r="AC54" s="53">
        <v>5981.308</v>
      </c>
      <c r="AD54" s="53">
        <v>6239.7240000000002</v>
      </c>
      <c r="AE54" s="54">
        <v>6461.8320000000003</v>
      </c>
      <c r="AF54" s="54">
        <v>6698.1746688000003</v>
      </c>
      <c r="AG54" s="54">
        <v>6851.5421982799999</v>
      </c>
      <c r="AH54" s="54">
        <v>6857.9958539300014</v>
      </c>
      <c r="AI54" s="54">
        <v>6977.7222789899997</v>
      </c>
      <c r="AJ54" s="54">
        <v>7078.1850000000004</v>
      </c>
      <c r="AK54" s="54">
        <v>7198.2879999999996</v>
      </c>
      <c r="AL54" s="54">
        <v>7408.4924554800009</v>
      </c>
      <c r="AM54" s="54">
        <v>7601.7475445200025</v>
      </c>
      <c r="AN54" s="54">
        <v>7611.9579999999996</v>
      </c>
      <c r="AO54" s="54">
        <v>7754.2292429500003</v>
      </c>
      <c r="AP54" s="54">
        <v>7817.7583126600002</v>
      </c>
      <c r="AQ54" s="54">
        <v>8007.0187049100014</v>
      </c>
      <c r="AR54" s="54">
        <v>8007.5559999999996</v>
      </c>
      <c r="AS54" s="63"/>
      <c r="AT54" s="53">
        <f>SUM(H54:K54)</f>
        <v>3999.7914572699997</v>
      </c>
      <c r="AU54" s="53">
        <f>SUM(L54:O54)</f>
        <v>4758.1601650000002</v>
      </c>
      <c r="AV54" s="53">
        <f>SUM(P54:S54)</f>
        <v>5877.1620000000003</v>
      </c>
      <c r="AW54" s="53">
        <f>SUM(T54:W54)</f>
        <v>8693.9969999999994</v>
      </c>
      <c r="AX54" s="53">
        <f>SUM(X54:AA54)</f>
        <v>10078.449000000001</v>
      </c>
      <c r="AY54" s="53">
        <f>SUM(AB54:AE54)</f>
        <v>23474.669000000002</v>
      </c>
      <c r="AZ54" s="53">
        <f>SUM(AF54:AI54)</f>
        <v>27385.435000000001</v>
      </c>
      <c r="BA54" s="53">
        <f>SUM(AJ54:AM54)</f>
        <v>29286.713000000003</v>
      </c>
      <c r="BB54" s="53">
        <f>SUM(AN54:AQ54)</f>
        <v>31190.964260520002</v>
      </c>
    </row>
    <row r="55" spans="2:54" outlineLevel="1">
      <c r="B55" s="18" t="s">
        <v>99</v>
      </c>
      <c r="C55" s="1" t="s">
        <v>71</v>
      </c>
      <c r="D55" s="53"/>
      <c r="E55" s="53"/>
      <c r="F55" s="53"/>
      <c r="G55" s="53"/>
      <c r="H55" s="53">
        <v>2.0145319599999931</v>
      </c>
      <c r="I55" s="53">
        <v>2.5316611400002724</v>
      </c>
      <c r="J55" s="53">
        <v>8.3242446599997351</v>
      </c>
      <c r="K55" s="53">
        <v>7.1004848200002462</v>
      </c>
      <c r="L55" s="53">
        <v>3.0680000000000001</v>
      </c>
      <c r="M55" s="53">
        <v>3.4647999999999999</v>
      </c>
      <c r="N55" s="53">
        <v>2.0139999999999998</v>
      </c>
      <c r="O55" s="53">
        <v>17.022500000000001</v>
      </c>
      <c r="P55" s="53">
        <v>5.8070000000000004</v>
      </c>
      <c r="Q55" s="53">
        <v>4.6970000000000001</v>
      </c>
      <c r="R55" s="53">
        <v>7.6109999999999998</v>
      </c>
      <c r="S55" s="53">
        <v>35.9</v>
      </c>
      <c r="T55" s="53">
        <v>76.430000000000007</v>
      </c>
      <c r="U55" s="53">
        <v>70.878</v>
      </c>
      <c r="V55" s="53">
        <v>80.289000000000001</v>
      </c>
      <c r="W55" s="53">
        <v>91.343000000000004</v>
      </c>
      <c r="X55" s="53">
        <v>83.194000000000003</v>
      </c>
      <c r="Y55" s="53">
        <v>92.605999999999995</v>
      </c>
      <c r="Z55" s="53">
        <v>100.651</v>
      </c>
      <c r="AA55" s="53">
        <v>85.790999999999997</v>
      </c>
      <c r="AB55" s="53">
        <v>286.57900000000001</v>
      </c>
      <c r="AC55" s="53">
        <v>371.39400000000001</v>
      </c>
      <c r="AD55" s="53">
        <v>386.20100000000002</v>
      </c>
      <c r="AE55" s="53">
        <v>358.81599999999997</v>
      </c>
      <c r="AF55" s="53">
        <v>361.14800000000002</v>
      </c>
      <c r="AG55" s="53">
        <v>339.31900000000002</v>
      </c>
      <c r="AH55" s="53">
        <v>349.95299999999997</v>
      </c>
      <c r="AI55" s="53">
        <v>267.56242378999991</v>
      </c>
      <c r="AJ55" s="54">
        <v>218.46700000000001</v>
      </c>
      <c r="AK55" s="54">
        <v>246.80699999999999</v>
      </c>
      <c r="AL55" s="54">
        <v>243.48999999999998</v>
      </c>
      <c r="AM55" s="54">
        <v>220.85400000000007</v>
      </c>
      <c r="AN55" s="54">
        <v>222.36699999999999</v>
      </c>
      <c r="AO55" s="54">
        <v>217.02272963999997</v>
      </c>
      <c r="AP55" s="54">
        <v>226.86099999999999</v>
      </c>
      <c r="AQ55" s="54">
        <v>223.99716616000006</v>
      </c>
      <c r="AR55" s="54">
        <v>215.142</v>
      </c>
      <c r="AS55" s="63"/>
      <c r="AT55" s="53">
        <f>SUM(H55:K55)</f>
        <v>19.970922580000249</v>
      </c>
      <c r="AU55" s="53">
        <f>SUM(L55:O55)</f>
        <v>25.569299999999998</v>
      </c>
      <c r="AV55" s="53">
        <f>SUM(P55:S55)</f>
        <v>54.015000000000001</v>
      </c>
      <c r="AW55" s="53">
        <f>SUM(T55:W55)</f>
        <v>318.94</v>
      </c>
      <c r="AX55" s="53">
        <f>SUM(X55:AA55)</f>
        <v>362.24200000000002</v>
      </c>
      <c r="AY55" s="53">
        <f>SUM(AB55:AE55)</f>
        <v>1402.99</v>
      </c>
      <c r="AZ55" s="53">
        <f>SUM(AF55:AI55)</f>
        <v>1317.98242379</v>
      </c>
      <c r="BA55" s="53">
        <f t="shared" ref="BA55:BA64" si="16">SUM(AJ55:AM55)</f>
        <v>929.61800000000005</v>
      </c>
      <c r="BB55" s="53">
        <f t="shared" ref="BB55:BB64" si="17">SUM(AN55:AQ55)</f>
        <v>890.24789579999992</v>
      </c>
    </row>
    <row r="56" spans="2:54" outlineLevel="1">
      <c r="B56" s="18" t="s">
        <v>100</v>
      </c>
      <c r="C56" s="1" t="s">
        <v>71</v>
      </c>
      <c r="D56" s="53"/>
      <c r="E56" s="53"/>
      <c r="F56" s="53"/>
      <c r="G56" s="53"/>
      <c r="H56" s="53">
        <v>-39.811618499999994</v>
      </c>
      <c r="I56" s="53">
        <v>-40.970793260000022</v>
      </c>
      <c r="J56" s="53">
        <v>-43.416113939999988</v>
      </c>
      <c r="K56" s="53">
        <v>-47.583718340000019</v>
      </c>
      <c r="L56" s="53">
        <v>-49.290399999999998</v>
      </c>
      <c r="M56" s="53">
        <v>-53.022799999999997</v>
      </c>
      <c r="N56" s="53">
        <v>-51.902000000000001</v>
      </c>
      <c r="O56" s="53">
        <v>-53.616</v>
      </c>
      <c r="P56" s="53">
        <v>-58.384</v>
      </c>
      <c r="Q56" s="53">
        <v>-56.395000000000003</v>
      </c>
      <c r="R56" s="53">
        <v>-86.272999999999996</v>
      </c>
      <c r="S56" s="53">
        <v>-95.741999999999962</v>
      </c>
      <c r="T56" s="53">
        <v>-109.563</v>
      </c>
      <c r="U56" s="53">
        <v>-100.581</v>
      </c>
      <c r="V56" s="53">
        <v>-114.584</v>
      </c>
      <c r="W56" s="53">
        <v>-133.24799999999999</v>
      </c>
      <c r="X56" s="53">
        <v>-131.64599999999999</v>
      </c>
      <c r="Y56" s="53">
        <v>-132.64099999999999</v>
      </c>
      <c r="Z56" s="53">
        <v>-156.74199999999999</v>
      </c>
      <c r="AA56" s="53">
        <v>-136.27699999999999</v>
      </c>
      <c r="AB56" s="53">
        <v>-236.86199999999999</v>
      </c>
      <c r="AC56" s="53">
        <v>-269.08600000000001</v>
      </c>
      <c r="AD56" s="53">
        <v>-304.71300000000002</v>
      </c>
      <c r="AE56" s="53">
        <v>-318.19499999999999</v>
      </c>
      <c r="AF56" s="53">
        <f>-276.685-56.444</f>
        <v>-333.12900000000002</v>
      </c>
      <c r="AG56" s="53">
        <v>-351.03699999999998</v>
      </c>
      <c r="AH56" s="53">
        <v>-342.80479481999998</v>
      </c>
      <c r="AI56" s="55">
        <v>-310.33199999999999</v>
      </c>
      <c r="AJ56" s="54">
        <v>-305.20514658000099</v>
      </c>
      <c r="AK56" s="54">
        <v>-294.69548136000003</v>
      </c>
      <c r="AL56" s="54">
        <v>-314.22300000000001</v>
      </c>
      <c r="AM56" s="54">
        <v>-350.15195167000002</v>
      </c>
      <c r="AN56" s="54">
        <v>-334.81616897999999</v>
      </c>
      <c r="AO56" s="54">
        <v>-297.28499999999997</v>
      </c>
      <c r="AP56" s="54">
        <v>-269.69238449000005</v>
      </c>
      <c r="AQ56" s="54">
        <v>-316.16312642999998</v>
      </c>
      <c r="AR56" s="54">
        <v>-330.22800000000001</v>
      </c>
      <c r="AS56" s="63"/>
      <c r="AT56" s="53">
        <f>SUM(H56:K56)</f>
        <v>-171.78224404000002</v>
      </c>
      <c r="AU56" s="53">
        <f>SUM(L56:O56)</f>
        <v>-207.83119999999997</v>
      </c>
      <c r="AV56" s="53">
        <f>SUM(P56:S56)</f>
        <v>-296.79399999999998</v>
      </c>
      <c r="AW56" s="53">
        <f>SUM(T56:W56)</f>
        <v>-457.976</v>
      </c>
      <c r="AX56" s="53">
        <f>SUM(X56:AA56)</f>
        <v>-557.30600000000004</v>
      </c>
      <c r="AY56" s="53">
        <f>SUM(AB56:AE56)</f>
        <v>-1128.856</v>
      </c>
      <c r="AZ56" s="53">
        <f>SUM(AF56:AI56)</f>
        <v>-1337.3027948199997</v>
      </c>
      <c r="BA56" s="53">
        <f t="shared" si="16"/>
        <v>-1264.2755796100009</v>
      </c>
      <c r="BB56" s="53">
        <f t="shared" si="17"/>
        <v>-1217.9566798999999</v>
      </c>
    </row>
    <row r="57" spans="2:54" ht="13.5" outlineLevel="1" collapsed="1">
      <c r="B57" s="56" t="s">
        <v>101</v>
      </c>
      <c r="C57" s="10" t="s">
        <v>71</v>
      </c>
      <c r="D57" s="57"/>
      <c r="E57" s="57"/>
      <c r="F57" s="57"/>
      <c r="G57" s="57"/>
      <c r="H57" s="57">
        <f t="shared" ref="H57:N57" si="18">SUM(H54:H56)</f>
        <v>887.77313793999974</v>
      </c>
      <c r="I57" s="57">
        <f t="shared" si="18"/>
        <v>926.73295379000012</v>
      </c>
      <c r="J57" s="57">
        <f t="shared" si="18"/>
        <v>989.69156628999997</v>
      </c>
      <c r="K57" s="57">
        <f t="shared" si="18"/>
        <v>1043.78247779</v>
      </c>
      <c r="L57" s="57">
        <f t="shared" si="18"/>
        <v>1089.8715999999999</v>
      </c>
      <c r="M57" s="57">
        <f t="shared" si="18"/>
        <v>1110.9490000000001</v>
      </c>
      <c r="N57" s="57">
        <f t="shared" si="18"/>
        <v>1163.7349999999999</v>
      </c>
      <c r="O57" s="57">
        <f t="shared" ref="O57:Y57" si="19">SUM(O54:O56)</f>
        <v>1211.3426650000001</v>
      </c>
      <c r="P57" s="57">
        <f t="shared" si="19"/>
        <v>1257</v>
      </c>
      <c r="Q57" s="57">
        <f t="shared" si="19"/>
        <v>1276.2569999999998</v>
      </c>
      <c r="R57" s="57">
        <f t="shared" si="19"/>
        <v>1315.7710000000002</v>
      </c>
      <c r="S57" s="57">
        <f t="shared" si="19"/>
        <v>1785.3550000000002</v>
      </c>
      <c r="T57" s="57">
        <f t="shared" si="19"/>
        <v>2078.7879999999996</v>
      </c>
      <c r="U57" s="57">
        <f t="shared" si="19"/>
        <v>2076.2980000000002</v>
      </c>
      <c r="V57" s="57">
        <f t="shared" si="19"/>
        <v>2126.3800000000006</v>
      </c>
      <c r="W57" s="57">
        <f t="shared" si="19"/>
        <v>2273.4949999999985</v>
      </c>
      <c r="X57" s="57">
        <f t="shared" si="19"/>
        <v>2323.1529999999998</v>
      </c>
      <c r="Y57" s="57">
        <f t="shared" si="19"/>
        <v>2402.4429999999998</v>
      </c>
      <c r="Z57" s="57">
        <f t="shared" ref="Z57:AM57" si="20">SUM(Z54:Z56)</f>
        <v>2558.8819999999996</v>
      </c>
      <c r="AA57" s="57">
        <f t="shared" si="20"/>
        <v>2598.9070000000002</v>
      </c>
      <c r="AB57" s="57">
        <f t="shared" si="20"/>
        <v>4841.5219999999999</v>
      </c>
      <c r="AC57" s="57">
        <f t="shared" si="20"/>
        <v>6083.616</v>
      </c>
      <c r="AD57" s="57">
        <f t="shared" si="20"/>
        <v>6321.2120000000004</v>
      </c>
      <c r="AE57" s="57">
        <f t="shared" si="20"/>
        <v>6502.4530000000004</v>
      </c>
      <c r="AF57" s="57">
        <f t="shared" si="20"/>
        <v>6726.1936688000005</v>
      </c>
      <c r="AG57" s="57">
        <f t="shared" si="20"/>
        <v>6839.82419828</v>
      </c>
      <c r="AH57" s="57">
        <f t="shared" si="20"/>
        <v>6865.1440591100018</v>
      </c>
      <c r="AI57" s="57">
        <f t="shared" si="20"/>
        <v>6934.9527027799995</v>
      </c>
      <c r="AJ57" s="57">
        <f t="shared" si="20"/>
        <v>6991.4468534199987</v>
      </c>
      <c r="AK57" s="57">
        <f t="shared" si="20"/>
        <v>7150.3995186399989</v>
      </c>
      <c r="AL57" s="57">
        <f t="shared" si="20"/>
        <v>7337.7594554800007</v>
      </c>
      <c r="AM57" s="57">
        <f t="shared" si="20"/>
        <v>7472.4495928500028</v>
      </c>
      <c r="AN57" s="57">
        <f>SUM(AN54:AN56)</f>
        <v>7499.5088310199999</v>
      </c>
      <c r="AO57" s="57">
        <f>SUM(AO54:AO56)</f>
        <v>7673.9669725900003</v>
      </c>
      <c r="AP57" s="57">
        <f>SUM(AP54:AP56)</f>
        <v>7774.9269281699999</v>
      </c>
      <c r="AQ57" s="57">
        <f>SUM(AQ54:AQ56)</f>
        <v>7914.8527446400012</v>
      </c>
      <c r="AR57" s="57">
        <f>SUM(AR54:AR56)</f>
        <v>7892.47</v>
      </c>
      <c r="AS57" s="63"/>
      <c r="AT57" s="57">
        <f t="shared" ref="AT57:AZ57" si="21">SUM(AT54:AT56)</f>
        <v>3847.9801358099999</v>
      </c>
      <c r="AU57" s="57">
        <f t="shared" si="21"/>
        <v>4575.8982650000007</v>
      </c>
      <c r="AV57" s="57">
        <f t="shared" si="21"/>
        <v>5634.3830000000007</v>
      </c>
      <c r="AW57" s="57">
        <f t="shared" si="21"/>
        <v>8554.9609999999993</v>
      </c>
      <c r="AX57" s="57">
        <f t="shared" si="21"/>
        <v>9883.3850000000002</v>
      </c>
      <c r="AY57" s="57">
        <f t="shared" si="21"/>
        <v>23748.803000000004</v>
      </c>
      <c r="AZ57" s="57">
        <f t="shared" si="21"/>
        <v>27366.114628970001</v>
      </c>
      <c r="BA57" s="57">
        <f>SUM(AJ57:AM57)</f>
        <v>28952.055420390003</v>
      </c>
      <c r="BB57" s="57">
        <f>SUM(AN57:AQ57)</f>
        <v>30863.255476419999</v>
      </c>
    </row>
    <row r="58" spans="2:54" outlineLevel="1" collapsed="1">
      <c r="B58" s="18" t="s">
        <v>102</v>
      </c>
      <c r="C58" s="1" t="s">
        <v>71</v>
      </c>
      <c r="D58" s="53"/>
      <c r="E58" s="53"/>
      <c r="F58" s="53"/>
      <c r="G58" s="53"/>
      <c r="H58" s="53">
        <v>-499.64762231999998</v>
      </c>
      <c r="I58" s="53">
        <v>-536.25539664999997</v>
      </c>
      <c r="J58" s="53">
        <v>-578.32571326000004</v>
      </c>
      <c r="K58" s="53">
        <v>-586.71933099</v>
      </c>
      <c r="L58" s="53">
        <v>-592.32359873999997</v>
      </c>
      <c r="M58" s="53">
        <v>-659.25800000000004</v>
      </c>
      <c r="N58" s="53">
        <v>-707.46199999999999</v>
      </c>
      <c r="O58" s="53">
        <v>-710.60400000000004</v>
      </c>
      <c r="P58" s="53">
        <v>-694.80799999999999</v>
      </c>
      <c r="Q58" s="53">
        <v>-728.23</v>
      </c>
      <c r="R58" s="53">
        <v>-798.96</v>
      </c>
      <c r="S58" s="53">
        <v>-1013.338</v>
      </c>
      <c r="T58" s="53">
        <v>-1160.664</v>
      </c>
      <c r="U58" s="53">
        <v>-1088.537</v>
      </c>
      <c r="V58" s="53">
        <v>-1226.9849999999999</v>
      </c>
      <c r="W58" s="53">
        <v>-1352.1369999999999</v>
      </c>
      <c r="X58" s="53">
        <v>-1420.1270000000002</v>
      </c>
      <c r="Y58" s="53">
        <v>-1599.421</v>
      </c>
      <c r="Z58" s="53">
        <v>-1738.366</v>
      </c>
      <c r="AA58" s="53">
        <v>-1685.596</v>
      </c>
      <c r="AB58" s="53">
        <v>-3531.8690000000001</v>
      </c>
      <c r="AC58" s="53">
        <v>-4400.7370000000001</v>
      </c>
      <c r="AD58" s="55">
        <v>-4614.442</v>
      </c>
      <c r="AE58" s="55">
        <v>-4743.3100000000004</v>
      </c>
      <c r="AF58" s="55">
        <v>-4860.0332000799999</v>
      </c>
      <c r="AG58" s="55">
        <v>-5055.1958398319512</v>
      </c>
      <c r="AH58" s="55">
        <v>-4950.65816443722</v>
      </c>
      <c r="AI58" s="55">
        <v>-4805.5331315642761</v>
      </c>
      <c r="AJ58" s="54">
        <v>-4751.3680198900001</v>
      </c>
      <c r="AK58" s="54">
        <v>-5037.7220694500011</v>
      </c>
      <c r="AL58" s="54">
        <v>-5163.5948481999985</v>
      </c>
      <c r="AM58" s="54">
        <v>-5073.8489246999907</v>
      </c>
      <c r="AN58" s="54">
        <v>-5387.6033740399998</v>
      </c>
      <c r="AO58" s="54">
        <v>-5672.1284005700008</v>
      </c>
      <c r="AP58" s="54">
        <v>-5850.1968035</v>
      </c>
      <c r="AQ58" s="54">
        <v>-5972.4129615799957</v>
      </c>
      <c r="AR58" s="54">
        <v>-5696.9059999999999</v>
      </c>
      <c r="AS58" s="63"/>
      <c r="AT58" s="53">
        <f>SUM(H58:K58)</f>
        <v>-2200.9480632199998</v>
      </c>
      <c r="AU58" s="53">
        <f>SUM(L58:O58)</f>
        <v>-2669.6475987399999</v>
      </c>
      <c r="AV58" s="53">
        <f>SUM(P58:S58)</f>
        <v>-3235.3360000000002</v>
      </c>
      <c r="AW58" s="53">
        <f>SUM(T58:W58)</f>
        <v>-4828.3229999999994</v>
      </c>
      <c r="AX58" s="53">
        <f>SUM(X58:AA58)</f>
        <v>-6443.51</v>
      </c>
      <c r="AY58" s="53">
        <f>SUM(AB58:AE58)</f>
        <v>-17290.358</v>
      </c>
      <c r="AZ58" s="53">
        <f>SUM(AF58:AI58)</f>
        <v>-19671.420335913448</v>
      </c>
      <c r="BA58" s="53">
        <f t="shared" si="16"/>
        <v>-20026.53386223999</v>
      </c>
      <c r="BB58" s="53">
        <f t="shared" si="17"/>
        <v>-22882.341539689995</v>
      </c>
    </row>
    <row r="59" spans="2:54" outlineLevel="1">
      <c r="B59" s="18" t="s">
        <v>103</v>
      </c>
      <c r="C59" s="1" t="s">
        <v>71</v>
      </c>
      <c r="D59" s="53"/>
      <c r="E59" s="53"/>
      <c r="F59" s="53"/>
      <c r="G59" s="53"/>
      <c r="H59" s="53">
        <v>-5.1166674900000002</v>
      </c>
      <c r="I59" s="53">
        <v>-5.2802282900000002</v>
      </c>
      <c r="J59" s="53">
        <v>-6.2159361000000004</v>
      </c>
      <c r="K59" s="53">
        <v>-5.7889761000000002</v>
      </c>
      <c r="L59" s="53">
        <v>-5.7889761000000002</v>
      </c>
      <c r="M59" s="53">
        <v>-9.5672500199999995</v>
      </c>
      <c r="N59" s="53">
        <v>-13.248350029999999</v>
      </c>
      <c r="O59" s="53">
        <v>-13.249350029999999</v>
      </c>
      <c r="P59" s="53">
        <v>0</v>
      </c>
      <c r="Q59" s="53">
        <v>0</v>
      </c>
      <c r="R59" s="53">
        <v>0</v>
      </c>
      <c r="S59" s="53">
        <v>0</v>
      </c>
      <c r="T59" s="53">
        <v>0</v>
      </c>
      <c r="U59" s="53">
        <v>0</v>
      </c>
      <c r="V59" s="53">
        <v>0</v>
      </c>
      <c r="W59" s="53">
        <v>0</v>
      </c>
      <c r="X59" s="53">
        <v>0</v>
      </c>
      <c r="Y59" s="53">
        <v>0</v>
      </c>
      <c r="Z59" s="53">
        <v>0</v>
      </c>
      <c r="AA59" s="53">
        <v>0</v>
      </c>
      <c r="AB59" s="53">
        <v>0</v>
      </c>
      <c r="AC59" s="53">
        <v>0</v>
      </c>
      <c r="AD59" s="55">
        <v>0</v>
      </c>
      <c r="AE59" s="55">
        <v>0</v>
      </c>
      <c r="AF59" s="134">
        <v>0</v>
      </c>
      <c r="AG59" s="134">
        <v>0</v>
      </c>
      <c r="AH59" s="134">
        <v>0</v>
      </c>
      <c r="AI59" s="134">
        <v>0</v>
      </c>
      <c r="AJ59" s="55">
        <v>0</v>
      </c>
      <c r="AK59" s="55">
        <v>0</v>
      </c>
      <c r="AL59" s="55">
        <v>0</v>
      </c>
      <c r="AM59" s="55">
        <v>0</v>
      </c>
      <c r="AN59" s="55">
        <v>0</v>
      </c>
      <c r="AO59" s="55">
        <v>0</v>
      </c>
      <c r="AP59" s="55">
        <v>0</v>
      </c>
      <c r="AQ59" s="55">
        <v>0</v>
      </c>
      <c r="AR59" s="55">
        <v>0</v>
      </c>
      <c r="AS59" s="63"/>
      <c r="AT59" s="53">
        <f>SUM(H59:K59)</f>
        <v>-22.401807980000001</v>
      </c>
      <c r="AU59" s="53">
        <f>SUM(L59:O59)</f>
        <v>-41.853926180000002</v>
      </c>
      <c r="AV59" s="53">
        <f>SUM(P59:S59)</f>
        <v>0</v>
      </c>
      <c r="AW59" s="53">
        <f>SUM(T59:W59)</f>
        <v>0</v>
      </c>
      <c r="AX59" s="53">
        <f>SUM(X59:AA59)</f>
        <v>0</v>
      </c>
      <c r="AY59" s="53">
        <f>SUM(AB59:AE59)</f>
        <v>0</v>
      </c>
      <c r="AZ59" s="53">
        <f>SUM(AF59:AI59)</f>
        <v>0</v>
      </c>
      <c r="BA59" s="53">
        <f t="shared" si="16"/>
        <v>0</v>
      </c>
      <c r="BB59" s="53">
        <f t="shared" si="17"/>
        <v>0</v>
      </c>
    </row>
    <row r="60" spans="2:54" outlineLevel="1">
      <c r="B60" s="18" t="s">
        <v>104</v>
      </c>
      <c r="C60" s="1" t="s">
        <v>71</v>
      </c>
      <c r="D60" s="53"/>
      <c r="E60" s="53"/>
      <c r="F60" s="53"/>
      <c r="G60" s="53"/>
      <c r="H60" s="53">
        <v>-5.1079999999999997</v>
      </c>
      <c r="I60" s="53">
        <v>-5.5730000000000004</v>
      </c>
      <c r="J60" s="53">
        <v>-6.5910000000000002</v>
      </c>
      <c r="K60" s="53">
        <v>-18.29</v>
      </c>
      <c r="L60" s="53">
        <v>-7.8579999999999997</v>
      </c>
      <c r="M60" s="53">
        <v>-8.4849999999999994</v>
      </c>
      <c r="N60" s="53">
        <v>-9.0150000000000006</v>
      </c>
      <c r="O60" s="53">
        <v>-10.122</v>
      </c>
      <c r="P60" s="53">
        <v>-19.439</v>
      </c>
      <c r="Q60" s="53">
        <v>-20.893000000000001</v>
      </c>
      <c r="R60" s="53">
        <v>-24.042999999999999</v>
      </c>
      <c r="S60" s="53">
        <v>-28.619</v>
      </c>
      <c r="T60" s="53">
        <v>-33.216999999999999</v>
      </c>
      <c r="U60" s="53">
        <v>-44.134</v>
      </c>
      <c r="V60" s="53">
        <v>-37.954999999999998</v>
      </c>
      <c r="W60" s="53">
        <v>-47.372</v>
      </c>
      <c r="X60" s="53">
        <v>-43.155999999999999</v>
      </c>
      <c r="Y60" s="53">
        <v>-38.719000000000001</v>
      </c>
      <c r="Z60" s="53">
        <v>-53.57</v>
      </c>
      <c r="AA60" s="53">
        <v>-52.176000000000002</v>
      </c>
      <c r="AB60" s="53">
        <v>-94.186000000000007</v>
      </c>
      <c r="AC60" s="53">
        <v>-119.309</v>
      </c>
      <c r="AD60" s="55">
        <v>-124.288</v>
      </c>
      <c r="AE60" s="55">
        <v>-154.49340000000001</v>
      </c>
      <c r="AF60" s="55">
        <v>-110.51996515999998</v>
      </c>
      <c r="AG60" s="55">
        <v>-102.51163506999998</v>
      </c>
      <c r="AH60" s="55">
        <v>-105.64571368000011</v>
      </c>
      <c r="AI60" s="55">
        <v>-109.78993400999998</v>
      </c>
      <c r="AJ60" s="54">
        <v>-112.26570794999999</v>
      </c>
      <c r="AK60" s="54">
        <v>-103.818</v>
      </c>
      <c r="AL60" s="54">
        <v>-120.91924526999995</v>
      </c>
      <c r="AM60" s="54">
        <v>-124.55387576000005</v>
      </c>
      <c r="AN60" s="54">
        <v>-136.19536947</v>
      </c>
      <c r="AO60" s="54">
        <v>-133.98778439999995</v>
      </c>
      <c r="AP60" s="54">
        <v>-143.74260111000001</v>
      </c>
      <c r="AQ60" s="54">
        <v>-141.90037738999999</v>
      </c>
      <c r="AR60" s="54">
        <v>-163.91900000000001</v>
      </c>
      <c r="AS60" s="63"/>
      <c r="AT60" s="53">
        <f>SUM(H60:K60)</f>
        <v>-35.561999999999998</v>
      </c>
      <c r="AU60" s="53">
        <f>SUM(L60:O60)</f>
        <v>-35.480000000000004</v>
      </c>
      <c r="AV60" s="53">
        <f>SUM(P60:S60)</f>
        <v>-92.994</v>
      </c>
      <c r="AW60" s="53">
        <f>SUM(T60:W60)</f>
        <v>-162.678</v>
      </c>
      <c r="AX60" s="53">
        <f>SUM(X60:AA60)</f>
        <v>-187.62099999999998</v>
      </c>
      <c r="AY60" s="53">
        <f>SUM(AB60:AE60)</f>
        <v>-492.27640000000002</v>
      </c>
      <c r="AZ60" s="53">
        <f>SUM(AF60:AI60)</f>
        <v>-428.46724792000003</v>
      </c>
      <c r="BA60" s="53">
        <f t="shared" si="16"/>
        <v>-461.55682897999998</v>
      </c>
      <c r="BB60" s="53">
        <f t="shared" si="17"/>
        <v>-555.82613236999998</v>
      </c>
    </row>
    <row r="61" spans="2:54" outlineLevel="1">
      <c r="B61" s="18" t="s">
        <v>105</v>
      </c>
      <c r="C61" s="1" t="s">
        <v>71</v>
      </c>
      <c r="D61" s="53"/>
      <c r="E61" s="53"/>
      <c r="F61" s="53"/>
      <c r="G61" s="53"/>
      <c r="H61" s="53">
        <v>-4.5497647900000002</v>
      </c>
      <c r="I61" s="53">
        <v>4.4670296299999999</v>
      </c>
      <c r="J61" s="53">
        <v>-8.0922288299999998</v>
      </c>
      <c r="K61" s="53">
        <v>-5.9643002599999999</v>
      </c>
      <c r="L61" s="53">
        <v>-2.6953432699999995</v>
      </c>
      <c r="M61" s="53">
        <v>-2.8454083100000003</v>
      </c>
      <c r="N61" s="53">
        <v>-6.9162100400000011</v>
      </c>
      <c r="O61" s="53">
        <v>-10.111092379999999</v>
      </c>
      <c r="P61" s="53">
        <v>-2.722</v>
      </c>
      <c r="Q61" s="53">
        <v>17.597000000000001</v>
      </c>
      <c r="R61" s="53">
        <v>29.063000000000002</v>
      </c>
      <c r="S61" s="53">
        <v>6.8929999999999998</v>
      </c>
      <c r="T61" s="53">
        <v>-10.053000000000001</v>
      </c>
      <c r="U61" s="53">
        <v>17.103999999999999</v>
      </c>
      <c r="V61" s="53">
        <v>-6.0449999999999999</v>
      </c>
      <c r="W61" s="53">
        <v>-7.1079999999999997</v>
      </c>
      <c r="X61" s="53">
        <v>12.135</v>
      </c>
      <c r="Y61" s="53">
        <v>-14.567</v>
      </c>
      <c r="Z61" s="53">
        <v>-14.135</v>
      </c>
      <c r="AA61" s="53">
        <v>16.478000000000002</v>
      </c>
      <c r="AB61" s="53">
        <v>-15.317</v>
      </c>
      <c r="AC61" s="53">
        <v>6.32</v>
      </c>
      <c r="AD61" s="55">
        <v>5.0330000000000004</v>
      </c>
      <c r="AE61" s="55">
        <v>-44.092300000000002</v>
      </c>
      <c r="AF61" s="55">
        <v>1.757531089999995</v>
      </c>
      <c r="AG61" s="55">
        <v>-28.794332350000005</v>
      </c>
      <c r="AH61" s="55">
        <v>7.9648980700000038</v>
      </c>
      <c r="AI61" s="55">
        <v>41.109703269999997</v>
      </c>
      <c r="AJ61" s="54">
        <v>-0.97773089000000057</v>
      </c>
      <c r="AK61" s="54">
        <v>37.655209170000006</v>
      </c>
      <c r="AL61" s="54">
        <v>-21.386609440000004</v>
      </c>
      <c r="AM61" s="54">
        <v>22.977060460000004</v>
      </c>
      <c r="AN61" s="54">
        <v>-24.047611390000007</v>
      </c>
      <c r="AO61" s="54">
        <v>-1.3388381399999962</v>
      </c>
      <c r="AP61" s="54">
        <v>-14.0438799</v>
      </c>
      <c r="AQ61" s="54">
        <v>-2.6496705699999978</v>
      </c>
      <c r="AR61" s="54">
        <v>-33.603999999999999</v>
      </c>
      <c r="AS61" s="63"/>
      <c r="AT61" s="53">
        <f>SUM(H61:K61)</f>
        <v>-14.13926425</v>
      </c>
      <c r="AU61" s="53">
        <f>SUM(L61:O61)</f>
        <v>-22.568054</v>
      </c>
      <c r="AV61" s="53">
        <f>SUM(P61:S61)</f>
        <v>50.831000000000003</v>
      </c>
      <c r="AW61" s="53">
        <f>SUM(T61:W61)</f>
        <v>-6.1020000000000012</v>
      </c>
      <c r="AX61" s="53">
        <f>SUM(X61:AA61)</f>
        <v>-8.8999999999998636E-2</v>
      </c>
      <c r="AY61" s="53">
        <f>SUM(AB61:AE61)</f>
        <v>-48.0563</v>
      </c>
      <c r="AZ61" s="53">
        <f>SUM(AF61:AI61)</f>
        <v>22.03780007999999</v>
      </c>
      <c r="BA61" s="53">
        <f t="shared" si="16"/>
        <v>38.267929300000006</v>
      </c>
      <c r="BB61" s="53">
        <f t="shared" si="17"/>
        <v>-42.08</v>
      </c>
    </row>
    <row r="62" spans="2:54" outlineLevel="1">
      <c r="B62" s="18" t="s">
        <v>106</v>
      </c>
      <c r="C62" s="1" t="s">
        <v>71</v>
      </c>
      <c r="D62" s="53"/>
      <c r="E62" s="53"/>
      <c r="F62" s="53"/>
      <c r="G62" s="53"/>
      <c r="H62" s="53">
        <v>-2.1546598899999996</v>
      </c>
      <c r="I62" s="53">
        <v>-11.624850049999999</v>
      </c>
      <c r="J62" s="53">
        <v>1.3626807799999994</v>
      </c>
      <c r="K62" s="53">
        <v>1.1293738000000002</v>
      </c>
      <c r="L62" s="53">
        <v>-1.0456463900000004</v>
      </c>
      <c r="M62" s="53">
        <v>-7.4778557500000007</v>
      </c>
      <c r="N62" s="53">
        <v>-5.0963056099999999</v>
      </c>
      <c r="O62" s="53">
        <v>-13.346912249999999</v>
      </c>
      <c r="P62" s="53">
        <v>-9.4420000000000002</v>
      </c>
      <c r="Q62" s="53">
        <v>-19.834</v>
      </c>
      <c r="R62" s="53">
        <v>-24.638999999999999</v>
      </c>
      <c r="S62" s="53">
        <v>-69.010999999999996</v>
      </c>
      <c r="T62" s="53">
        <v>-75.661000000000001</v>
      </c>
      <c r="U62" s="53">
        <v>-16.995000000000001</v>
      </c>
      <c r="V62" s="53">
        <v>-13.461</v>
      </c>
      <c r="W62" s="53">
        <v>-105.758</v>
      </c>
      <c r="X62" s="53">
        <v>-70.954999999999998</v>
      </c>
      <c r="Y62" s="53">
        <v>-46.081000000000003</v>
      </c>
      <c r="Z62" s="53">
        <v>-45.1</v>
      </c>
      <c r="AA62" s="53">
        <v>-24.103000000000002</v>
      </c>
      <c r="AB62" s="53">
        <v>-79.412000000000006</v>
      </c>
      <c r="AC62" s="53">
        <v>-68.088999999999999</v>
      </c>
      <c r="AD62" s="53">
        <v>-60.161000000000001</v>
      </c>
      <c r="AE62" s="53">
        <v>-55.353999999999999</v>
      </c>
      <c r="AF62" s="53">
        <v>-77.88714825000001</v>
      </c>
      <c r="AG62" s="53">
        <v>-42.796920499999985</v>
      </c>
      <c r="AH62" s="53">
        <v>-51.062484899999994</v>
      </c>
      <c r="AI62" s="53">
        <v>-65.105197909999987</v>
      </c>
      <c r="AJ62" s="54">
        <v>-52.34527855999999</v>
      </c>
      <c r="AK62" s="54">
        <v>-58.125738580000032</v>
      </c>
      <c r="AL62" s="54">
        <v>-57.927450139999962</v>
      </c>
      <c r="AM62" s="54">
        <v>475.79337349999992</v>
      </c>
      <c r="AN62" s="54">
        <v>-71.769716380000034</v>
      </c>
      <c r="AO62" s="54">
        <v>-297.8288589899999</v>
      </c>
      <c r="AP62" s="54">
        <v>-119.7089325</v>
      </c>
      <c r="AQ62" s="54">
        <v>-111.13207592999996</v>
      </c>
      <c r="AR62" s="54">
        <v>-106.52500000000001</v>
      </c>
      <c r="AS62" s="63"/>
      <c r="AT62" s="53">
        <f>SUM(H62:K62)</f>
        <v>-11.287455359999999</v>
      </c>
      <c r="AU62" s="53">
        <f>SUM(L62:O62)</f>
        <v>-26.966720000000002</v>
      </c>
      <c r="AV62" s="53">
        <f>SUM(P62:S62)</f>
        <v>-122.92599999999999</v>
      </c>
      <c r="AW62" s="53">
        <f>SUM(T62:W62)</f>
        <v>-211.875</v>
      </c>
      <c r="AX62" s="53">
        <f>SUM(X62:AA62)</f>
        <v>-186.239</v>
      </c>
      <c r="AY62" s="53">
        <f>SUM(AB62:AE62)</f>
        <v>-263.01600000000002</v>
      </c>
      <c r="AZ62" s="53">
        <f>SUM(AF62:AI62)</f>
        <v>-236.85175155999997</v>
      </c>
      <c r="BA62" s="53">
        <f t="shared" si="16"/>
        <v>307.39490621999994</v>
      </c>
      <c r="BB62" s="53">
        <f t="shared" si="17"/>
        <v>-600.43958379999992</v>
      </c>
    </row>
    <row r="63" spans="2:54" ht="13.5" outlineLevel="1">
      <c r="B63" s="56" t="s">
        <v>107</v>
      </c>
      <c r="C63" s="10" t="s">
        <v>71</v>
      </c>
      <c r="D63" s="57"/>
      <c r="E63" s="57"/>
      <c r="F63" s="57"/>
      <c r="G63" s="57"/>
      <c r="H63" s="57">
        <f>SUM(H58,H61:H62,H60)</f>
        <v>-511.46004699999997</v>
      </c>
      <c r="I63" s="57">
        <f t="shared" ref="I63:U63" si="22">SUM(I58,I61:I62,I60)</f>
        <v>-548.98621706999995</v>
      </c>
      <c r="J63" s="57">
        <f t="shared" si="22"/>
        <v>-591.64626131</v>
      </c>
      <c r="K63" s="57">
        <f t="shared" si="22"/>
        <v>-609.84425744999987</v>
      </c>
      <c r="L63" s="57">
        <f t="shared" si="22"/>
        <v>-603.92258839999988</v>
      </c>
      <c r="M63" s="57">
        <f t="shared" si="22"/>
        <v>-678.06626406000009</v>
      </c>
      <c r="N63" s="57">
        <f t="shared" si="22"/>
        <v>-728.48951564999993</v>
      </c>
      <c r="O63" s="57">
        <f t="shared" si="22"/>
        <v>-744.18400462999989</v>
      </c>
      <c r="P63" s="57">
        <f t="shared" si="22"/>
        <v>-726.41099999999994</v>
      </c>
      <c r="Q63" s="57">
        <f t="shared" si="22"/>
        <v>-751.36</v>
      </c>
      <c r="R63" s="57">
        <f t="shared" si="22"/>
        <v>-818.57900000000006</v>
      </c>
      <c r="S63" s="57">
        <f t="shared" si="22"/>
        <v>-1104.0749999999998</v>
      </c>
      <c r="T63" s="57">
        <f t="shared" si="22"/>
        <v>-1279.5950000000003</v>
      </c>
      <c r="U63" s="57">
        <f t="shared" si="22"/>
        <v>-1132.5619999999999</v>
      </c>
      <c r="V63" s="57">
        <f>SUM(V58,V61:V62,V60)</f>
        <v>-1284.4459999999999</v>
      </c>
      <c r="W63" s="57">
        <f>SUM(W58,W61:W62,W60)</f>
        <v>-1512.375</v>
      </c>
      <c r="X63" s="57">
        <f>SUM(X58,X61:X62,X60)</f>
        <v>-1522.1030000000001</v>
      </c>
      <c r="Y63" s="57">
        <f t="shared" ref="Y63:AD63" si="23">SUM(Y58,Y61:Y62,Y60)</f>
        <v>-1698.788</v>
      </c>
      <c r="Z63" s="57">
        <f t="shared" si="23"/>
        <v>-1851.1709999999998</v>
      </c>
      <c r="AA63" s="57">
        <f t="shared" si="23"/>
        <v>-1745.3969999999999</v>
      </c>
      <c r="AB63" s="57">
        <f t="shared" si="23"/>
        <v>-3720.7840000000001</v>
      </c>
      <c r="AC63" s="57">
        <f t="shared" si="23"/>
        <v>-4581.8150000000005</v>
      </c>
      <c r="AD63" s="57">
        <f t="shared" si="23"/>
        <v>-4793.8579999999993</v>
      </c>
      <c r="AE63" s="57">
        <f t="shared" ref="AE63:AQ63" si="24">SUM(AE58,AE61:AE62,AE60)</f>
        <v>-4997.2497000000012</v>
      </c>
      <c r="AF63" s="57">
        <f t="shared" si="24"/>
        <v>-5046.6827823999993</v>
      </c>
      <c r="AG63" s="57">
        <f t="shared" si="24"/>
        <v>-5229.2987277519514</v>
      </c>
      <c r="AH63" s="57">
        <f t="shared" si="24"/>
        <v>-5099.4014649472192</v>
      </c>
      <c r="AI63" s="57">
        <f t="shared" si="24"/>
        <v>-4939.3185602142767</v>
      </c>
      <c r="AJ63" s="57">
        <f t="shared" si="24"/>
        <v>-4916.956737290001</v>
      </c>
      <c r="AK63" s="57">
        <f t="shared" si="24"/>
        <v>-5162.0105988600017</v>
      </c>
      <c r="AL63" s="57">
        <f t="shared" si="24"/>
        <v>-5363.828153049998</v>
      </c>
      <c r="AM63" s="57">
        <f t="shared" si="24"/>
        <v>-4699.6323664999909</v>
      </c>
      <c r="AN63" s="57">
        <f t="shared" si="24"/>
        <v>-5619.6160712800001</v>
      </c>
      <c r="AO63" s="57">
        <f t="shared" si="24"/>
        <v>-6105.2838821000014</v>
      </c>
      <c r="AP63" s="57">
        <f t="shared" si="24"/>
        <v>-6127.6922170099997</v>
      </c>
      <c r="AQ63" s="57">
        <f t="shared" si="24"/>
        <v>-6228.0950854699959</v>
      </c>
      <c r="AR63" s="57">
        <f t="shared" ref="AR63" si="25">SUM(AR58,AR61:AR62,AR60)</f>
        <v>-6000.9539999999997</v>
      </c>
      <c r="AS63" s="63"/>
      <c r="AT63" s="57">
        <f t="shared" ref="AT63:AZ63" si="26">SUM(AT58,AT61:AT62,AT60)</f>
        <v>-2261.9367828299996</v>
      </c>
      <c r="AU63" s="57">
        <f t="shared" si="26"/>
        <v>-2754.6623727399997</v>
      </c>
      <c r="AV63" s="57">
        <f t="shared" si="26"/>
        <v>-3400.4250000000002</v>
      </c>
      <c r="AW63" s="57">
        <f t="shared" si="26"/>
        <v>-5208.9779999999992</v>
      </c>
      <c r="AX63" s="57">
        <f t="shared" si="26"/>
        <v>-6817.4589999999998</v>
      </c>
      <c r="AY63" s="57">
        <f t="shared" si="26"/>
        <v>-18093.706699999999</v>
      </c>
      <c r="AZ63" s="57">
        <f t="shared" si="26"/>
        <v>-20314.701535313448</v>
      </c>
      <c r="BA63" s="57">
        <f t="shared" si="16"/>
        <v>-20142.427855699993</v>
      </c>
      <c r="BB63" s="57">
        <f t="shared" si="17"/>
        <v>-24080.687255859997</v>
      </c>
    </row>
    <row r="64" spans="2:54" ht="13.5" outlineLevel="1">
      <c r="B64" s="58" t="s">
        <v>108</v>
      </c>
      <c r="C64" s="10" t="s">
        <v>71</v>
      </c>
      <c r="D64" s="57"/>
      <c r="E64" s="57"/>
      <c r="F64" s="57"/>
      <c r="G64" s="57"/>
      <c r="H64" s="57">
        <f t="shared" ref="H64:P64" si="27">SUM(H57,H63)</f>
        <v>376.31309093999977</v>
      </c>
      <c r="I64" s="57">
        <f t="shared" si="27"/>
        <v>377.74673672000017</v>
      </c>
      <c r="J64" s="57">
        <f t="shared" si="27"/>
        <v>398.04530497999997</v>
      </c>
      <c r="K64" s="57">
        <f t="shared" si="27"/>
        <v>433.93822034000016</v>
      </c>
      <c r="L64" s="57">
        <f t="shared" si="27"/>
        <v>485.94901160000006</v>
      </c>
      <c r="M64" s="57">
        <f t="shared" si="27"/>
        <v>432.88273593999998</v>
      </c>
      <c r="N64" s="57">
        <f t="shared" si="27"/>
        <v>435.24548434999997</v>
      </c>
      <c r="O64" s="57">
        <f t="shared" si="27"/>
        <v>467.15866037000023</v>
      </c>
      <c r="P64" s="57">
        <f t="shared" si="27"/>
        <v>530.58900000000006</v>
      </c>
      <c r="Q64" s="57">
        <f t="shared" ref="Q64:W64" si="28">SUM(Q57,Q63)</f>
        <v>524.89699999999982</v>
      </c>
      <c r="R64" s="57">
        <f t="shared" si="28"/>
        <v>497.19200000000012</v>
      </c>
      <c r="S64" s="57">
        <f t="shared" si="28"/>
        <v>681.28000000000043</v>
      </c>
      <c r="T64" s="57">
        <f t="shared" si="28"/>
        <v>799.1929999999993</v>
      </c>
      <c r="U64" s="57">
        <f t="shared" si="28"/>
        <v>943.73600000000033</v>
      </c>
      <c r="V64" s="57">
        <f t="shared" si="28"/>
        <v>841.93400000000065</v>
      </c>
      <c r="W64" s="57">
        <f t="shared" si="28"/>
        <v>761.11999999999853</v>
      </c>
      <c r="X64" s="57">
        <f>SUM(X57,X63)</f>
        <v>801.04999999999973</v>
      </c>
      <c r="Y64" s="57">
        <f t="shared" ref="Y64:AD64" si="29">SUM(Y57,Y63)</f>
        <v>703.65499999999975</v>
      </c>
      <c r="Z64" s="57">
        <f t="shared" si="29"/>
        <v>707.71099999999979</v>
      </c>
      <c r="AA64" s="57">
        <f t="shared" si="29"/>
        <v>853.51000000000022</v>
      </c>
      <c r="AB64" s="57">
        <f t="shared" si="29"/>
        <v>1120.7379999999998</v>
      </c>
      <c r="AC64" s="57">
        <f t="shared" si="29"/>
        <v>1501.8009999999995</v>
      </c>
      <c r="AD64" s="57">
        <f t="shared" si="29"/>
        <v>1527.3540000000012</v>
      </c>
      <c r="AE64" s="57">
        <f t="shared" ref="AE64:AP64" si="30">SUM(AE57,AE63)</f>
        <v>1505.2032999999992</v>
      </c>
      <c r="AF64" s="57">
        <f t="shared" si="30"/>
        <v>1679.5108864000013</v>
      </c>
      <c r="AG64" s="57">
        <f t="shared" si="30"/>
        <v>1610.5254705280486</v>
      </c>
      <c r="AH64" s="57">
        <f t="shared" si="30"/>
        <v>1765.7425941627826</v>
      </c>
      <c r="AI64" s="57">
        <f t="shared" si="30"/>
        <v>1995.6341425657229</v>
      </c>
      <c r="AJ64" s="57">
        <f t="shared" si="30"/>
        <v>2074.4901161299977</v>
      </c>
      <c r="AK64" s="57">
        <f t="shared" si="30"/>
        <v>1988.3889197799972</v>
      </c>
      <c r="AL64" s="57">
        <f t="shared" si="30"/>
        <v>1973.9313024300027</v>
      </c>
      <c r="AM64" s="57">
        <f t="shared" si="30"/>
        <v>2772.8172263500119</v>
      </c>
      <c r="AN64" s="57">
        <f t="shared" si="30"/>
        <v>1879.8927597399997</v>
      </c>
      <c r="AO64" s="57">
        <f t="shared" si="30"/>
        <v>1568.6830904899989</v>
      </c>
      <c r="AP64" s="57">
        <f t="shared" si="30"/>
        <v>1647.2347111600002</v>
      </c>
      <c r="AQ64" s="57">
        <f>SUM(AQ57,AQ63)</f>
        <v>1686.7576591700054</v>
      </c>
      <c r="AR64" s="57">
        <f>SUM(AR57,AR63)</f>
        <v>1891.5160000000005</v>
      </c>
      <c r="AS64" s="63"/>
      <c r="AT64" s="57">
        <f t="shared" ref="AT64:AZ64" si="31">SUM(AT57,AT63)</f>
        <v>1586.0433529800002</v>
      </c>
      <c r="AU64" s="57">
        <f t="shared" si="31"/>
        <v>1821.235892260001</v>
      </c>
      <c r="AV64" s="57">
        <f t="shared" si="31"/>
        <v>2233.9580000000005</v>
      </c>
      <c r="AW64" s="57">
        <f t="shared" si="31"/>
        <v>3345.9830000000002</v>
      </c>
      <c r="AX64" s="57">
        <f t="shared" si="31"/>
        <v>3065.9260000000004</v>
      </c>
      <c r="AY64" s="57">
        <f t="shared" si="31"/>
        <v>5655.0963000000047</v>
      </c>
      <c r="AZ64" s="57">
        <f t="shared" si="31"/>
        <v>7051.4130936565525</v>
      </c>
      <c r="BA64" s="57">
        <f t="shared" si="16"/>
        <v>8809.6275646900103</v>
      </c>
      <c r="BB64" s="57">
        <f t="shared" si="17"/>
        <v>6782.5682205600042</v>
      </c>
    </row>
    <row r="65" spans="2:54" outlineLevel="1">
      <c r="B65" s="59" t="s">
        <v>109</v>
      </c>
      <c r="C65" s="24" t="s">
        <v>76</v>
      </c>
      <c r="D65" s="39"/>
      <c r="E65" s="39"/>
      <c r="F65" s="39"/>
      <c r="G65" s="39"/>
      <c r="H65" s="39">
        <f t="shared" ref="H65:P65" si="32">H64/H57</f>
        <v>0.4238842952752564</v>
      </c>
      <c r="I65" s="39">
        <f t="shared" si="32"/>
        <v>0.40761120576877474</v>
      </c>
      <c r="J65" s="39">
        <f t="shared" si="32"/>
        <v>0.40219126699455426</v>
      </c>
      <c r="K65" s="39">
        <f t="shared" si="32"/>
        <v>0.41573625690553578</v>
      </c>
      <c r="L65" s="39">
        <f t="shared" si="32"/>
        <v>0.4458773048127872</v>
      </c>
      <c r="M65" s="39">
        <f t="shared" si="32"/>
        <v>0.38965131247248969</v>
      </c>
      <c r="N65" s="39">
        <f t="shared" si="32"/>
        <v>0.37400738514352494</v>
      </c>
      <c r="O65" s="39">
        <f t="shared" si="32"/>
        <v>0.38565360064321702</v>
      </c>
      <c r="P65" s="39">
        <f t="shared" si="32"/>
        <v>0.42210739856801915</v>
      </c>
      <c r="Q65" s="39">
        <f t="shared" ref="Q65:W65" si="33">Q64/Q57</f>
        <v>0.41127844940321573</v>
      </c>
      <c r="R65" s="39">
        <f t="shared" si="33"/>
        <v>0.3778712253120034</v>
      </c>
      <c r="S65" s="39">
        <f t="shared" si="33"/>
        <v>0.38159357662761767</v>
      </c>
      <c r="T65" s="39">
        <f t="shared" si="33"/>
        <v>0.3844514207316953</v>
      </c>
      <c r="U65" s="39">
        <f t="shared" si="33"/>
        <v>0.45452820356230184</v>
      </c>
      <c r="V65" s="39">
        <f t="shared" si="33"/>
        <v>0.39594710258749632</v>
      </c>
      <c r="W65" s="39">
        <f t="shared" si="33"/>
        <v>0.33477971141348412</v>
      </c>
      <c r="X65" s="39">
        <f t="shared" ref="X65:AC65" si="34">X64/X57</f>
        <v>0.34481155567455085</v>
      </c>
      <c r="Y65" s="39">
        <f t="shared" si="34"/>
        <v>0.2928914442507064</v>
      </c>
      <c r="Z65" s="39">
        <f t="shared" si="34"/>
        <v>0.27657039285125296</v>
      </c>
      <c r="AA65" s="39">
        <f t="shared" si="34"/>
        <v>0.32841113591213544</v>
      </c>
      <c r="AB65" s="39">
        <f t="shared" si="34"/>
        <v>0.23148464470470234</v>
      </c>
      <c r="AC65" s="39">
        <f t="shared" si="34"/>
        <v>0.24685992672778811</v>
      </c>
      <c r="AD65" s="39">
        <f t="shared" ref="AD65:AQ65" si="35">AD64/AD57</f>
        <v>0.24162360003113345</v>
      </c>
      <c r="AE65" s="39">
        <f t="shared" si="35"/>
        <v>0.23148238057237772</v>
      </c>
      <c r="AF65" s="39">
        <f t="shared" si="35"/>
        <v>0.24969707521068712</v>
      </c>
      <c r="AG65" s="39">
        <f t="shared" si="35"/>
        <v>0.23546299200687715</v>
      </c>
      <c r="AH65" s="39">
        <f t="shared" si="35"/>
        <v>0.25720401188372055</v>
      </c>
      <c r="AI65" s="39">
        <f t="shared" si="35"/>
        <v>0.28776463634218258</v>
      </c>
      <c r="AJ65" s="39">
        <f t="shared" si="35"/>
        <v>0.29671828444425941</v>
      </c>
      <c r="AK65" s="39">
        <f t="shared" si="35"/>
        <v>0.27808081416941405</v>
      </c>
      <c r="AL65" s="39">
        <f t="shared" si="35"/>
        <v>0.26901008603598026</v>
      </c>
      <c r="AM65" s="39">
        <f t="shared" si="35"/>
        <v>0.37107205500632295</v>
      </c>
      <c r="AN65" s="39">
        <f t="shared" si="35"/>
        <v>0.25066878406279808</v>
      </c>
      <c r="AO65" s="39">
        <f t="shared" si="35"/>
        <v>0.20441618996967886</v>
      </c>
      <c r="AP65" s="39">
        <f t="shared" si="35"/>
        <v>0.21186497653010267</v>
      </c>
      <c r="AQ65" s="39">
        <f t="shared" si="35"/>
        <v>0.2131129552994262</v>
      </c>
      <c r="AR65" s="39">
        <f t="shared" ref="AR65" si="36">AR64/AR57</f>
        <v>0.23966084128289375</v>
      </c>
      <c r="AS65" s="63"/>
      <c r="AT65" s="39">
        <f t="shared" ref="AT65:BB65" si="37">AT64/AT57</f>
        <v>0.41217555626651853</v>
      </c>
      <c r="AU65" s="39">
        <f t="shared" si="37"/>
        <v>0.39800620267067949</v>
      </c>
      <c r="AV65" s="39">
        <f t="shared" si="37"/>
        <v>0.39648671380699541</v>
      </c>
      <c r="AW65" s="39">
        <f t="shared" si="37"/>
        <v>0.39111610210730363</v>
      </c>
      <c r="AX65" s="39">
        <f t="shared" si="37"/>
        <v>0.31021011525909398</v>
      </c>
      <c r="AY65" s="39">
        <f t="shared" si="37"/>
        <v>0.23812131920922516</v>
      </c>
      <c r="AZ65" s="39">
        <f t="shared" si="37"/>
        <v>0.25766950074059353</v>
      </c>
      <c r="BA65" s="39">
        <f t="shared" si="37"/>
        <v>0.30428332070978537</v>
      </c>
      <c r="BB65" s="39">
        <f t="shared" si="37"/>
        <v>0.21976191804335063</v>
      </c>
    </row>
    <row r="66" spans="2:54" ht="13.5" outlineLevel="1">
      <c r="B66" s="60" t="s">
        <v>110</v>
      </c>
      <c r="C66" s="10" t="s">
        <v>71</v>
      </c>
      <c r="D66" s="57"/>
      <c r="E66" s="57"/>
      <c r="F66" s="57"/>
      <c r="G66" s="57"/>
      <c r="H66" s="57">
        <f>SUM(H67:H71)</f>
        <v>-93.77113725688163</v>
      </c>
      <c r="I66" s="57">
        <f t="shared" ref="I66:AC66" si="38">SUM(I67:I71)</f>
        <v>-95.010694235611197</v>
      </c>
      <c r="J66" s="57">
        <f t="shared" si="38"/>
        <v>-103.26086064750788</v>
      </c>
      <c r="K66" s="57">
        <f t="shared" si="38"/>
        <v>-86.131952739999278</v>
      </c>
      <c r="L66" s="57">
        <f t="shared" si="38"/>
        <v>-121.93540196830989</v>
      </c>
      <c r="M66" s="57">
        <f t="shared" si="38"/>
        <v>-111.37314401763184</v>
      </c>
      <c r="N66" s="57">
        <f t="shared" si="38"/>
        <v>-116.6392626824066</v>
      </c>
      <c r="O66" s="57">
        <f t="shared" si="38"/>
        <v>-93.466639822973832</v>
      </c>
      <c r="P66" s="57">
        <f t="shared" si="38"/>
        <v>-118.732</v>
      </c>
      <c r="Q66" s="57">
        <f t="shared" si="38"/>
        <v>-129.387</v>
      </c>
      <c r="R66" s="57">
        <f t="shared" si="38"/>
        <v>-125.07900000000001</v>
      </c>
      <c r="S66" s="57">
        <f t="shared" si="38"/>
        <v>-146.529</v>
      </c>
      <c r="T66" s="57">
        <f t="shared" si="38"/>
        <v>-154.56899999999999</v>
      </c>
      <c r="U66" s="57">
        <f t="shared" si="38"/>
        <v>-179.79500000000002</v>
      </c>
      <c r="V66" s="57">
        <f t="shared" si="38"/>
        <v>-167.05099999999999</v>
      </c>
      <c r="W66" s="57">
        <f t="shared" si="38"/>
        <v>-169.30500000000001</v>
      </c>
      <c r="X66" s="57">
        <f t="shared" si="38"/>
        <v>-144.33800000000002</v>
      </c>
      <c r="Y66" s="57">
        <f t="shared" si="38"/>
        <v>-193.49600000000001</v>
      </c>
      <c r="Z66" s="57">
        <f t="shared" si="38"/>
        <v>-168.57500000000002</v>
      </c>
      <c r="AA66" s="57">
        <f t="shared" si="38"/>
        <v>-219.09899999999999</v>
      </c>
      <c r="AB66" s="57">
        <f t="shared" si="38"/>
        <v>-356.96299999999997</v>
      </c>
      <c r="AC66" s="57">
        <f t="shared" si="38"/>
        <v>-454.517</v>
      </c>
      <c r="AD66" s="57">
        <f t="shared" ref="AD66:AQ66" si="39">SUM(AD67:AD71)</f>
        <v>-485.11699999999996</v>
      </c>
      <c r="AE66" s="57">
        <f t="shared" si="39"/>
        <v>-523.85199999999998</v>
      </c>
      <c r="AF66" s="57">
        <f t="shared" si="39"/>
        <v>-515.605594</v>
      </c>
      <c r="AG66" s="57">
        <f t="shared" si="39"/>
        <v>-477.70839312000004</v>
      </c>
      <c r="AH66" s="57">
        <f t="shared" si="39"/>
        <v>-526.90055961999997</v>
      </c>
      <c r="AI66" s="57">
        <f t="shared" si="39"/>
        <v>-545.7037901299999</v>
      </c>
      <c r="AJ66" s="57">
        <f t="shared" si="39"/>
        <v>-551.22000104999995</v>
      </c>
      <c r="AK66" s="57">
        <f t="shared" si="39"/>
        <v>-495.97976019000004</v>
      </c>
      <c r="AL66" s="57">
        <f t="shared" si="39"/>
        <v>-508.01550964000012</v>
      </c>
      <c r="AM66" s="57">
        <f t="shared" si="39"/>
        <v>-551.28436789000091</v>
      </c>
      <c r="AN66" s="57">
        <f t="shared" si="39"/>
        <v>-566.86525036000023</v>
      </c>
      <c r="AO66" s="57">
        <f t="shared" si="39"/>
        <v>-573.76756397999998</v>
      </c>
      <c r="AP66" s="57">
        <f t="shared" si="39"/>
        <v>-606.92534267999997</v>
      </c>
      <c r="AQ66" s="57">
        <f t="shared" si="39"/>
        <v>-635.51327775999982</v>
      </c>
      <c r="AR66" s="57">
        <f t="shared" ref="AR66" si="40">SUM(AR67:AR71)</f>
        <v>-619.71799999999996</v>
      </c>
      <c r="AS66" s="63"/>
      <c r="AT66" s="57">
        <f t="shared" ref="AT66:AZ66" si="41">SUM(AT67:AT71)</f>
        <v>-378.17464488000002</v>
      </c>
      <c r="AU66" s="57">
        <f t="shared" si="41"/>
        <v>-443.41444849132222</v>
      </c>
      <c r="AV66" s="57">
        <f t="shared" si="41"/>
        <v>-519.72700000000009</v>
      </c>
      <c r="AW66" s="57">
        <f t="shared" si="41"/>
        <v>-670.72</v>
      </c>
      <c r="AX66" s="57">
        <f t="shared" si="41"/>
        <v>-725.50799999999992</v>
      </c>
      <c r="AY66" s="57">
        <f t="shared" si="41"/>
        <v>-1820.4489999999996</v>
      </c>
      <c r="AZ66" s="57">
        <f t="shared" si="41"/>
        <v>-2065.9183368700001</v>
      </c>
      <c r="BA66" s="57">
        <f>SUM(AJ66:AM66)</f>
        <v>-2106.4996387700012</v>
      </c>
      <c r="BB66" s="57">
        <f t="shared" ref="BB66:BB93" si="42">SUM(AN66:AQ66)</f>
        <v>-2383.0714347799999</v>
      </c>
    </row>
    <row r="67" spans="2:54" outlineLevel="1">
      <c r="B67" s="61" t="s">
        <v>111</v>
      </c>
      <c r="C67" s="1" t="s">
        <v>71</v>
      </c>
      <c r="D67" s="53"/>
      <c r="E67" s="53"/>
      <c r="F67" s="53"/>
      <c r="G67" s="53"/>
      <c r="H67" s="53">
        <v>-7.3174337000000023</v>
      </c>
      <c r="I67" s="53">
        <v>-10.720859609999996</v>
      </c>
      <c r="J67" s="53">
        <v>-8.3177049899999993</v>
      </c>
      <c r="K67" s="53">
        <v>-9.5013306899999979</v>
      </c>
      <c r="L67" s="53">
        <v>-7.3329038799999982</v>
      </c>
      <c r="M67" s="53">
        <v>-8.3716000200000007</v>
      </c>
      <c r="N67" s="53">
        <v>-9.2306817199999998</v>
      </c>
      <c r="O67" s="53">
        <v>-13.406338969999997</v>
      </c>
      <c r="P67" s="53">
        <v>-10.244999999999999</v>
      </c>
      <c r="Q67" s="53">
        <v>-16.774000000000001</v>
      </c>
      <c r="R67" s="53">
        <v>-9.1280000000000001</v>
      </c>
      <c r="S67" s="53">
        <v>-8.8580000000000041</v>
      </c>
      <c r="T67" s="53">
        <v>-8.7159999999999993</v>
      </c>
      <c r="U67" s="53">
        <v>-12.519</v>
      </c>
      <c r="V67" s="53">
        <v>-13.840999999999999</v>
      </c>
      <c r="W67" s="53">
        <v>-18.610999999999997</v>
      </c>
      <c r="X67" s="53">
        <v>-14.611000000000001</v>
      </c>
      <c r="Y67" s="53">
        <v>-14.452</v>
      </c>
      <c r="Z67" s="53">
        <v>-16.161999999999999</v>
      </c>
      <c r="AA67" s="53">
        <v>-15.006</v>
      </c>
      <c r="AB67" s="53">
        <v>-15.7</v>
      </c>
      <c r="AC67" s="53">
        <v>-20.809000000000001</v>
      </c>
      <c r="AD67" s="53">
        <v>-20.213999999999999</v>
      </c>
      <c r="AE67" s="53">
        <v>-35.7254</v>
      </c>
      <c r="AF67" s="53">
        <v>-12.362893100000003</v>
      </c>
      <c r="AG67" s="53">
        <v>-11.264477349999998</v>
      </c>
      <c r="AH67" s="53">
        <v>-20.01085179</v>
      </c>
      <c r="AI67" s="53">
        <v>-25.146173160000011</v>
      </c>
      <c r="AJ67" s="54">
        <v>-12.51138377</v>
      </c>
      <c r="AK67" s="54">
        <v>-23.934762329999995</v>
      </c>
      <c r="AL67" s="54">
        <v>-10.64597161</v>
      </c>
      <c r="AM67" s="54">
        <v>-35.16891780000001</v>
      </c>
      <c r="AN67" s="54">
        <v>-14.13405231</v>
      </c>
      <c r="AO67" s="54">
        <v>-42.414322939999998</v>
      </c>
      <c r="AP67" s="54">
        <v>-14.20293367</v>
      </c>
      <c r="AQ67" s="54">
        <v>-21.720641130000018</v>
      </c>
      <c r="AR67" s="54">
        <v>-16.082000000000001</v>
      </c>
      <c r="AS67" s="63"/>
      <c r="AT67" s="53">
        <f>SUM(H67:K67)</f>
        <v>-35.857328989999999</v>
      </c>
      <c r="AU67" s="53">
        <f>SUM(L67:O67)</f>
        <v>-38.341524589999992</v>
      </c>
      <c r="AV67" s="53">
        <f>SUM(P67:S67)</f>
        <v>-45.005000000000003</v>
      </c>
      <c r="AW67" s="53">
        <f>SUM(T67:W67)</f>
        <v>-53.686999999999998</v>
      </c>
      <c r="AX67" s="53">
        <f>SUM(X67:AA67)</f>
        <v>-60.231000000000002</v>
      </c>
      <c r="AY67" s="53">
        <f>SUM(AB67:AE67)</f>
        <v>-92.448399999999992</v>
      </c>
      <c r="AZ67" s="53">
        <f>SUM(AF67:AI67)</f>
        <v>-68.784395400000022</v>
      </c>
      <c r="BA67" s="53">
        <f t="shared" ref="BA67:BA93" si="43">SUM(AJ67:AM67)</f>
        <v>-82.261035509999999</v>
      </c>
      <c r="BB67" s="53">
        <f t="shared" si="42"/>
        <v>-92.471950050000018</v>
      </c>
    </row>
    <row r="68" spans="2:54" outlineLevel="1">
      <c r="B68" s="61" t="s">
        <v>112</v>
      </c>
      <c r="C68" s="1" t="s">
        <v>71</v>
      </c>
      <c r="D68" s="53"/>
      <c r="E68" s="53"/>
      <c r="F68" s="53"/>
      <c r="G68" s="53"/>
      <c r="H68" s="53">
        <v>-52.564513346881625</v>
      </c>
      <c r="I68" s="53">
        <v>-52.052261015609474</v>
      </c>
      <c r="J68" s="53">
        <v>-70.880297787508908</v>
      </c>
      <c r="K68" s="53">
        <v>-62.003680349999996</v>
      </c>
      <c r="L68" s="53">
        <v>-49.355685728309894</v>
      </c>
      <c r="M68" s="53">
        <v>-79.203606607635137</v>
      </c>
      <c r="N68" s="53">
        <v>-71.500089862403954</v>
      </c>
      <c r="O68" s="53">
        <v>-56.333879492973445</v>
      </c>
      <c r="P68" s="53">
        <v>-72.051000000000002</v>
      </c>
      <c r="Q68" s="53">
        <v>-72.143000000000001</v>
      </c>
      <c r="R68" s="53">
        <v>-78.210999999999999</v>
      </c>
      <c r="S68" s="53">
        <v>-81.850000000000009</v>
      </c>
      <c r="T68" s="53">
        <v>-83.911000000000001</v>
      </c>
      <c r="U68" s="53">
        <v>-94.715000000000003</v>
      </c>
      <c r="V68" s="53">
        <v>-98.206000000000003</v>
      </c>
      <c r="W68" s="53">
        <v>-93.566000000000017</v>
      </c>
      <c r="X68" s="53">
        <v>-82.741</v>
      </c>
      <c r="Y68" s="53">
        <v>-98.513000000000005</v>
      </c>
      <c r="Z68" s="53">
        <v>-114.733</v>
      </c>
      <c r="AA68" s="53">
        <v>-137.59</v>
      </c>
      <c r="AB68" s="53">
        <v>-249.28200000000001</v>
      </c>
      <c r="AC68" s="53">
        <v>-296.34399999999999</v>
      </c>
      <c r="AD68" s="53">
        <v>-338.20699999999999</v>
      </c>
      <c r="AE68" s="53">
        <v>-301.59589999999997</v>
      </c>
      <c r="AF68" s="53">
        <v>-317.04449999999997</v>
      </c>
      <c r="AG68" s="53">
        <v>-301.70654949999999</v>
      </c>
      <c r="AH68" s="53">
        <v>-330.55196762999998</v>
      </c>
      <c r="AI68" s="53">
        <v>-327.71537536000005</v>
      </c>
      <c r="AJ68" s="54">
        <v>-315.79612026000001</v>
      </c>
      <c r="AK68" s="54">
        <v>-314.28199521999989</v>
      </c>
      <c r="AL68" s="54">
        <v>-333.73289009000007</v>
      </c>
      <c r="AM68" s="54">
        <v>-324.61201198000015</v>
      </c>
      <c r="AN68" s="54">
        <v>-313.66575378000005</v>
      </c>
      <c r="AO68" s="54">
        <v>-295.62492523999987</v>
      </c>
      <c r="AP68" s="54">
        <v>-335.60294518000006</v>
      </c>
      <c r="AQ68" s="54">
        <v>-345.49168918000009</v>
      </c>
      <c r="AR68" s="54">
        <v>-334.04899999999998</v>
      </c>
      <c r="AS68" s="63"/>
      <c r="AT68" s="53">
        <f>SUM(H68:K68)</f>
        <v>-237.5007525</v>
      </c>
      <c r="AU68" s="53">
        <f>SUM(L68:O68)</f>
        <v>-256.39326169132244</v>
      </c>
      <c r="AV68" s="53">
        <f>SUM(P68:S68)</f>
        <v>-304.25500000000005</v>
      </c>
      <c r="AW68" s="53">
        <f>SUM(T68:W68)</f>
        <v>-370.39800000000002</v>
      </c>
      <c r="AX68" s="53">
        <f>SUM(X68:AA68)</f>
        <v>-433.577</v>
      </c>
      <c r="AY68" s="53">
        <f>SUM(AB68:AE68)</f>
        <v>-1185.4288999999999</v>
      </c>
      <c r="AZ68" s="53">
        <f>SUM(AF68:AI68)</f>
        <v>-1277.01839249</v>
      </c>
      <c r="BA68" s="53">
        <f t="shared" si="43"/>
        <v>-1288.4230175500002</v>
      </c>
      <c r="BB68" s="53">
        <f t="shared" si="42"/>
        <v>-1290.3853133800001</v>
      </c>
    </row>
    <row r="69" spans="2:54" outlineLevel="1">
      <c r="B69" s="61" t="s">
        <v>113</v>
      </c>
      <c r="C69" s="1" t="s">
        <v>71</v>
      </c>
      <c r="D69" s="53"/>
      <c r="E69" s="53"/>
      <c r="F69" s="53"/>
      <c r="G69" s="53"/>
      <c r="H69" s="53">
        <v>-33.889190210000002</v>
      </c>
      <c r="I69" s="53">
        <v>-32.237573610001718</v>
      </c>
      <c r="J69" s="53">
        <v>-24.062857869998986</v>
      </c>
      <c r="K69" s="53">
        <v>-14.626941699999282</v>
      </c>
      <c r="L69" s="53">
        <v>-65.246812360000007</v>
      </c>
      <c r="M69" s="53">
        <v>-23.797937389996704</v>
      </c>
      <c r="N69" s="53">
        <v>-35.908491100002649</v>
      </c>
      <c r="O69" s="53">
        <v>-23.726421360000387</v>
      </c>
      <c r="P69" s="53">
        <v>-36.436</v>
      </c>
      <c r="Q69" s="53">
        <v>-40.47</v>
      </c>
      <c r="R69" s="53">
        <v>-37.74</v>
      </c>
      <c r="S69" s="53">
        <v>-52.321999999999981</v>
      </c>
      <c r="T69" s="53">
        <v>-55.966000000000001</v>
      </c>
      <c r="U69" s="53">
        <v>-66.668999999999997</v>
      </c>
      <c r="V69" s="53">
        <v>-47.914999999999999</v>
      </c>
      <c r="W69" s="53">
        <v>-50.896999999999998</v>
      </c>
      <c r="X69" s="53">
        <v>-40.668999999999997</v>
      </c>
      <c r="Y69" s="53">
        <v>-72.91</v>
      </c>
      <c r="Z69" s="53">
        <v>-31.22</v>
      </c>
      <c r="AA69" s="53">
        <v>-66.503</v>
      </c>
      <c r="AB69" s="53">
        <v>-65.59</v>
      </c>
      <c r="AC69" s="53">
        <v>-107.164</v>
      </c>
      <c r="AD69" s="53">
        <v>-98.37</v>
      </c>
      <c r="AE69" s="53">
        <v>-153.7133</v>
      </c>
      <c r="AF69" s="53">
        <v>-154.07547023000001</v>
      </c>
      <c r="AG69" s="53">
        <v>-126.03200106000003</v>
      </c>
      <c r="AH69" s="53">
        <v>-131.19359437000006</v>
      </c>
      <c r="AI69" s="53">
        <v>-138.87341088999989</v>
      </c>
      <c r="AJ69" s="54">
        <v>-170.68802073000001</v>
      </c>
      <c r="AK69" s="54">
        <v>-104.54551622000012</v>
      </c>
      <c r="AL69" s="54">
        <v>-111.02046506000005</v>
      </c>
      <c r="AM69" s="54">
        <v>-111.89738584000071</v>
      </c>
      <c r="AN69" s="54">
        <v>-142.21388904000008</v>
      </c>
      <c r="AO69" s="54">
        <v>-129.47761344000014</v>
      </c>
      <c r="AP69" s="54">
        <v>-138.84066312999985</v>
      </c>
      <c r="AQ69" s="54">
        <v>-138.77693040999981</v>
      </c>
      <c r="AR69" s="54">
        <v>-153.93</v>
      </c>
      <c r="AS69" s="63"/>
      <c r="AT69" s="53">
        <f>SUM(H69:K69)</f>
        <v>-104.81656338999998</v>
      </c>
      <c r="AU69" s="53">
        <f>SUM(L69:O69)</f>
        <v>-148.67966220999975</v>
      </c>
      <c r="AV69" s="53">
        <f>SUM(P69:S69)</f>
        <v>-166.96799999999999</v>
      </c>
      <c r="AW69" s="53">
        <f>SUM(T69:W69)</f>
        <v>-221.44699999999997</v>
      </c>
      <c r="AX69" s="53">
        <f>SUM(X69:AA69)</f>
        <v>-211.30199999999996</v>
      </c>
      <c r="AY69" s="53">
        <f>SUM(AB69:AE69)</f>
        <v>-424.83730000000003</v>
      </c>
      <c r="AZ69" s="53">
        <f>SUM(AF69:AI69)</f>
        <v>-550.17447655000001</v>
      </c>
      <c r="BA69" s="53">
        <f t="shared" si="43"/>
        <v>-498.1513878500009</v>
      </c>
      <c r="BB69" s="53">
        <f t="shared" si="42"/>
        <v>-549.30909601999997</v>
      </c>
    </row>
    <row r="70" spans="2:54" outlineLevel="1">
      <c r="B70" s="61" t="s">
        <v>114</v>
      </c>
      <c r="C70" s="1" t="s">
        <v>71</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v>-22.454999999999998</v>
      </c>
      <c r="AC70" s="53">
        <v>-24.550999999999998</v>
      </c>
      <c r="AD70" s="53">
        <v>-24.645</v>
      </c>
      <c r="AE70" s="53">
        <v>-27.846699999999998</v>
      </c>
      <c r="AF70" s="53">
        <v>-29.259</v>
      </c>
      <c r="AG70" s="53">
        <v>-34.27412571</v>
      </c>
      <c r="AH70" s="53">
        <v>-33.436089739999986</v>
      </c>
      <c r="AI70" s="53">
        <v>-43.05120319000001</v>
      </c>
      <c r="AJ70" s="54">
        <v>-43.557746540000004</v>
      </c>
      <c r="AK70" s="54">
        <v>-42.070356869999998</v>
      </c>
      <c r="AL70" s="54">
        <v>-43.206447609999984</v>
      </c>
      <c r="AM70" s="54">
        <v>-52.916201100000023</v>
      </c>
      <c r="AN70" s="54">
        <v>-74.692446250000003</v>
      </c>
      <c r="AO70" s="54">
        <v>-67.809294319999992</v>
      </c>
      <c r="AP70" s="54">
        <v>-66.455589180000018</v>
      </c>
      <c r="AQ70" s="54">
        <v>-71.73740219999992</v>
      </c>
      <c r="AR70" s="54">
        <v>-66.126000000000005</v>
      </c>
      <c r="AS70" s="63"/>
      <c r="AT70" s="53">
        <f>SUM(H70:K70)</f>
        <v>0</v>
      </c>
      <c r="AU70" s="53">
        <f>SUM(L70:O70)</f>
        <v>0</v>
      </c>
      <c r="AV70" s="53">
        <f>SUM(P70:S70)</f>
        <v>0</v>
      </c>
      <c r="AW70" s="53">
        <f>SUM(T70:W70)</f>
        <v>0</v>
      </c>
      <c r="AX70" s="53">
        <f>SUM(X70:AA70)</f>
        <v>0</v>
      </c>
      <c r="AY70" s="53">
        <f>SUM(AB70:AE70)</f>
        <v>-99.497699999999995</v>
      </c>
      <c r="AZ70" s="53">
        <f>SUM(AF70:AI70)</f>
        <v>-140.02041864</v>
      </c>
      <c r="BA70" s="53">
        <f t="shared" si="43"/>
        <v>-181.75075212000002</v>
      </c>
      <c r="BB70" s="53">
        <f t="shared" si="42"/>
        <v>-280.69473194999989</v>
      </c>
    </row>
    <row r="71" spans="2:54" outlineLevel="1">
      <c r="B71" s="61" t="s">
        <v>115</v>
      </c>
      <c r="C71" s="1" t="s">
        <v>71</v>
      </c>
      <c r="D71" s="53"/>
      <c r="E71" s="53"/>
      <c r="F71" s="53"/>
      <c r="G71" s="53"/>
      <c r="H71" s="53"/>
      <c r="I71" s="53"/>
      <c r="J71" s="53"/>
      <c r="K71" s="53"/>
      <c r="L71" s="53"/>
      <c r="M71" s="53"/>
      <c r="N71" s="53"/>
      <c r="O71" s="53"/>
      <c r="P71" s="53"/>
      <c r="Q71" s="53"/>
      <c r="R71" s="53">
        <v>0</v>
      </c>
      <c r="S71" s="53">
        <v>-3.4990000000000001</v>
      </c>
      <c r="T71" s="53">
        <v>-5.976</v>
      </c>
      <c r="U71" s="53">
        <v>-5.8920000000000003</v>
      </c>
      <c r="V71" s="53">
        <v>-7.0890000000000004</v>
      </c>
      <c r="W71" s="53">
        <v>-6.2309999999999999</v>
      </c>
      <c r="X71" s="53">
        <v>-6.3170000000000002</v>
      </c>
      <c r="Y71" s="53">
        <v>-7.6210000000000004</v>
      </c>
      <c r="Z71" s="53">
        <v>-6.46</v>
      </c>
      <c r="AA71" s="53">
        <v>0</v>
      </c>
      <c r="AB71" s="53">
        <v>-3.9359999999999999</v>
      </c>
      <c r="AC71" s="53">
        <v>-5.649</v>
      </c>
      <c r="AD71" s="53">
        <v>-3.681</v>
      </c>
      <c r="AE71" s="53">
        <v>-4.9706999999999999</v>
      </c>
      <c r="AF71" s="53">
        <v>-2.8637306699999998</v>
      </c>
      <c r="AG71" s="53">
        <v>-4.4312395000000002</v>
      </c>
      <c r="AH71" s="53">
        <v>-11.708056089999999</v>
      </c>
      <c r="AI71" s="53">
        <v>-10.917627529999997</v>
      </c>
      <c r="AJ71" s="54">
        <v>-8.6667297499999982</v>
      </c>
      <c r="AK71" s="54">
        <v>-11.147129549999999</v>
      </c>
      <c r="AL71" s="54">
        <v>-9.4097352700000059</v>
      </c>
      <c r="AM71" s="54">
        <v>-26.689851169999997</v>
      </c>
      <c r="AN71" s="54">
        <v>-22.159108979999996</v>
      </c>
      <c r="AO71" s="54">
        <v>-38.441408039999992</v>
      </c>
      <c r="AP71" s="54">
        <v>-51.823211520000001</v>
      </c>
      <c r="AQ71" s="54">
        <v>-57.786614839999984</v>
      </c>
      <c r="AR71" s="54">
        <v>-49.530999999999999</v>
      </c>
      <c r="AS71" s="63"/>
      <c r="AT71" s="53">
        <f>SUM(H71:K71)</f>
        <v>0</v>
      </c>
      <c r="AU71" s="53">
        <f>SUM(L71:O71)</f>
        <v>0</v>
      </c>
      <c r="AV71" s="53">
        <f>SUM(P71:S71)</f>
        <v>-3.4990000000000001</v>
      </c>
      <c r="AW71" s="53">
        <f>SUM(T71:W71)</f>
        <v>-25.188000000000002</v>
      </c>
      <c r="AX71" s="53">
        <f>SUM(X71:AA71)</f>
        <v>-20.398</v>
      </c>
      <c r="AY71" s="53">
        <f>SUM(AB71:AE71)</f>
        <v>-18.236700000000003</v>
      </c>
      <c r="AZ71" s="53">
        <f>SUM(AF71:AI71)</f>
        <v>-29.920653789999996</v>
      </c>
      <c r="BA71" s="53">
        <f t="shared" si="43"/>
        <v>-55.91344574</v>
      </c>
      <c r="BB71" s="53">
        <f t="shared" si="42"/>
        <v>-170.21034337999998</v>
      </c>
    </row>
    <row r="72" spans="2:54" ht="13.5" outlineLevel="1" collapsed="1">
      <c r="B72" s="60" t="s">
        <v>116</v>
      </c>
      <c r="C72" s="10" t="s">
        <v>71</v>
      </c>
      <c r="D72" s="57"/>
      <c r="E72" s="57"/>
      <c r="F72" s="57"/>
      <c r="G72" s="57"/>
      <c r="H72" s="57">
        <f>SUM(H73:H80)</f>
        <v>-92.919003639999943</v>
      </c>
      <c r="I72" s="57">
        <f>SUM(I73:I80)</f>
        <v>-90.377535159454027</v>
      </c>
      <c r="J72" s="57">
        <f>SUM(J73:J80)</f>
        <v>-115.38619020000006</v>
      </c>
      <c r="K72" s="57">
        <f>SUM(K73:K80)</f>
        <v>-127.92782582054593</v>
      </c>
      <c r="L72" s="57">
        <f>SUM(L73:L80)</f>
        <v>-90.854317149999972</v>
      </c>
      <c r="M72" s="57">
        <f>SUM(M73:M80)</f>
        <v>-132.24004889999998</v>
      </c>
      <c r="N72" s="57">
        <f>SUM(N73:N80)</f>
        <v>-139.08857572999997</v>
      </c>
      <c r="O72" s="57">
        <f>SUM(O73:O80)</f>
        <v>-144.9953687900001</v>
      </c>
      <c r="P72" s="57">
        <f>SUM(P73:P80)</f>
        <v>-139.279</v>
      </c>
      <c r="Q72" s="57">
        <f>SUM(Q73:Q80)</f>
        <v>-128.85500000000002</v>
      </c>
      <c r="R72" s="57">
        <f>SUM(R73:R80)</f>
        <v>-138.42499999999998</v>
      </c>
      <c r="S72" s="57">
        <f>SUM(S73:S80)</f>
        <v>-269.52100000000013</v>
      </c>
      <c r="T72" s="57">
        <f>SUM(T73:T80)</f>
        <v>-333.38300000000004</v>
      </c>
      <c r="U72" s="57">
        <f>SUM(U73:U80)</f>
        <v>-310.32400000000001</v>
      </c>
      <c r="V72" s="57">
        <f>SUM(V73:V80)</f>
        <v>-346.89699999999993</v>
      </c>
      <c r="W72" s="57">
        <f>SUM(W73:W80)</f>
        <v>-422.91499999999991</v>
      </c>
      <c r="X72" s="57">
        <f>SUM(X73:X80)</f>
        <v>-409.50000000000006</v>
      </c>
      <c r="Y72" s="57">
        <f>SUM(Y73:Y80)</f>
        <v>-438.12199999999996</v>
      </c>
      <c r="Z72" s="57">
        <f>SUM(Z73:Z80)</f>
        <v>-504.76599999999996</v>
      </c>
      <c r="AA72" s="57">
        <f>SUM(AA73:AA80)</f>
        <v>-475.86499999999995</v>
      </c>
      <c r="AB72" s="57">
        <f>SUM(AB73:AB80)</f>
        <v>-811.04399999999987</v>
      </c>
      <c r="AC72" s="57">
        <f>SUM(AC73:AC80)</f>
        <v>-1192.7610000000002</v>
      </c>
      <c r="AD72" s="57">
        <f>SUM(AD73:AD80)</f>
        <v>-1362.038</v>
      </c>
      <c r="AE72" s="57">
        <f>SUM(AE73:AE80)</f>
        <v>-1176.5789999999997</v>
      </c>
      <c r="AF72" s="57">
        <f>SUM(AF73:AF80)</f>
        <v>-1066.9654596288558</v>
      </c>
      <c r="AG72" s="57">
        <f>SUM(AG73:AG80)</f>
        <v>-1084.5794357039308</v>
      </c>
      <c r="AH72" s="57">
        <f>SUM(AH73:AH80)</f>
        <v>-1144.5055029440159</v>
      </c>
      <c r="AI72" s="57">
        <f>SUM(AI73:AI80)</f>
        <v>-1122.5652009931978</v>
      </c>
      <c r="AJ72" s="57">
        <f>SUM(AJ73:AJ80)</f>
        <v>-1121.9240060699999</v>
      </c>
      <c r="AK72" s="57">
        <f>SUM(AK73:AK80)</f>
        <v>-1137.7856181899999</v>
      </c>
      <c r="AL72" s="57">
        <f>SUM(AL73:AL80)</f>
        <v>-1334.8135172200002</v>
      </c>
      <c r="AM72" s="57">
        <f>SUM(AM73:AM80)</f>
        <v>-1693.0124901200002</v>
      </c>
      <c r="AN72" s="57">
        <f>SUM(AN73:AN80)</f>
        <v>-907.04646802000002</v>
      </c>
      <c r="AO72" s="57">
        <f>SUM(AO73:AO80)</f>
        <v>-910.28257275999999</v>
      </c>
      <c r="AP72" s="57">
        <f>SUM(AP73:AP80)</f>
        <v>-914.48794893000002</v>
      </c>
      <c r="AQ72" s="57">
        <f>SUM(AQ73:AQ80)</f>
        <v>-847.90456067999992</v>
      </c>
      <c r="AR72" s="57">
        <f>SUM(AR73:AR80)</f>
        <v>-951.56825265000009</v>
      </c>
      <c r="AS72" s="63"/>
      <c r="AT72" s="57">
        <f>SUM(AT73:AT80)</f>
        <v>-426.61055481999995</v>
      </c>
      <c r="AU72" s="57">
        <f>SUM(AU73:AU80)</f>
        <v>-507.17831057000001</v>
      </c>
      <c r="AV72" s="57">
        <f>SUM(AV73:AV80)</f>
        <v>-676.08</v>
      </c>
      <c r="AW72" s="57">
        <f>SUM(AW73:AW80)</f>
        <v>-1413.5189999999998</v>
      </c>
      <c r="AX72" s="57">
        <f>SUM(AX73:AX80)</f>
        <v>-1828.2529999999999</v>
      </c>
      <c r="AY72" s="57">
        <f>SUM(AY73:AY80)</f>
        <v>-4542.4220000000014</v>
      </c>
      <c r="AZ72" s="57">
        <f>SUM(AZ73:AZ80)</f>
        <v>-4418.6155992700005</v>
      </c>
      <c r="BA72" s="57">
        <f t="shared" si="43"/>
        <v>-5287.5356315999998</v>
      </c>
      <c r="BB72" s="57">
        <f t="shared" si="42"/>
        <v>-3579.7215503900002</v>
      </c>
    </row>
    <row r="73" spans="2:54" outlineLevel="1">
      <c r="B73" s="61" t="s">
        <v>117</v>
      </c>
      <c r="C73" s="1" t="s">
        <v>71</v>
      </c>
      <c r="D73" s="53"/>
      <c r="E73" s="53"/>
      <c r="F73" s="53"/>
      <c r="G73" s="53"/>
      <c r="H73" s="53">
        <v>-34.617838969999994</v>
      </c>
      <c r="I73" s="53">
        <v>-30.820548100000011</v>
      </c>
      <c r="J73" s="53">
        <v>-40.168255530000053</v>
      </c>
      <c r="K73" s="53">
        <v>-56.486855679999955</v>
      </c>
      <c r="L73" s="53">
        <v>-32.338281329999987</v>
      </c>
      <c r="M73" s="53">
        <v>-52.740079179999988</v>
      </c>
      <c r="N73" s="53">
        <v>-53.681793879999958</v>
      </c>
      <c r="O73" s="53">
        <v>-56.586611750000095</v>
      </c>
      <c r="P73" s="53">
        <v>-52.17</v>
      </c>
      <c r="Q73" s="53">
        <v>-45.969000000000001</v>
      </c>
      <c r="R73" s="53">
        <v>-56.768000000000008</v>
      </c>
      <c r="S73" s="53">
        <v>-67.601000000000028</v>
      </c>
      <c r="T73" s="53">
        <v>-84.084000000000003</v>
      </c>
      <c r="U73" s="53">
        <v>-94.736999999999995</v>
      </c>
      <c r="V73" s="53">
        <v>-94.290999999999997</v>
      </c>
      <c r="W73" s="53">
        <v>-85.948000000000008</v>
      </c>
      <c r="X73" s="53">
        <v>-92.358999999999995</v>
      </c>
      <c r="Y73" s="53">
        <f>-148.07-Y74</f>
        <v>-127.767</v>
      </c>
      <c r="Z73" s="53">
        <f>-155.914-Z74</f>
        <v>-125.45999999999998</v>
      </c>
      <c r="AA73" s="53">
        <f>-122.531-AA74</f>
        <v>-116.98400000000001</v>
      </c>
      <c r="AB73" s="53">
        <f>-325.083-AB74</f>
        <v>-195.44900000000001</v>
      </c>
      <c r="AC73" s="53">
        <f>-414.595-AC74</f>
        <v>-269.78200000000004</v>
      </c>
      <c r="AD73" s="53">
        <v>-320.50400000000002</v>
      </c>
      <c r="AE73" s="53">
        <v>-291.64800000000002</v>
      </c>
      <c r="AF73" s="53">
        <v>-280.74180951</v>
      </c>
      <c r="AG73" s="53">
        <v>-278.31450000000001</v>
      </c>
      <c r="AH73" s="53">
        <v>-282.90524682</v>
      </c>
      <c r="AI73" s="53">
        <v>-252.39525665000002</v>
      </c>
      <c r="AJ73" s="54">
        <v>-257.9023057</v>
      </c>
      <c r="AK73" s="54">
        <v>-273.90799999999996</v>
      </c>
      <c r="AL73" s="54">
        <v>-283.86546215000004</v>
      </c>
      <c r="AM73" s="54">
        <v>-296.06126008000001</v>
      </c>
      <c r="AN73" s="54">
        <v>-152.35912094</v>
      </c>
      <c r="AO73" s="54">
        <v>-130.08082171999999</v>
      </c>
      <c r="AP73" s="54">
        <v>-101.74283327000005</v>
      </c>
      <c r="AQ73" s="54">
        <v>-134.21888095999995</v>
      </c>
      <c r="AR73" s="54">
        <v>-157.09200000000001</v>
      </c>
      <c r="AS73" s="63"/>
      <c r="AT73" s="53">
        <f t="shared" ref="AT73:AT81" si="44">SUM(H73:K73)</f>
        <v>-162.09349828000001</v>
      </c>
      <c r="AU73" s="53">
        <f t="shared" ref="AU73:AU81" si="45">SUM(L73:O73)</f>
        <v>-195.34676614000003</v>
      </c>
      <c r="AV73" s="53">
        <f t="shared" ref="AV73:AV81" si="46">SUM(P73:S73)</f>
        <v>-222.50800000000004</v>
      </c>
      <c r="AW73" s="53">
        <f t="shared" ref="AW73:AW81" si="47">SUM(T73:W73)</f>
        <v>-359.05999999999995</v>
      </c>
      <c r="AX73" s="53">
        <f t="shared" ref="AX73:AX81" si="48">SUM(X73:AA73)</f>
        <v>-462.56999999999994</v>
      </c>
      <c r="AY73" s="53">
        <f t="shared" ref="AY73:AY81" si="49">SUM(AB73:AE73)</f>
        <v>-1077.3830000000003</v>
      </c>
      <c r="AZ73" s="53">
        <f t="shared" ref="AZ73:AZ80" si="50">SUM(AF73:AI73)</f>
        <v>-1094.3568129800001</v>
      </c>
      <c r="BA73" s="53">
        <f t="shared" si="43"/>
        <v>-1111.7370279300001</v>
      </c>
      <c r="BB73" s="53">
        <f t="shared" si="42"/>
        <v>-518.40165689000003</v>
      </c>
    </row>
    <row r="74" spans="2:54" outlineLevel="1">
      <c r="B74" s="61" t="s">
        <v>118</v>
      </c>
      <c r="C74" s="1" t="s">
        <v>71</v>
      </c>
      <c r="D74" s="53"/>
      <c r="E74" s="53"/>
      <c r="F74" s="53"/>
      <c r="G74" s="53"/>
      <c r="H74" s="53"/>
      <c r="I74" s="53"/>
      <c r="J74" s="53"/>
      <c r="K74" s="53"/>
      <c r="L74" s="53"/>
      <c r="M74" s="53"/>
      <c r="N74" s="53"/>
      <c r="O74" s="53"/>
      <c r="P74" s="53"/>
      <c r="Q74" s="53"/>
      <c r="R74" s="53"/>
      <c r="S74" s="53"/>
      <c r="T74" s="53"/>
      <c r="U74" s="53"/>
      <c r="V74" s="53"/>
      <c r="W74" s="53"/>
      <c r="X74" s="53">
        <v>0</v>
      </c>
      <c r="Y74" s="53">
        <v>-20.303000000000001</v>
      </c>
      <c r="Z74" s="53">
        <v>-30.454000000000001</v>
      </c>
      <c r="AA74" s="53">
        <v>-5.5469999999999997</v>
      </c>
      <c r="AB74" s="53">
        <v>-129.63400000000001</v>
      </c>
      <c r="AC74" s="53">
        <v>-144.81299999999999</v>
      </c>
      <c r="AD74" s="53">
        <v>-142.06399999999999</v>
      </c>
      <c r="AE74" s="53">
        <v>-69.805000000000007</v>
      </c>
      <c r="AF74" s="53">
        <v>-18.808835559999999</v>
      </c>
      <c r="AG74" s="53">
        <v>10.799146740000005</v>
      </c>
      <c r="AH74" s="53">
        <v>-15.915749999999997</v>
      </c>
      <c r="AI74" s="53">
        <v>39.907491829999998</v>
      </c>
      <c r="AJ74" s="54">
        <v>-41.859495799999998</v>
      </c>
      <c r="AK74" s="54">
        <v>-30.48027355</v>
      </c>
      <c r="AL74" s="54">
        <v>-32.768282040000003</v>
      </c>
      <c r="AM74" s="54">
        <v>2.3869679599999798</v>
      </c>
      <c r="AN74" s="54">
        <v>-16.346570020000005</v>
      </c>
      <c r="AO74" s="54">
        <v>-12.73945833000011</v>
      </c>
      <c r="AP74" s="54">
        <v>-6.7591003699998993</v>
      </c>
      <c r="AQ74" s="54">
        <v>12.99491636</v>
      </c>
      <c r="AR74" s="54">
        <v>-8.641</v>
      </c>
      <c r="AS74" s="63"/>
      <c r="AT74" s="53">
        <f t="shared" si="44"/>
        <v>0</v>
      </c>
      <c r="AU74" s="53">
        <f t="shared" si="45"/>
        <v>0</v>
      </c>
      <c r="AV74" s="53">
        <f t="shared" si="46"/>
        <v>0</v>
      </c>
      <c r="AW74" s="53">
        <f t="shared" si="47"/>
        <v>0</v>
      </c>
      <c r="AX74" s="53">
        <f t="shared" si="48"/>
        <v>-56.304000000000002</v>
      </c>
      <c r="AY74" s="53">
        <f t="shared" si="49"/>
        <v>-486.31599999999997</v>
      </c>
      <c r="AZ74" s="53">
        <f t="shared" si="50"/>
        <v>15.982053010000008</v>
      </c>
      <c r="BA74" s="53">
        <f t="shared" si="43"/>
        <v>-102.72108343000002</v>
      </c>
      <c r="BB74" s="53">
        <f t="shared" si="42"/>
        <v>-22.850212360000015</v>
      </c>
    </row>
    <row r="75" spans="2:54" outlineLevel="1">
      <c r="B75" s="61" t="s">
        <v>119</v>
      </c>
      <c r="C75" s="1" t="s">
        <v>71</v>
      </c>
      <c r="D75" s="53"/>
      <c r="E75" s="53"/>
      <c r="F75" s="53"/>
      <c r="G75" s="53"/>
      <c r="H75" s="53">
        <v>-17.98987369</v>
      </c>
      <c r="I75" s="53">
        <v>-14.673937130000002</v>
      </c>
      <c r="J75" s="53">
        <v>-22.826262520000011</v>
      </c>
      <c r="K75" s="53">
        <v>-21.934420699999965</v>
      </c>
      <c r="L75" s="53">
        <v>-17.814272379999998</v>
      </c>
      <c r="M75" s="53">
        <v>-25.430035750000002</v>
      </c>
      <c r="N75" s="53">
        <v>-22.970115680000013</v>
      </c>
      <c r="O75" s="53">
        <v>-32.700280999999997</v>
      </c>
      <c r="P75" s="53">
        <v>-20.651</v>
      </c>
      <c r="Q75" s="53">
        <v>-25.247</v>
      </c>
      <c r="R75" s="53">
        <v>-25.937000000000001</v>
      </c>
      <c r="S75" s="53">
        <v>-86.369</v>
      </c>
      <c r="T75" s="53">
        <v>-60.823</v>
      </c>
      <c r="U75" s="53">
        <v>-48.054000000000002</v>
      </c>
      <c r="V75" s="53">
        <v>-46.524999999999999</v>
      </c>
      <c r="W75" s="53">
        <v>-57.695</v>
      </c>
      <c r="X75" s="53">
        <v>-75.44</v>
      </c>
      <c r="Y75" s="53">
        <v>-67.995000000000005</v>
      </c>
      <c r="Z75" s="53">
        <v>-76.097999999999999</v>
      </c>
      <c r="AA75" s="53">
        <v>-76.757999999999981</v>
      </c>
      <c r="AB75" s="53">
        <v>-130.13499999999999</v>
      </c>
      <c r="AC75" s="53">
        <v>-179.52799999999999</v>
      </c>
      <c r="AD75" s="53">
        <v>-171.07599999999999</v>
      </c>
      <c r="AE75" s="53">
        <v>-182.571</v>
      </c>
      <c r="AF75" s="53">
        <v>-174.69624827000001</v>
      </c>
      <c r="AG75" s="53">
        <v>-171.99181661999998</v>
      </c>
      <c r="AH75" s="53">
        <v>-190.84833400000002</v>
      </c>
      <c r="AI75" s="53">
        <v>-165.86207254999999</v>
      </c>
      <c r="AJ75" s="54">
        <v>-194.02970841000001</v>
      </c>
      <c r="AK75" s="54">
        <v>-161.06434974999996</v>
      </c>
      <c r="AL75" s="54">
        <v>-185.18766313000003</v>
      </c>
      <c r="AM75" s="54">
        <v>-222.40392897000001</v>
      </c>
      <c r="AN75" s="54">
        <v>-103.17952113999999</v>
      </c>
      <c r="AO75" s="54">
        <v>-120.73678990000001</v>
      </c>
      <c r="AP75" s="54">
        <v>-127.70068987999996</v>
      </c>
      <c r="AQ75" s="54">
        <v>-141.81463741000002</v>
      </c>
      <c r="AR75" s="54">
        <v>-142.22999999999999</v>
      </c>
      <c r="AS75" s="63"/>
      <c r="AT75" s="53">
        <f t="shared" si="44"/>
        <v>-77.424494039999971</v>
      </c>
      <c r="AU75" s="53">
        <f t="shared" si="45"/>
        <v>-98.914704810000018</v>
      </c>
      <c r="AV75" s="53">
        <f t="shared" si="46"/>
        <v>-158.20400000000001</v>
      </c>
      <c r="AW75" s="53">
        <f t="shared" si="47"/>
        <v>-213.09700000000001</v>
      </c>
      <c r="AX75" s="53">
        <f t="shared" si="48"/>
        <v>-296.291</v>
      </c>
      <c r="AY75" s="53">
        <f t="shared" si="49"/>
        <v>-663.31000000000006</v>
      </c>
      <c r="AZ75" s="53">
        <f t="shared" si="50"/>
        <v>-703.39847143999998</v>
      </c>
      <c r="BA75" s="53">
        <f t="shared" si="43"/>
        <v>-762.68565025999999</v>
      </c>
      <c r="BB75" s="53">
        <f t="shared" si="42"/>
        <v>-493.43163832999994</v>
      </c>
    </row>
    <row r="76" spans="2:54" outlineLevel="1">
      <c r="B76" s="61" t="s">
        <v>120</v>
      </c>
      <c r="C76" s="1" t="s">
        <v>71</v>
      </c>
      <c r="D76" s="53"/>
      <c r="E76" s="53"/>
      <c r="F76" s="53"/>
      <c r="G76" s="53"/>
      <c r="H76" s="53">
        <v>-22.752955679999999</v>
      </c>
      <c r="I76" s="53">
        <v>-23.334541869999999</v>
      </c>
      <c r="J76" s="53">
        <v>-22.292728839999999</v>
      </c>
      <c r="K76" s="53">
        <v>-24.315000000000001</v>
      </c>
      <c r="L76" s="53">
        <v>-20.324759789999998</v>
      </c>
      <c r="M76" s="53">
        <v>-24.775669320000002</v>
      </c>
      <c r="N76" s="53">
        <f>-25.653-0.001</f>
        <v>-25.654</v>
      </c>
      <c r="O76" s="53">
        <f>-25.427-0.044</f>
        <v>-25.471</v>
      </c>
      <c r="P76" s="53">
        <v>-24.145999999999997</v>
      </c>
      <c r="Q76" s="53">
        <v>-22.605</v>
      </c>
      <c r="R76" s="53">
        <v>-21.451000000000001</v>
      </c>
      <c r="S76" s="53">
        <v>-27.724000000000039</v>
      </c>
      <c r="T76" s="53">
        <v>-28.966999999999999</v>
      </c>
      <c r="U76" s="53">
        <v>-27.604000000000003</v>
      </c>
      <c r="V76" s="53">
        <v>-30.914000000000001</v>
      </c>
      <c r="W76" s="53">
        <v>-25.354999999999933</v>
      </c>
      <c r="X76" s="53">
        <v>-42.488999999999997</v>
      </c>
      <c r="Y76" s="53">
        <v>-49.731000000000002</v>
      </c>
      <c r="Z76" s="53">
        <v>-42.192999999999998</v>
      </c>
      <c r="AA76" s="53">
        <v>-43.438999999999965</v>
      </c>
      <c r="AB76" s="53">
        <v>-51.000999999999998</v>
      </c>
      <c r="AC76" s="53">
        <v>-82.409000000000006</v>
      </c>
      <c r="AD76" s="53">
        <v>-80.381</v>
      </c>
      <c r="AE76" s="53">
        <v>-78.117000000000004</v>
      </c>
      <c r="AF76" s="53">
        <v>-77.463079789999995</v>
      </c>
      <c r="AG76" s="53">
        <v>-72.702315949999999</v>
      </c>
      <c r="AH76" s="53">
        <v>-72.640833700000002</v>
      </c>
      <c r="AI76" s="53">
        <v>-93.875703869999995</v>
      </c>
      <c r="AJ76" s="54">
        <v>-68.325002690000005</v>
      </c>
      <c r="AK76" s="54">
        <v>-77.060999999999993</v>
      </c>
      <c r="AL76" s="54">
        <v>-84.286010430000005</v>
      </c>
      <c r="AM76" s="54">
        <v>-82.705974070000011</v>
      </c>
      <c r="AN76" s="54">
        <v>-49.81670745000001</v>
      </c>
      <c r="AO76" s="54">
        <v>-48.193875990000002</v>
      </c>
      <c r="AP76" s="54">
        <v>-50.574851540000004</v>
      </c>
      <c r="AQ76" s="54">
        <v>-34.738706849999971</v>
      </c>
      <c r="AR76" s="54">
        <v>-38.363</v>
      </c>
      <c r="AS76" s="63"/>
      <c r="AT76" s="53">
        <f t="shared" si="44"/>
        <v>-92.695226389999988</v>
      </c>
      <c r="AU76" s="53">
        <f t="shared" si="45"/>
        <v>-96.225429110000007</v>
      </c>
      <c r="AV76" s="53">
        <f t="shared" si="46"/>
        <v>-95.926000000000045</v>
      </c>
      <c r="AW76" s="53">
        <f t="shared" si="47"/>
        <v>-112.83999999999993</v>
      </c>
      <c r="AX76" s="53">
        <f t="shared" si="48"/>
        <v>-177.85199999999998</v>
      </c>
      <c r="AY76" s="53">
        <f t="shared" si="49"/>
        <v>-291.90800000000002</v>
      </c>
      <c r="AZ76" s="53">
        <f t="shared" si="50"/>
        <v>-316.68193330999998</v>
      </c>
      <c r="BA76" s="53">
        <f t="shared" si="43"/>
        <v>-312.37798719</v>
      </c>
      <c r="BB76" s="53">
        <f t="shared" si="42"/>
        <v>-183.32414182999997</v>
      </c>
    </row>
    <row r="77" spans="2:54" outlineLevel="1">
      <c r="B77" s="61" t="s">
        <v>104</v>
      </c>
      <c r="C77" s="1" t="s">
        <v>71</v>
      </c>
      <c r="D77" s="53"/>
      <c r="E77" s="53"/>
      <c r="F77" s="53"/>
      <c r="G77" s="53"/>
      <c r="H77" s="53">
        <v>-1.105</v>
      </c>
      <c r="I77" s="53">
        <v>-1.468</v>
      </c>
      <c r="J77" s="53">
        <v>-1.393</v>
      </c>
      <c r="K77" s="53">
        <v>-1.46</v>
      </c>
      <c r="L77" s="53">
        <v>-1.518</v>
      </c>
      <c r="M77" s="53">
        <v>-1.7689999999999999</v>
      </c>
      <c r="N77" s="53">
        <f>-2.13+0.001</f>
        <v>-2.129</v>
      </c>
      <c r="O77" s="53">
        <f>-1.56+0.044</f>
        <v>-1.516</v>
      </c>
      <c r="P77" s="53">
        <v>-9.0220000000000002</v>
      </c>
      <c r="Q77" s="53">
        <v>-8.1920000000000002</v>
      </c>
      <c r="R77" s="53">
        <v>-8.5459999999999994</v>
      </c>
      <c r="S77" s="53">
        <v>-81.09</v>
      </c>
      <c r="T77" s="53">
        <v>-122.76300000000001</v>
      </c>
      <c r="U77" s="53">
        <v>-112.51600000000001</v>
      </c>
      <c r="V77" s="53">
        <v>-143.31899999999999</v>
      </c>
      <c r="W77" s="53">
        <v>-211.21199999999999</v>
      </c>
      <c r="X77" s="53">
        <v>-172.96600000000001</v>
      </c>
      <c r="Y77" s="53">
        <v>-168.95099999999999</v>
      </c>
      <c r="Z77" s="53">
        <v>-184.74299999999999</v>
      </c>
      <c r="AA77" s="53">
        <v>-180.803</v>
      </c>
      <c r="AB77" s="53">
        <v>-222.87899999999999</v>
      </c>
      <c r="AC77" s="53">
        <v>-449.93299999999999</v>
      </c>
      <c r="AD77" s="53">
        <v>-547.17700000000002</v>
      </c>
      <c r="AE77" s="53">
        <v>-475.017</v>
      </c>
      <c r="AF77" s="53">
        <v>-392.46137541999997</v>
      </c>
      <c r="AG77" s="53">
        <v>-430.25923443000022</v>
      </c>
      <c r="AH77" s="53">
        <v>-434.84004996999971</v>
      </c>
      <c r="AI77" s="53">
        <v>-442.4880443700003</v>
      </c>
      <c r="AJ77" s="54">
        <v>-431.60694629</v>
      </c>
      <c r="AK77" s="54">
        <v>-442.79796534000013</v>
      </c>
      <c r="AL77" s="54">
        <v>-438.98121062000001</v>
      </c>
      <c r="AM77" s="54">
        <v>-447.02854084000018</v>
      </c>
      <c r="AN77" s="54">
        <v>-418.16919250000007</v>
      </c>
      <c r="AO77" s="54">
        <v>-405.44977587999995</v>
      </c>
      <c r="AP77" s="54">
        <v>-391.68032893000009</v>
      </c>
      <c r="AQ77" s="54">
        <v>-296.35781960999998</v>
      </c>
      <c r="AR77" s="54">
        <v>-284.56799999999998</v>
      </c>
      <c r="AS77" s="63"/>
      <c r="AT77" s="53">
        <f t="shared" si="44"/>
        <v>-5.4260000000000002</v>
      </c>
      <c r="AU77" s="53">
        <f t="shared" si="45"/>
        <v>-6.9320000000000004</v>
      </c>
      <c r="AV77" s="53">
        <f t="shared" si="46"/>
        <v>-106.85</v>
      </c>
      <c r="AW77" s="53">
        <f t="shared" si="47"/>
        <v>-589.80999999999995</v>
      </c>
      <c r="AX77" s="53">
        <f t="shared" si="48"/>
        <v>-707.46300000000008</v>
      </c>
      <c r="AY77" s="53">
        <f t="shared" si="49"/>
        <v>-1695.0060000000001</v>
      </c>
      <c r="AZ77" s="53">
        <f t="shared" si="50"/>
        <v>-1700.0487041900003</v>
      </c>
      <c r="BA77" s="53">
        <f t="shared" si="43"/>
        <v>-1760.4146630900004</v>
      </c>
      <c r="BB77" s="53">
        <f t="shared" si="42"/>
        <v>-1511.6571169200001</v>
      </c>
    </row>
    <row r="78" spans="2:54" outlineLevel="1">
      <c r="B78" s="61" t="s">
        <v>121</v>
      </c>
      <c r="C78" s="1" t="s">
        <v>71</v>
      </c>
      <c r="D78" s="53"/>
      <c r="E78" s="53"/>
      <c r="F78" s="53"/>
      <c r="G78" s="53"/>
      <c r="H78" s="53">
        <v>-6.1309577899999983</v>
      </c>
      <c r="I78" s="53">
        <v>-0.85000052999999998</v>
      </c>
      <c r="J78" s="53">
        <v>-15.645892380000003</v>
      </c>
      <c r="K78" s="53">
        <v>-12.971990469999998</v>
      </c>
      <c r="L78" s="53">
        <v>-8.0953280599999999</v>
      </c>
      <c r="M78" s="53">
        <v>-19.515310159999999</v>
      </c>
      <c r="N78" s="53">
        <v>-7.4965000000000002</v>
      </c>
      <c r="O78" s="53">
        <v>-2.9656850000000001</v>
      </c>
      <c r="P78" s="53">
        <v>-11.31</v>
      </c>
      <c r="Q78" s="53">
        <v>1.339</v>
      </c>
      <c r="R78" s="53">
        <v>-1.2350000000000001</v>
      </c>
      <c r="S78" s="53">
        <v>5.6380000000000008</v>
      </c>
      <c r="T78" s="53">
        <v>-3.327</v>
      </c>
      <c r="U78" s="53">
        <v>-3.4279999999999999</v>
      </c>
      <c r="V78" s="53">
        <v>-3.1429999999999998</v>
      </c>
      <c r="W78" s="53">
        <v>-3.0410000000000004</v>
      </c>
      <c r="X78" s="53">
        <v>-4.274</v>
      </c>
      <c r="Y78" s="53">
        <v>-5.76</v>
      </c>
      <c r="Z78" s="53">
        <v>-5.1349999999999998</v>
      </c>
      <c r="AA78" s="53">
        <v>-4.234</v>
      </c>
      <c r="AB78" s="53">
        <v>-27.968</v>
      </c>
      <c r="AC78" s="53">
        <v>-27.283999999999999</v>
      </c>
      <c r="AD78" s="53">
        <v>-36.161000000000001</v>
      </c>
      <c r="AE78" s="53">
        <v>16.88</v>
      </c>
      <c r="AF78" s="53">
        <v>-30.825000000000003</v>
      </c>
      <c r="AG78" s="53">
        <v>-27.43124520000001</v>
      </c>
      <c r="AH78" s="53">
        <v>-28.277211419999976</v>
      </c>
      <c r="AI78" s="53">
        <v>-30.626111980000005</v>
      </c>
      <c r="AJ78" s="54">
        <v>-24.291351000000002</v>
      </c>
      <c r="AK78" s="54">
        <v>-24.545823019999997</v>
      </c>
      <c r="AL78" s="54">
        <v>-29.853292800000009</v>
      </c>
      <c r="AM78" s="54">
        <v>-36.583689989999975</v>
      </c>
      <c r="AN78" s="54">
        <v>-21.779917990000001</v>
      </c>
      <c r="AO78" s="54">
        <v>-52.427859980000008</v>
      </c>
      <c r="AP78" s="54">
        <v>-90.265345290000027</v>
      </c>
      <c r="AQ78" s="54">
        <v>-79.011513539999996</v>
      </c>
      <c r="AR78" s="54">
        <v>-2.9263598599999998</v>
      </c>
      <c r="AS78" s="63"/>
      <c r="AT78" s="53">
        <f t="shared" si="44"/>
        <v>-35.59884117</v>
      </c>
      <c r="AU78" s="53">
        <f t="shared" si="45"/>
        <v>-38.072823219999997</v>
      </c>
      <c r="AV78" s="53">
        <f t="shared" si="46"/>
        <v>-5.5679999999999987</v>
      </c>
      <c r="AW78" s="53">
        <f t="shared" si="47"/>
        <v>-12.939</v>
      </c>
      <c r="AX78" s="53">
        <f t="shared" si="48"/>
        <v>-19.402999999999999</v>
      </c>
      <c r="AY78" s="53">
        <f t="shared" si="49"/>
        <v>-74.533000000000001</v>
      </c>
      <c r="AZ78" s="53">
        <f t="shared" si="50"/>
        <v>-117.15956859999999</v>
      </c>
      <c r="BA78" s="53">
        <f t="shared" si="43"/>
        <v>-115.27415680999999</v>
      </c>
      <c r="BB78" s="53">
        <f t="shared" si="42"/>
        <v>-243.48463680000003</v>
      </c>
    </row>
    <row r="79" spans="2:54" outlineLevel="1">
      <c r="B79" s="61" t="s">
        <v>122</v>
      </c>
      <c r="C79" s="1" t="s">
        <v>71</v>
      </c>
      <c r="D79" s="53"/>
      <c r="E79" s="53"/>
      <c r="F79" s="53"/>
      <c r="G79" s="53"/>
      <c r="H79" s="53">
        <v>-7.0760560799999652</v>
      </c>
      <c r="I79" s="53">
        <v>-11.829958819454024</v>
      </c>
      <c r="J79" s="53">
        <v>-10.055094379999989</v>
      </c>
      <c r="K79" s="53">
        <v>-2.6668907205460197</v>
      </c>
      <c r="L79" s="53">
        <v>-8.7891306600000014</v>
      </c>
      <c r="M79" s="53">
        <v>-7.7941858799999988</v>
      </c>
      <c r="N79" s="53">
        <v>-23.481390169999997</v>
      </c>
      <c r="O79" s="53">
        <v>-22.375776579999997</v>
      </c>
      <c r="P79" s="53">
        <v>-19.077999999999999</v>
      </c>
      <c r="Q79" s="53">
        <v>-26.591999999999999</v>
      </c>
      <c r="R79" s="53">
        <v>-20.978000000000002</v>
      </c>
      <c r="S79" s="53">
        <v>-9.7889999999999944</v>
      </c>
      <c r="T79" s="53">
        <v>-21.295999999999999</v>
      </c>
      <c r="U79" s="53">
        <v>-20.306999999999999</v>
      </c>
      <c r="V79" s="53">
        <v>-21.123000000000001</v>
      </c>
      <c r="W79" s="53">
        <v>-31.016999999999999</v>
      </c>
      <c r="X79" s="53">
        <v>-19.417000000000002</v>
      </c>
      <c r="Y79" s="53">
        <v>12.272</v>
      </c>
      <c r="Z79" s="53">
        <v>-37.823</v>
      </c>
      <c r="AA79" s="53">
        <v>-49.726000000000006</v>
      </c>
      <c r="AB79" s="53">
        <v>-46.209000000000003</v>
      </c>
      <c r="AC79" s="53">
        <v>-31.26</v>
      </c>
      <c r="AD79" s="53">
        <v>-52.656999999999996</v>
      </c>
      <c r="AE79" s="53">
        <v>-80.201999999999998</v>
      </c>
      <c r="AF79" s="53">
        <v>-76.528562638855902</v>
      </c>
      <c r="AG79" s="53">
        <v>-96.112470243930488</v>
      </c>
      <c r="AH79" s="53">
        <v>-109.47407703401609</v>
      </c>
      <c r="AI79" s="53">
        <v>-136.27250340319748</v>
      </c>
      <c r="AJ79" s="54">
        <v>-93.424628080000005</v>
      </c>
      <c r="AK79" s="54">
        <v>-130.22509329000002</v>
      </c>
      <c r="AL79" s="54">
        <v>-276.64545833000017</v>
      </c>
      <c r="AM79" s="54">
        <v>-610.21826337999994</v>
      </c>
      <c r="AN79" s="210">
        <v>-142.76672440999999</v>
      </c>
      <c r="AO79" s="210">
        <v>-135.45253493999999</v>
      </c>
      <c r="AP79" s="210">
        <v>-143.33289991000001</v>
      </c>
      <c r="AQ79" s="210">
        <v>-167.53603412000001</v>
      </c>
      <c r="AR79" s="54">
        <v>-310.63389279</v>
      </c>
      <c r="AS79" s="63"/>
      <c r="AT79" s="53">
        <f t="shared" si="44"/>
        <v>-31.628</v>
      </c>
      <c r="AU79" s="53">
        <f t="shared" si="45"/>
        <v>-62.440483289999989</v>
      </c>
      <c r="AV79" s="53">
        <f t="shared" si="46"/>
        <v>-76.436999999999983</v>
      </c>
      <c r="AW79" s="53">
        <f t="shared" si="47"/>
        <v>-93.742999999999995</v>
      </c>
      <c r="AX79" s="53">
        <f t="shared" si="48"/>
        <v>-94.694000000000017</v>
      </c>
      <c r="AY79" s="53">
        <f t="shared" si="49"/>
        <v>-210.328</v>
      </c>
      <c r="AZ79" s="53">
        <f t="shared" si="50"/>
        <v>-418.3876133199999</v>
      </c>
      <c r="BA79" s="53">
        <f t="shared" si="43"/>
        <v>-1110.5134430800001</v>
      </c>
      <c r="BB79" s="53">
        <f t="shared" si="42"/>
        <v>-589.08819338000012</v>
      </c>
    </row>
    <row r="80" spans="2:54" outlineLevel="1">
      <c r="B80" s="61" t="s">
        <v>123</v>
      </c>
      <c r="C80" s="1" t="s">
        <v>71</v>
      </c>
      <c r="D80" s="53"/>
      <c r="E80" s="53"/>
      <c r="F80" s="53"/>
      <c r="G80" s="53"/>
      <c r="H80" s="53">
        <v>-3.2463214300000001</v>
      </c>
      <c r="I80" s="53">
        <v>-7.4005487099999989</v>
      </c>
      <c r="J80" s="53">
        <v>-3.0049565500000011</v>
      </c>
      <c r="K80" s="53">
        <v>-8.0926682499999991</v>
      </c>
      <c r="L80" s="53">
        <v>-1.9745449299999998</v>
      </c>
      <c r="M80" s="53">
        <v>-0.21576861000000047</v>
      </c>
      <c r="N80" s="53">
        <v>-3.6757759999999999</v>
      </c>
      <c r="O80" s="53">
        <v>-3.3800144600000008</v>
      </c>
      <c r="P80" s="53">
        <v>-2.9020000000000001</v>
      </c>
      <c r="Q80" s="53">
        <v>-1.589</v>
      </c>
      <c r="R80" s="53">
        <v>-3.51</v>
      </c>
      <c r="S80" s="53">
        <v>-2.5860000000000003</v>
      </c>
      <c r="T80" s="53">
        <v>-12.122999999999999</v>
      </c>
      <c r="U80" s="53">
        <v>-3.6779999999999999</v>
      </c>
      <c r="V80" s="53">
        <v>-7.5819999999999999</v>
      </c>
      <c r="W80" s="53">
        <v>-8.647000000000002</v>
      </c>
      <c r="X80" s="53">
        <v>-2.5550000000000002</v>
      </c>
      <c r="Y80" s="53">
        <v>-9.8870000000000005</v>
      </c>
      <c r="Z80" s="53">
        <v>-2.86</v>
      </c>
      <c r="AA80" s="53">
        <v>1.6259999999999994</v>
      </c>
      <c r="AB80" s="53">
        <v>-7.7690000000000001</v>
      </c>
      <c r="AC80" s="53">
        <v>-7.7519999999999998</v>
      </c>
      <c r="AD80" s="53">
        <v>-12.018000000000001</v>
      </c>
      <c r="AE80" s="53">
        <v>-16.099</v>
      </c>
      <c r="AF80" s="53">
        <v>-15.440548439999997</v>
      </c>
      <c r="AG80" s="53">
        <v>-18.567</v>
      </c>
      <c r="AH80" s="53">
        <v>-9.6039999999999992</v>
      </c>
      <c r="AI80" s="53">
        <v>-40.952999999999996</v>
      </c>
      <c r="AJ80" s="54">
        <v>-10.484568100000001</v>
      </c>
      <c r="AK80" s="54">
        <v>2.2968867599999956</v>
      </c>
      <c r="AL80" s="54">
        <v>-3.2261377200000028</v>
      </c>
      <c r="AM80" s="54">
        <v>-0.39780075000000492</v>
      </c>
      <c r="AN80" s="54">
        <v>-2.6287135699999995</v>
      </c>
      <c r="AO80" s="54">
        <v>-5.2014560200000011</v>
      </c>
      <c r="AP80" s="54">
        <v>-2.4318997399999991</v>
      </c>
      <c r="AQ80" s="54">
        <v>-7.2218845499999986</v>
      </c>
      <c r="AR80" s="54">
        <v>-7.1139999999999999</v>
      </c>
      <c r="AS80" s="63"/>
      <c r="AT80" s="53">
        <f t="shared" si="44"/>
        <v>-21.744494939999999</v>
      </c>
      <c r="AU80" s="53">
        <f t="shared" si="45"/>
        <v>-9.2461040000000008</v>
      </c>
      <c r="AV80" s="53">
        <f t="shared" si="46"/>
        <v>-10.587</v>
      </c>
      <c r="AW80" s="53">
        <f t="shared" si="47"/>
        <v>-32.03</v>
      </c>
      <c r="AX80" s="53">
        <f t="shared" si="48"/>
        <v>-13.676</v>
      </c>
      <c r="AY80" s="53">
        <f t="shared" si="49"/>
        <v>-43.638000000000005</v>
      </c>
      <c r="AZ80" s="53">
        <f t="shared" si="50"/>
        <v>-84.564548439999982</v>
      </c>
      <c r="BA80" s="53">
        <f t="shared" si="43"/>
        <v>-11.811619810000012</v>
      </c>
      <c r="BB80" s="53">
        <f t="shared" si="42"/>
        <v>-17.483953879999998</v>
      </c>
    </row>
    <row r="81" spans="2:55" ht="13.5" outlineLevel="1">
      <c r="B81" s="60" t="s">
        <v>124</v>
      </c>
      <c r="C81" s="10" t="s">
        <v>71</v>
      </c>
      <c r="D81" s="57"/>
      <c r="E81" s="57"/>
      <c r="F81" s="57"/>
      <c r="G81" s="57"/>
      <c r="H81" s="57">
        <v>1.8256981500000005</v>
      </c>
      <c r="I81" s="57">
        <v>-0.39545753000000006</v>
      </c>
      <c r="J81" s="57">
        <v>0.33463531999999963</v>
      </c>
      <c r="K81" s="57">
        <v>0.42867027000000024</v>
      </c>
      <c r="L81" s="57">
        <v>0.32869062000000004</v>
      </c>
      <c r="M81" s="57">
        <v>9.4640420200000008</v>
      </c>
      <c r="N81" s="57">
        <v>-0.42411232999999499</v>
      </c>
      <c r="O81" s="57">
        <v>-9.4979239999999994</v>
      </c>
      <c r="P81" s="57">
        <v>-0.55000000000000004</v>
      </c>
      <c r="Q81" s="57">
        <v>-1.956</v>
      </c>
      <c r="R81" s="57">
        <v>-1.9770000000000001</v>
      </c>
      <c r="S81" s="57">
        <v>-0.192</v>
      </c>
      <c r="T81" s="57">
        <v>0.55400000000000005</v>
      </c>
      <c r="U81" s="57">
        <v>-2.4660000000000002</v>
      </c>
      <c r="V81" s="57">
        <v>2.9689999999999999</v>
      </c>
      <c r="W81" s="57">
        <v>4.3360000000000003</v>
      </c>
      <c r="X81" s="57">
        <v>3.43</v>
      </c>
      <c r="Y81" s="57">
        <v>11.999000000000001</v>
      </c>
      <c r="Z81" s="57">
        <v>18.798999999999999</v>
      </c>
      <c r="AA81" s="57">
        <v>-3.1230000000000002</v>
      </c>
      <c r="AB81" s="57">
        <v>14.574</v>
      </c>
      <c r="AC81" s="57">
        <v>13.753</v>
      </c>
      <c r="AD81" s="57">
        <v>428.95100000000002</v>
      </c>
      <c r="AE81" s="57">
        <v>94.630999999999972</v>
      </c>
      <c r="AF81" s="57">
        <v>8.6226508348969393</v>
      </c>
      <c r="AG81" s="57">
        <v>36.468749999999858</v>
      </c>
      <c r="AH81" s="57">
        <v>-21.924250000000036</v>
      </c>
      <c r="AI81" s="57">
        <v>50.295749999999998</v>
      </c>
      <c r="AJ81" s="57">
        <v>6.2690000000000001</v>
      </c>
      <c r="AK81" s="57">
        <v>26.217381840002101</v>
      </c>
      <c r="AL81" s="57">
        <v>38.827688982450624</v>
      </c>
      <c r="AM81" s="57">
        <v>-35.158904174490424</v>
      </c>
      <c r="AN81" s="57">
        <v>27.189132661055542</v>
      </c>
      <c r="AO81" s="57">
        <v>66.464305688944577</v>
      </c>
      <c r="AP81" s="57">
        <v>43.293577249801693</v>
      </c>
      <c r="AQ81" s="57">
        <v>85.177174162661601</v>
      </c>
      <c r="AR81" s="57">
        <v>25.949000000000002</v>
      </c>
      <c r="AS81" s="63"/>
      <c r="AT81" s="57">
        <f t="shared" si="44"/>
        <v>2.1935462100000001</v>
      </c>
      <c r="AU81" s="57">
        <f t="shared" si="45"/>
        <v>-0.12930368999999331</v>
      </c>
      <c r="AV81" s="57">
        <f t="shared" si="46"/>
        <v>-4.6750000000000007</v>
      </c>
      <c r="AW81" s="57">
        <f t="shared" si="47"/>
        <v>5.3929999999999998</v>
      </c>
      <c r="AX81" s="57">
        <f t="shared" si="48"/>
        <v>31.105</v>
      </c>
      <c r="AY81" s="57">
        <f t="shared" si="49"/>
        <v>551.90899999999999</v>
      </c>
      <c r="AZ81" s="57">
        <f>SUM(AF81:AI81)</f>
        <v>73.462900834896757</v>
      </c>
      <c r="BA81" s="57">
        <f t="shared" si="43"/>
        <v>36.155166647962297</v>
      </c>
      <c r="BB81" s="57">
        <f t="shared" si="42"/>
        <v>222.1241897624634</v>
      </c>
    </row>
    <row r="82" spans="2:55" ht="13.5" outlineLevel="1">
      <c r="B82" s="56" t="s">
        <v>125</v>
      </c>
      <c r="C82" s="10" t="s">
        <v>71</v>
      </c>
      <c r="D82" s="57"/>
      <c r="E82" s="57"/>
      <c r="F82" s="57"/>
      <c r="G82" s="57"/>
      <c r="H82" s="57">
        <f>SUM(H66,H72,H81)</f>
        <v>-184.86444274688159</v>
      </c>
      <c r="I82" s="57">
        <f>SUM(I66,I72,I81)</f>
        <v>-185.78368692506521</v>
      </c>
      <c r="J82" s="57">
        <f>SUM(J66,J72,J81)</f>
        <v>-218.31241552750797</v>
      </c>
      <c r="K82" s="57">
        <f>SUM(K66,K72,K81)</f>
        <v>-213.63110829054523</v>
      </c>
      <c r="L82" s="57">
        <f>SUM(L66,L72,L81)</f>
        <v>-212.46102849830984</v>
      </c>
      <c r="M82" s="57">
        <f>SUM(M66,M72,M81)</f>
        <v>-234.14915089763181</v>
      </c>
      <c r="N82" s="57">
        <f>SUM(N66,N72,N81)</f>
        <v>-256.1519507424066</v>
      </c>
      <c r="O82" s="57">
        <f>SUM(O66,O72,O81)</f>
        <v>-247.95993261297394</v>
      </c>
      <c r="P82" s="57">
        <f>SUM(P66,P72,P81)</f>
        <v>-258.56099999999998</v>
      </c>
      <c r="Q82" s="57">
        <f>SUM(Q66,Q72,Q81)</f>
        <v>-260.19800000000004</v>
      </c>
      <c r="R82" s="57">
        <f>SUM(R66,R72,R81)</f>
        <v>-265.48099999999999</v>
      </c>
      <c r="S82" s="57">
        <f>SUM(S66,S72,S81)</f>
        <v>-416.24200000000013</v>
      </c>
      <c r="T82" s="57">
        <f>SUM(T66,T72,T81)</f>
        <v>-487.39800000000002</v>
      </c>
      <c r="U82" s="57">
        <f>SUM(U66,U72,U81)</f>
        <v>-492.58500000000004</v>
      </c>
      <c r="V82" s="57">
        <f>SUM(V66,V72,V81)</f>
        <v>-510.97899999999987</v>
      </c>
      <c r="W82" s="57">
        <f>SUM(W66,W72,W81)</f>
        <v>-587.8839999999999</v>
      </c>
      <c r="X82" s="57">
        <f>SUM(X66,X72,X81)</f>
        <v>-550.40800000000013</v>
      </c>
      <c r="Y82" s="57">
        <f>SUM(Y66,Y72,Y81)</f>
        <v>-619.61899999999991</v>
      </c>
      <c r="Z82" s="57">
        <f>SUM(Z66,Z72,Z81)</f>
        <v>-654.54200000000003</v>
      </c>
      <c r="AA82" s="57">
        <f>SUM(AA66,AA72,AA81)</f>
        <v>-698.08699999999999</v>
      </c>
      <c r="AB82" s="57">
        <f>SUM(AB66,AB72,AB81)</f>
        <v>-1153.4329999999998</v>
      </c>
      <c r="AC82" s="57">
        <f>SUM(AC66,AC72,AC81)</f>
        <v>-1633.5250000000003</v>
      </c>
      <c r="AD82" s="57">
        <f>SUM(AD66,AD72,AD81)</f>
        <v>-1418.204</v>
      </c>
      <c r="AE82" s="57">
        <f>SUM(AE66,AE72,AE81)</f>
        <v>-1605.7999999999997</v>
      </c>
      <c r="AF82" s="57">
        <f>SUM(AF66,AF72,AF81)</f>
        <v>-1573.9484027939588</v>
      </c>
      <c r="AG82" s="57">
        <f>SUM(AG66,AG72,AG81)</f>
        <v>-1525.819078823931</v>
      </c>
      <c r="AH82" s="57">
        <f>SUM(AH66,AH72,AH81)</f>
        <v>-1693.3303125640159</v>
      </c>
      <c r="AI82" s="57">
        <f>SUM(AI66,AI72,AI81)</f>
        <v>-1617.9732411231978</v>
      </c>
      <c r="AJ82" s="57">
        <f>SUM(AJ66,AJ72,AJ81)</f>
        <v>-1666.87500712</v>
      </c>
      <c r="AK82" s="57">
        <f>SUM(AK66,AK72,AK81)</f>
        <v>-1607.5479965399977</v>
      </c>
      <c r="AL82" s="57">
        <f>SUM(AL66,AL72,AL81)</f>
        <v>-1804.0013378775498</v>
      </c>
      <c r="AM82" s="57">
        <f>SUM(AM66,AM72,AM81)</f>
        <v>-2279.4557621844915</v>
      </c>
      <c r="AN82" s="57">
        <f>SUM(AN66,AN72,AN81)</f>
        <v>-1446.7225857189449</v>
      </c>
      <c r="AO82" s="57">
        <f>SUM(AO66,AO72,AO81)</f>
        <v>-1417.5858310510555</v>
      </c>
      <c r="AP82" s="57">
        <f>SUM(AP66,AP72,AP81)</f>
        <v>-1478.1197143601983</v>
      </c>
      <c r="AQ82" s="57">
        <f>SUM(AQ66,AQ72,AQ81)</f>
        <v>-1398.2406642773381</v>
      </c>
      <c r="AR82" s="57">
        <f>SUM(AR66,AR72,AR81)</f>
        <v>-1545.33725265</v>
      </c>
      <c r="AS82" s="63"/>
      <c r="AT82" s="57">
        <f>SUM(AT66,AT72,AT81)</f>
        <v>-802.59165349</v>
      </c>
      <c r="AU82" s="57">
        <f>SUM(AU66,AU72,AU81)</f>
        <v>-950.72206275132226</v>
      </c>
      <c r="AV82" s="57">
        <f>SUM(AV66,AV72,AV81)</f>
        <v>-1200.4820000000002</v>
      </c>
      <c r="AW82" s="57">
        <f>SUM(AW66,AW72,AW81)</f>
        <v>-2078.8459999999995</v>
      </c>
      <c r="AX82" s="57">
        <f>SUM(AX66,AX72,AX81)</f>
        <v>-2522.6559999999999</v>
      </c>
      <c r="AY82" s="57">
        <f>SUM(AY66,AY72,AY81)</f>
        <v>-5810.9620000000014</v>
      </c>
      <c r="AZ82" s="57">
        <f>SUM(AZ66,AZ72,AZ81)</f>
        <v>-6411.0710353051036</v>
      </c>
      <c r="BA82" s="57">
        <f t="shared" si="43"/>
        <v>-7357.8801037220392</v>
      </c>
      <c r="BB82" s="57">
        <f t="shared" si="42"/>
        <v>-5740.6687954075369</v>
      </c>
    </row>
    <row r="83" spans="2:55" ht="13.5" outlineLevel="1">
      <c r="B83" s="58" t="s">
        <v>126</v>
      </c>
      <c r="C83" s="10" t="s">
        <v>71</v>
      </c>
      <c r="D83" s="57"/>
      <c r="E83" s="57"/>
      <c r="F83" s="57"/>
      <c r="G83" s="57"/>
      <c r="H83" s="57">
        <f>SUM(H64,H82)</f>
        <v>191.44864819311817</v>
      </c>
      <c r="I83" s="57">
        <f>SUM(I64,I82)</f>
        <v>191.96304979493496</v>
      </c>
      <c r="J83" s="57">
        <f>SUM(J64,J82)</f>
        <v>179.732889452492</v>
      </c>
      <c r="K83" s="57">
        <f>SUM(K64,K82)</f>
        <v>220.30711204945493</v>
      </c>
      <c r="L83" s="57">
        <f>SUM(L64,L82)</f>
        <v>273.48798310169025</v>
      </c>
      <c r="M83" s="57">
        <f>SUM(M64,M82)</f>
        <v>198.73358504236816</v>
      </c>
      <c r="N83" s="57">
        <f>SUM(N64,N82)</f>
        <v>179.09353360759337</v>
      </c>
      <c r="O83" s="57">
        <f>SUM(O64,O82)</f>
        <v>219.19872775702629</v>
      </c>
      <c r="P83" s="57">
        <f>SUM(P64,P82)</f>
        <v>272.02800000000008</v>
      </c>
      <c r="Q83" s="57">
        <f>SUM(Q64,Q82)</f>
        <v>264.69899999999978</v>
      </c>
      <c r="R83" s="57">
        <f>SUM(R64,R82)</f>
        <v>231.71100000000013</v>
      </c>
      <c r="S83" s="57">
        <f>SUM(S64,S82)</f>
        <v>265.0380000000003</v>
      </c>
      <c r="T83" s="57">
        <f>SUM(T64,T82)</f>
        <v>311.79499999999928</v>
      </c>
      <c r="U83" s="57">
        <f>SUM(U64,U82)</f>
        <v>451.15100000000029</v>
      </c>
      <c r="V83" s="57">
        <f>SUM(V64,V82)</f>
        <v>330.95500000000078</v>
      </c>
      <c r="W83" s="57">
        <f>SUM(W64,W82)</f>
        <v>173.23599999999863</v>
      </c>
      <c r="X83" s="57">
        <f>SUM(X64,X82)</f>
        <v>250.6419999999996</v>
      </c>
      <c r="Y83" s="57">
        <f>SUM(Y64,Y82)</f>
        <v>84.035999999999831</v>
      </c>
      <c r="Z83" s="57">
        <f>SUM(Z64,Z82)</f>
        <v>53.168999999999755</v>
      </c>
      <c r="AA83" s="57">
        <f>SUM(AA64,AA82)</f>
        <v>155.42300000000023</v>
      </c>
      <c r="AB83" s="57">
        <f>SUM(AB64,AB82)</f>
        <v>-32.694999999999936</v>
      </c>
      <c r="AC83" s="57">
        <f>SUM(AC64,AC82)</f>
        <v>-131.72400000000084</v>
      </c>
      <c r="AD83" s="57">
        <f>SUM(AD64,AD82)</f>
        <v>109.15000000000123</v>
      </c>
      <c r="AE83" s="57">
        <f>SUM(AE64,AE82)</f>
        <v>-100.59670000000051</v>
      </c>
      <c r="AF83" s="57">
        <f>SUM(AF64,AF82)</f>
        <v>105.56248360604241</v>
      </c>
      <c r="AG83" s="57">
        <f>SUM(AG64,AG82)</f>
        <v>84.70639170411755</v>
      </c>
      <c r="AH83" s="57">
        <f>SUM(AH64,AH82)</f>
        <v>72.41228159876664</v>
      </c>
      <c r="AI83" s="57">
        <f>SUM(AI64,AI82)</f>
        <v>377.66090144252507</v>
      </c>
      <c r="AJ83" s="57">
        <f>SUM(AJ64,AJ82)</f>
        <v>407.6151090099977</v>
      </c>
      <c r="AK83" s="57">
        <f>SUM(AK64,AK82)</f>
        <v>380.84092323999948</v>
      </c>
      <c r="AL83" s="57">
        <f>SUM(AL64,AL82)</f>
        <v>169.92996455245293</v>
      </c>
      <c r="AM83" s="57">
        <f>SUM(AM64,AM82)</f>
        <v>493.36146416552037</v>
      </c>
      <c r="AN83" s="57">
        <f>SUM(AN64,AN82)</f>
        <v>433.17017402105489</v>
      </c>
      <c r="AO83" s="57">
        <f>SUM(AO64,AO82)</f>
        <v>151.09725943894341</v>
      </c>
      <c r="AP83" s="57">
        <f>SUM(AP64,AP82)</f>
        <v>169.11499679980193</v>
      </c>
      <c r="AQ83" s="57">
        <f>SUM(AQ64,AQ82)</f>
        <v>288.5169948926673</v>
      </c>
      <c r="AR83" s="57">
        <f>SUM(AR64,AR82)</f>
        <v>346.17874735000055</v>
      </c>
      <c r="AS83" s="63"/>
      <c r="AT83" s="57">
        <f>SUM(AT64,AT82)</f>
        <v>783.45169949000024</v>
      </c>
      <c r="AU83" s="57">
        <f>SUM(AU64,AU82)</f>
        <v>870.51382950867878</v>
      </c>
      <c r="AV83" s="57">
        <f>SUM(AV64,AV82)</f>
        <v>1033.4760000000003</v>
      </c>
      <c r="AW83" s="57">
        <f>SUM(AW64,AW82)</f>
        <v>1267.1370000000006</v>
      </c>
      <c r="AX83" s="57">
        <f>SUM(AX64,AX82)</f>
        <v>543.27000000000044</v>
      </c>
      <c r="AY83" s="57">
        <f>SUM(AY64,AY82)</f>
        <v>-155.86569999999665</v>
      </c>
      <c r="AZ83" s="62">
        <f>SUM(AZ64,AZ82)</f>
        <v>640.34205835144894</v>
      </c>
      <c r="BA83" s="57">
        <f t="shared" si="43"/>
        <v>1451.7474609679705</v>
      </c>
      <c r="BB83" s="57">
        <f t="shared" si="42"/>
        <v>1041.8994251524675</v>
      </c>
    </row>
    <row r="84" spans="2:55" outlineLevel="1">
      <c r="B84" s="18" t="s">
        <v>127</v>
      </c>
      <c r="C84" s="1" t="s">
        <v>71</v>
      </c>
      <c r="D84" s="53"/>
      <c r="E84" s="53"/>
      <c r="F84" s="53"/>
      <c r="G84" s="53"/>
      <c r="H84" s="53">
        <v>38.594026330000005</v>
      </c>
      <c r="I84" s="53">
        <v>34.866848720000007</v>
      </c>
      <c r="J84" s="53">
        <v>34.889614759999994</v>
      </c>
      <c r="K84" s="53">
        <v>30.961132679999988</v>
      </c>
      <c r="L84" s="53">
        <v>34.115632189999999</v>
      </c>
      <c r="M84" s="53">
        <v>50.500096270000014</v>
      </c>
      <c r="N84" s="53">
        <v>65.07435744</v>
      </c>
      <c r="O84" s="53">
        <v>63.399193260000033</v>
      </c>
      <c r="P84" s="53">
        <v>60.276000000000003</v>
      </c>
      <c r="Q84" s="53">
        <v>65.7</v>
      </c>
      <c r="R84" s="53">
        <v>102.504</v>
      </c>
      <c r="S84" s="53">
        <v>82.099999999999966</v>
      </c>
      <c r="T84" s="53">
        <v>49.554000000000002</v>
      </c>
      <c r="U84" s="53">
        <v>38.802999999999997</v>
      </c>
      <c r="V84" s="53">
        <v>38.106999999999999</v>
      </c>
      <c r="W84" s="53">
        <v>25.759</v>
      </c>
      <c r="X84" s="53">
        <v>33.956000000000003</v>
      </c>
      <c r="Y84" s="53">
        <v>60.610999999999997</v>
      </c>
      <c r="Z84" s="53">
        <v>85.248999999999995</v>
      </c>
      <c r="AA84" s="53">
        <v>131.20599999999999</v>
      </c>
      <c r="AB84" s="53">
        <v>289.33600000000001</v>
      </c>
      <c r="AC84" s="53">
        <v>231.233</v>
      </c>
      <c r="AD84" s="53">
        <v>233.91399999999999</v>
      </c>
      <c r="AE84" s="53">
        <v>173.054</v>
      </c>
      <c r="AF84" s="53">
        <v>206.53682323000004</v>
      </c>
      <c r="AG84" s="53">
        <v>367.36996857000003</v>
      </c>
      <c r="AH84" s="53">
        <v>301.01602343000002</v>
      </c>
      <c r="AI84" s="53">
        <v>285.02387721000002</v>
      </c>
      <c r="AJ84" s="54">
        <v>275.59642198999995</v>
      </c>
      <c r="AK84" s="54">
        <v>291.17214192000006</v>
      </c>
      <c r="AL84" s="54">
        <v>293.62782961999983</v>
      </c>
      <c r="AM84" s="54">
        <f>1711.557-AJ84-AK84-AL84</f>
        <v>851.16060647000018</v>
      </c>
      <c r="AN84" s="54">
        <v>431.56503799000001</v>
      </c>
      <c r="AO84" s="54">
        <v>357.57294054000005</v>
      </c>
      <c r="AP84" s="54">
        <v>491.93915201999999</v>
      </c>
      <c r="AQ84" s="54">
        <v>448.66306238999999</v>
      </c>
      <c r="AR84" s="54">
        <v>406.55799999999999</v>
      </c>
      <c r="AS84" s="63"/>
      <c r="AT84" s="53">
        <f>SUM(H84:K84)</f>
        <v>139.31162248999999</v>
      </c>
      <c r="AU84" s="53">
        <f>SUM(L84:O84)</f>
        <v>213.08927916000005</v>
      </c>
      <c r="AV84" s="53">
        <f>SUM(P84:S84)</f>
        <v>310.58</v>
      </c>
      <c r="AW84" s="53">
        <f>SUM(T84:W84)</f>
        <v>152.22300000000001</v>
      </c>
      <c r="AX84" s="53">
        <f>SUM(X84:AA84)</f>
        <v>311.02199999999999</v>
      </c>
      <c r="AY84" s="53">
        <f>SUM(AB84:AE84)</f>
        <v>927.53699999999992</v>
      </c>
      <c r="AZ84" s="53">
        <f>SUM(AF84:AI84)</f>
        <v>1159.9466924400001</v>
      </c>
      <c r="BA84" s="53">
        <f t="shared" si="43"/>
        <v>1711.557</v>
      </c>
      <c r="BB84" s="53">
        <f t="shared" si="42"/>
        <v>1729.74019294</v>
      </c>
    </row>
    <row r="85" spans="2:55" outlineLevel="1">
      <c r="B85" s="18" t="s">
        <v>128</v>
      </c>
      <c r="C85" s="1" t="s">
        <v>71</v>
      </c>
      <c r="D85" s="53"/>
      <c r="E85" s="53"/>
      <c r="F85" s="53"/>
      <c r="G85" s="53"/>
      <c r="H85" s="53">
        <v>-5.6387781700000001</v>
      </c>
      <c r="I85" s="53">
        <v>-5.0595833000000008</v>
      </c>
      <c r="J85" s="53">
        <v>-9.8900211699999971</v>
      </c>
      <c r="K85" s="53">
        <v>-7.1795086400000061</v>
      </c>
      <c r="L85" s="53">
        <v>-12.345640020000001</v>
      </c>
      <c r="M85" s="53">
        <v>-13.2449881</v>
      </c>
      <c r="N85" s="53">
        <v>-6.0079855900000005</v>
      </c>
      <c r="O85" s="53">
        <v>-9.6700959899999983</v>
      </c>
      <c r="P85" s="53">
        <v>-25.202000000000002</v>
      </c>
      <c r="Q85" s="53">
        <v>-25.079000000000001</v>
      </c>
      <c r="R85" s="53">
        <v>-51.935000000000002</v>
      </c>
      <c r="S85" s="53">
        <v>-112.369</v>
      </c>
      <c r="T85" s="53">
        <v>-106.244</v>
      </c>
      <c r="U85" s="53">
        <v>-66.09</v>
      </c>
      <c r="V85" s="53">
        <v>-58.652000000000001</v>
      </c>
      <c r="W85" s="53">
        <v>-55.716000000000001</v>
      </c>
      <c r="X85" s="53">
        <v>-63.786000000000001</v>
      </c>
      <c r="Y85" s="53">
        <v>-65.171000000000006</v>
      </c>
      <c r="Z85" s="53">
        <v>-79.546999999999997</v>
      </c>
      <c r="AA85" s="53">
        <v>-152.91200000000001</v>
      </c>
      <c r="AB85" s="53">
        <v>-460.803</v>
      </c>
      <c r="AC85" s="53">
        <v>-490.55099999999999</v>
      </c>
      <c r="AD85" s="53">
        <v>-579.33699999999999</v>
      </c>
      <c r="AE85" s="53">
        <v>-688.78799999999978</v>
      </c>
      <c r="AF85" s="53">
        <v>-644.88699644999997</v>
      </c>
      <c r="AG85" s="53">
        <v>-622.62090588000001</v>
      </c>
      <c r="AH85" s="53">
        <v>-680.75826916999893</v>
      </c>
      <c r="AI85" s="53">
        <v>-599.83712429000093</v>
      </c>
      <c r="AJ85" s="54">
        <v>-531.81319064000013</v>
      </c>
      <c r="AK85" s="54">
        <v>-522.59285250000016</v>
      </c>
      <c r="AL85" s="54">
        <v>-555.31841445999999</v>
      </c>
      <c r="AM85" s="54">
        <f>-2489.9-AJ85-AK85-AL85</f>
        <v>-880.17554239999981</v>
      </c>
      <c r="AN85" s="54">
        <v>-743.00341297</v>
      </c>
      <c r="AO85" s="54">
        <v>-774.75469802000021</v>
      </c>
      <c r="AP85" s="54">
        <v>-846.46178735999945</v>
      </c>
      <c r="AQ85" s="54">
        <v>-785.88686325000026</v>
      </c>
      <c r="AR85" s="54">
        <v>-757.072</v>
      </c>
      <c r="AS85" s="63"/>
      <c r="AT85" s="53">
        <f>SUM(H85:K85)</f>
        <v>-27.767891280000004</v>
      </c>
      <c r="AU85" s="53">
        <f>SUM(L85:O85)</f>
        <v>-41.268709700000002</v>
      </c>
      <c r="AV85" s="53">
        <f>SUM(P85:S85)</f>
        <v>-214.58500000000001</v>
      </c>
      <c r="AW85" s="53">
        <f>SUM(T85:W85)</f>
        <v>-286.702</v>
      </c>
      <c r="AX85" s="53">
        <f>SUM(X85:AA85)</f>
        <v>-361.416</v>
      </c>
      <c r="AY85" s="53">
        <f>SUM(AB85:AE85)</f>
        <v>-2219.4789999999998</v>
      </c>
      <c r="AZ85" s="53">
        <f>SUM(AF85:AI85)</f>
        <v>-2548.1032957899997</v>
      </c>
      <c r="BA85" s="53">
        <f t="shared" si="43"/>
        <v>-2489.9</v>
      </c>
      <c r="BB85" s="53">
        <f t="shared" si="42"/>
        <v>-3150.1067616</v>
      </c>
    </row>
    <row r="86" spans="2:55" ht="13.5" outlineLevel="1">
      <c r="B86" s="56" t="s">
        <v>129</v>
      </c>
      <c r="C86" s="10" t="s">
        <v>71</v>
      </c>
      <c r="D86" s="57"/>
      <c r="E86" s="57"/>
      <c r="F86" s="57"/>
      <c r="G86" s="57"/>
      <c r="H86" s="57">
        <f t="shared" ref="H86:M86" si="51">SUM(H84:H85)</f>
        <v>32.955248160000004</v>
      </c>
      <c r="I86" s="57">
        <f t="shared" si="51"/>
        <v>29.807265420000007</v>
      </c>
      <c r="J86" s="57">
        <f t="shared" si="51"/>
        <v>24.999593589999996</v>
      </c>
      <c r="K86" s="57">
        <f t="shared" si="51"/>
        <v>23.781624039999983</v>
      </c>
      <c r="L86" s="57">
        <f t="shared" si="51"/>
        <v>21.769992169999998</v>
      </c>
      <c r="M86" s="57">
        <f t="shared" si="51"/>
        <v>37.255108170000014</v>
      </c>
      <c r="N86" s="57">
        <f t="shared" ref="N86:W86" si="52">SUM(N84:N85)</f>
        <v>59.066371849999996</v>
      </c>
      <c r="O86" s="57">
        <f t="shared" si="52"/>
        <v>53.729097270000032</v>
      </c>
      <c r="P86" s="57">
        <f t="shared" si="52"/>
        <v>35.073999999999998</v>
      </c>
      <c r="Q86" s="57">
        <f t="shared" si="52"/>
        <v>40.621000000000002</v>
      </c>
      <c r="R86" s="57">
        <f t="shared" si="52"/>
        <v>50.569000000000003</v>
      </c>
      <c r="S86" s="57">
        <f t="shared" si="52"/>
        <v>-30.269000000000034</v>
      </c>
      <c r="T86" s="57">
        <f t="shared" si="52"/>
        <v>-56.69</v>
      </c>
      <c r="U86" s="57">
        <f t="shared" si="52"/>
        <v>-27.287000000000006</v>
      </c>
      <c r="V86" s="57">
        <f t="shared" si="52"/>
        <v>-20.545000000000002</v>
      </c>
      <c r="W86" s="57">
        <f t="shared" si="52"/>
        <v>-29.957000000000001</v>
      </c>
      <c r="X86" s="57">
        <f>SUM(X84:X85)</f>
        <v>-29.83</v>
      </c>
      <c r="Y86" s="57">
        <f t="shared" ref="Y86:AD86" si="53">SUM(Y84:Y85)</f>
        <v>-4.5600000000000094</v>
      </c>
      <c r="Z86" s="57">
        <f t="shared" si="53"/>
        <v>5.7019999999999982</v>
      </c>
      <c r="AA86" s="57">
        <f t="shared" si="53"/>
        <v>-21.706000000000017</v>
      </c>
      <c r="AB86" s="57">
        <f t="shared" si="53"/>
        <v>-171.46699999999998</v>
      </c>
      <c r="AC86" s="57">
        <f t="shared" si="53"/>
        <v>-259.31799999999998</v>
      </c>
      <c r="AD86" s="57">
        <f t="shared" si="53"/>
        <v>-345.423</v>
      </c>
      <c r="AE86" s="57">
        <f t="shared" ref="AE86:AQ86" si="54">SUM(AE84:AE85)</f>
        <v>-515.73399999999981</v>
      </c>
      <c r="AF86" s="57">
        <f t="shared" si="54"/>
        <v>-438.35017321999993</v>
      </c>
      <c r="AG86" s="57">
        <f t="shared" si="54"/>
        <v>-255.25093730999998</v>
      </c>
      <c r="AH86" s="57">
        <f t="shared" si="54"/>
        <v>-379.74224573999891</v>
      </c>
      <c r="AI86" s="57">
        <f t="shared" si="54"/>
        <v>-314.81324708000091</v>
      </c>
      <c r="AJ86" s="57">
        <f t="shared" si="54"/>
        <v>-256.21676865000018</v>
      </c>
      <c r="AK86" s="57">
        <f t="shared" si="54"/>
        <v>-231.4207105800001</v>
      </c>
      <c r="AL86" s="57">
        <f t="shared" si="54"/>
        <v>-261.69058484000016</v>
      </c>
      <c r="AM86" s="57">
        <f t="shared" si="54"/>
        <v>-29.014935929999638</v>
      </c>
      <c r="AN86" s="57">
        <f t="shared" si="54"/>
        <v>-311.43837497999999</v>
      </c>
      <c r="AO86" s="57">
        <f t="shared" si="54"/>
        <v>-417.18175748000016</v>
      </c>
      <c r="AP86" s="57">
        <f t="shared" si="54"/>
        <v>-354.52263533999945</v>
      </c>
      <c r="AQ86" s="57">
        <f t="shared" si="54"/>
        <v>-337.22380086000027</v>
      </c>
      <c r="AR86" s="57">
        <f t="shared" ref="AR86" si="55">SUM(AR84:AR85)</f>
        <v>-350.51400000000001</v>
      </c>
      <c r="AS86" s="63"/>
      <c r="AT86" s="57">
        <f t="shared" ref="AT86:AZ86" si="56">SUM(AT84:AT85)</f>
        <v>111.54373120999999</v>
      </c>
      <c r="AU86" s="57">
        <f t="shared" si="56"/>
        <v>171.82056946000006</v>
      </c>
      <c r="AV86" s="57">
        <f t="shared" si="56"/>
        <v>95.994999999999976</v>
      </c>
      <c r="AW86" s="57">
        <f t="shared" si="56"/>
        <v>-134.47899999999998</v>
      </c>
      <c r="AX86" s="57">
        <f t="shared" si="56"/>
        <v>-50.394000000000005</v>
      </c>
      <c r="AY86" s="57">
        <f t="shared" si="56"/>
        <v>-1291.942</v>
      </c>
      <c r="AZ86" s="57">
        <f t="shared" si="56"/>
        <v>-1388.1566033499996</v>
      </c>
      <c r="BA86" s="57">
        <f t="shared" si="43"/>
        <v>-778.34300000000007</v>
      </c>
      <c r="BB86" s="57">
        <f t="shared" si="42"/>
        <v>-1420.3665686599998</v>
      </c>
    </row>
    <row r="87" spans="2:55" ht="13.5" outlineLevel="1">
      <c r="B87" s="56" t="s">
        <v>130</v>
      </c>
      <c r="C87" s="10" t="s">
        <v>71</v>
      </c>
      <c r="D87" s="57"/>
      <c r="E87" s="57"/>
      <c r="F87" s="57"/>
      <c r="G87" s="57"/>
      <c r="H87" s="57">
        <f t="shared" ref="H87:M87" si="57">SUM(H83,H86)</f>
        <v>224.40389635311817</v>
      </c>
      <c r="I87" s="57">
        <f t="shared" si="57"/>
        <v>221.77031521493495</v>
      </c>
      <c r="J87" s="57">
        <f t="shared" si="57"/>
        <v>204.73248304249199</v>
      </c>
      <c r="K87" s="57">
        <f t="shared" si="57"/>
        <v>244.08873608945493</v>
      </c>
      <c r="L87" s="57">
        <f t="shared" si="57"/>
        <v>295.25797527169027</v>
      </c>
      <c r="M87" s="57">
        <f t="shared" si="57"/>
        <v>235.98869321236816</v>
      </c>
      <c r="N87" s="57">
        <f t="shared" ref="N87:W87" si="58">SUM(N83,N86)</f>
        <v>238.15990545759337</v>
      </c>
      <c r="O87" s="57">
        <f t="shared" si="58"/>
        <v>272.9278250270263</v>
      </c>
      <c r="P87" s="57">
        <f t="shared" si="58"/>
        <v>307.10200000000009</v>
      </c>
      <c r="Q87" s="57">
        <f t="shared" si="58"/>
        <v>305.31999999999977</v>
      </c>
      <c r="R87" s="57">
        <f t="shared" si="58"/>
        <v>282.28000000000014</v>
      </c>
      <c r="S87" s="57">
        <f t="shared" si="58"/>
        <v>234.76900000000026</v>
      </c>
      <c r="T87" s="57">
        <f t="shared" si="58"/>
        <v>255.10499999999928</v>
      </c>
      <c r="U87" s="57">
        <f t="shared" si="58"/>
        <v>423.86400000000026</v>
      </c>
      <c r="V87" s="57">
        <f t="shared" si="58"/>
        <v>310.41000000000076</v>
      </c>
      <c r="W87" s="57">
        <f t="shared" si="58"/>
        <v>143.27899999999863</v>
      </c>
      <c r="X87" s="57">
        <f>SUM(X83,X86)</f>
        <v>220.81199999999961</v>
      </c>
      <c r="Y87" s="57">
        <f t="shared" ref="Y87:AD87" si="59">SUM(Y83,Y86)</f>
        <v>79.475999999999829</v>
      </c>
      <c r="Z87" s="57">
        <f t="shared" si="59"/>
        <v>58.870999999999754</v>
      </c>
      <c r="AA87" s="57">
        <f t="shared" si="59"/>
        <v>133.71700000000021</v>
      </c>
      <c r="AB87" s="57">
        <f t="shared" si="59"/>
        <v>-204.16199999999992</v>
      </c>
      <c r="AC87" s="57">
        <f t="shared" si="59"/>
        <v>-391.04200000000083</v>
      </c>
      <c r="AD87" s="57">
        <f t="shared" si="59"/>
        <v>-236.27299999999877</v>
      </c>
      <c r="AE87" s="57">
        <f t="shared" ref="AE87:AQ87" si="60">SUM(AE83,AE86)</f>
        <v>-616.33070000000032</v>
      </c>
      <c r="AF87" s="57">
        <f t="shared" si="60"/>
        <v>-332.78768961395753</v>
      </c>
      <c r="AG87" s="57">
        <f t="shared" si="60"/>
        <v>-170.54454560588243</v>
      </c>
      <c r="AH87" s="57">
        <f t="shared" si="60"/>
        <v>-307.32996414123227</v>
      </c>
      <c r="AI87" s="57">
        <f t="shared" si="60"/>
        <v>62.847654362524167</v>
      </c>
      <c r="AJ87" s="57">
        <f t="shared" si="60"/>
        <v>151.39834035999752</v>
      </c>
      <c r="AK87" s="57">
        <f t="shared" si="60"/>
        <v>149.42021265999938</v>
      </c>
      <c r="AL87" s="57">
        <f t="shared" si="60"/>
        <v>-91.760620287547226</v>
      </c>
      <c r="AM87" s="57">
        <f t="shared" si="60"/>
        <v>464.34652823552074</v>
      </c>
      <c r="AN87" s="57">
        <f t="shared" si="60"/>
        <v>121.7317990410549</v>
      </c>
      <c r="AO87" s="57">
        <f t="shared" si="60"/>
        <v>-266.08449804105675</v>
      </c>
      <c r="AP87" s="57">
        <f t="shared" si="60"/>
        <v>-185.40763854019752</v>
      </c>
      <c r="AQ87" s="57">
        <f t="shared" si="60"/>
        <v>-48.706805967332969</v>
      </c>
      <c r="AR87" s="57">
        <f t="shared" ref="AR87" si="61">SUM(AR83,AR86)</f>
        <v>-4.335252649999461</v>
      </c>
      <c r="AS87" s="63"/>
      <c r="AT87" s="57">
        <f t="shared" ref="AT87:AZ87" si="62">SUM(AT83,AT86)</f>
        <v>894.99543070000027</v>
      </c>
      <c r="AU87" s="57">
        <f t="shared" si="62"/>
        <v>1042.3343989686789</v>
      </c>
      <c r="AV87" s="57">
        <f t="shared" si="62"/>
        <v>1129.4710000000002</v>
      </c>
      <c r="AW87" s="57">
        <f t="shared" si="62"/>
        <v>1132.6580000000006</v>
      </c>
      <c r="AX87" s="57">
        <f t="shared" si="62"/>
        <v>492.87600000000043</v>
      </c>
      <c r="AY87" s="57">
        <f t="shared" si="62"/>
        <v>-1447.8076999999967</v>
      </c>
      <c r="AZ87" s="57">
        <f t="shared" si="62"/>
        <v>-747.81454499855067</v>
      </c>
      <c r="BA87" s="57">
        <f t="shared" si="43"/>
        <v>673.40446096797041</v>
      </c>
      <c r="BB87" s="57">
        <f t="shared" si="42"/>
        <v>-378.46714350753234</v>
      </c>
    </row>
    <row r="88" spans="2:55" outlineLevel="1" collapsed="1">
      <c r="B88" s="18" t="s">
        <v>131</v>
      </c>
      <c r="C88" s="1" t="s">
        <v>71</v>
      </c>
      <c r="D88" s="53"/>
      <c r="E88" s="53"/>
      <c r="F88" s="53"/>
      <c r="G88" s="53"/>
      <c r="H88" s="53">
        <v>-63.518711449999984</v>
      </c>
      <c r="I88" s="53">
        <v>-55.452990150000005</v>
      </c>
      <c r="J88" s="53">
        <v>-53.195999999999998</v>
      </c>
      <c r="K88" s="53">
        <v>-69.899770410000002</v>
      </c>
      <c r="L88" s="53">
        <v>-91.07129664</v>
      </c>
      <c r="M88" s="53">
        <v>-75.264880270000035</v>
      </c>
      <c r="N88" s="53">
        <v>-66.53282308999998</v>
      </c>
      <c r="O88" s="53">
        <v>-82.220434999999995</v>
      </c>
      <c r="P88" s="53">
        <v>-103.032</v>
      </c>
      <c r="Q88" s="53">
        <v>-108.05500000000001</v>
      </c>
      <c r="R88" s="53">
        <v>-93.134</v>
      </c>
      <c r="S88" s="53">
        <v>-58.59699999999998</v>
      </c>
      <c r="T88" s="53">
        <v>-133.26400000000001</v>
      </c>
      <c r="U88" s="53">
        <v>-210.93899999999999</v>
      </c>
      <c r="V88" s="53">
        <v>-146.09299999999999</v>
      </c>
      <c r="W88" s="53">
        <v>-106.98699999999999</v>
      </c>
      <c r="X88" s="53">
        <v>-117.997</v>
      </c>
      <c r="Y88" s="53">
        <v>-99.123999999999995</v>
      </c>
      <c r="Z88" s="53">
        <v>-86.64</v>
      </c>
      <c r="AA88" s="53">
        <v>-19.547000000000001</v>
      </c>
      <c r="AB88" s="53">
        <v>-40.164999999999999</v>
      </c>
      <c r="AC88" s="53">
        <v>-8.69</v>
      </c>
      <c r="AD88" s="53">
        <v>3.4390000000000001</v>
      </c>
      <c r="AE88" s="53">
        <v>22.834999999999997</v>
      </c>
      <c r="AF88" s="53">
        <v>-66.164543330000015</v>
      </c>
      <c r="AG88" s="53">
        <v>-147.85657547000005</v>
      </c>
      <c r="AH88" s="53">
        <v>39.17799370000003</v>
      </c>
      <c r="AI88" s="53">
        <v>-15.869767179999975</v>
      </c>
      <c r="AJ88" s="54">
        <v>-109.01721049999998</v>
      </c>
      <c r="AK88" s="54">
        <v>-84.52793450999998</v>
      </c>
      <c r="AL88" s="54">
        <v>-89.67975827000005</v>
      </c>
      <c r="AM88" s="54">
        <v>163.97000000000003</v>
      </c>
      <c r="AN88" s="54">
        <v>-56.319568610000005</v>
      </c>
      <c r="AO88" s="54">
        <v>-44.092349929999997</v>
      </c>
      <c r="AP88" s="54">
        <v>97.585541720000009</v>
      </c>
      <c r="AQ88" s="54">
        <v>11.50469865</v>
      </c>
      <c r="AR88" s="54">
        <v>-28.6</v>
      </c>
      <c r="AS88" s="63"/>
      <c r="AT88" s="53">
        <f>SUM(H88:K88)</f>
        <v>-242.06747200999999</v>
      </c>
      <c r="AU88" s="53">
        <f>SUM(L88:O88)</f>
        <v>-315.08943500000004</v>
      </c>
      <c r="AV88" s="53">
        <f>SUM(P88:S88)</f>
        <v>-362.81799999999998</v>
      </c>
      <c r="AW88" s="53">
        <f>SUM(T88:W88)</f>
        <v>-597.2829999999999</v>
      </c>
      <c r="AX88" s="53">
        <f>SUM(X88:AA88)</f>
        <v>-323.30799999999999</v>
      </c>
      <c r="AY88" s="53">
        <f>SUM(AB88:AE88)</f>
        <v>-22.581</v>
      </c>
      <c r="AZ88" s="53">
        <f>SUM(AF88:AI88)</f>
        <v>-190.71289228000001</v>
      </c>
      <c r="BA88" s="53">
        <f t="shared" si="43"/>
        <v>-119.25490327999995</v>
      </c>
      <c r="BB88" s="53">
        <f t="shared" si="42"/>
        <v>8.6783218300000069</v>
      </c>
    </row>
    <row r="89" spans="2:55" outlineLevel="1">
      <c r="B89" s="18" t="s">
        <v>132</v>
      </c>
      <c r="C89" s="1" t="s">
        <v>71</v>
      </c>
      <c r="D89" s="53"/>
      <c r="E89" s="53"/>
      <c r="F89" s="53"/>
      <c r="G89" s="53"/>
      <c r="H89" s="53">
        <v>-1.0639335556602609</v>
      </c>
      <c r="I89" s="53">
        <v>-4.0617307296778256</v>
      </c>
      <c r="J89" s="53">
        <v>3.7519999999999998</v>
      </c>
      <c r="K89" s="53">
        <v>-0.95693559466191447</v>
      </c>
      <c r="L89" s="53">
        <v>9.8834493968253625</v>
      </c>
      <c r="M89" s="53">
        <v>-10.695755341605173</v>
      </c>
      <c r="N89" s="53">
        <v>18.551305944779813</v>
      </c>
      <c r="O89" s="53">
        <v>43.348804279811098</v>
      </c>
      <c r="P89" s="53">
        <v>1.3240000000000001</v>
      </c>
      <c r="Q89" s="53">
        <v>26.143999999999998</v>
      </c>
      <c r="R89" s="53">
        <v>23.289000000000001</v>
      </c>
      <c r="S89" s="53">
        <v>34.435999999999993</v>
      </c>
      <c r="T89" s="53">
        <v>42.722000000000001</v>
      </c>
      <c r="U89" s="53">
        <v>65.715999999999994</v>
      </c>
      <c r="V89" s="53">
        <v>83.528000000000006</v>
      </c>
      <c r="W89" s="53">
        <v>57.957999999999998</v>
      </c>
      <c r="X89" s="53">
        <v>49.014000000000003</v>
      </c>
      <c r="Y89" s="53">
        <v>124.258</v>
      </c>
      <c r="Z89" s="53">
        <v>71.441000000000003</v>
      </c>
      <c r="AA89" s="53">
        <v>86.055000000000007</v>
      </c>
      <c r="AB89" s="53">
        <v>62.35</v>
      </c>
      <c r="AC89" s="53">
        <v>87.388000000000005</v>
      </c>
      <c r="AD89" s="53">
        <v>267.988</v>
      </c>
      <c r="AE89" s="53">
        <v>276.82500000000005</v>
      </c>
      <c r="AF89" s="53">
        <v>57.705250410000019</v>
      </c>
      <c r="AG89" s="53">
        <v>165.27763737999999</v>
      </c>
      <c r="AH89" s="53">
        <v>16.177744579999889</v>
      </c>
      <c r="AI89" s="53">
        <v>-129.00691812999997</v>
      </c>
      <c r="AJ89" s="54">
        <v>34.997662649999981</v>
      </c>
      <c r="AK89" s="54">
        <v>25.585612490000045</v>
      </c>
      <c r="AL89" s="54">
        <v>110.15524109999993</v>
      </c>
      <c r="AM89" s="54">
        <v>-460.54999999999995</v>
      </c>
      <c r="AN89" s="54">
        <v>-11.129968857799977</v>
      </c>
      <c r="AO89" s="54">
        <v>104.34781255860001</v>
      </c>
      <c r="AP89" s="54">
        <v>30.825950156999955</v>
      </c>
      <c r="AQ89" s="54">
        <v>8.1105000349999905</v>
      </c>
      <c r="AR89" s="54">
        <v>-121.384</v>
      </c>
      <c r="AS89" s="63"/>
      <c r="AT89" s="53">
        <f>SUM(H89:K89)</f>
        <v>-2.3305998800000007</v>
      </c>
      <c r="AU89" s="53">
        <f>SUM(L89:O89)</f>
        <v>61.087804279811103</v>
      </c>
      <c r="AV89" s="53">
        <f>SUM(P89:S89)</f>
        <v>85.192999999999998</v>
      </c>
      <c r="AW89" s="53">
        <f>SUM(T89:W89)</f>
        <v>249.92400000000001</v>
      </c>
      <c r="AX89" s="53">
        <f>SUM(X89:AA89)</f>
        <v>330.76800000000003</v>
      </c>
      <c r="AY89" s="53">
        <f>SUM(AB89:AE89)</f>
        <v>694.55100000000004</v>
      </c>
      <c r="AZ89" s="53">
        <f>SUM(AF89:AI89)</f>
        <v>110.15371423999991</v>
      </c>
      <c r="BA89" s="53">
        <f t="shared" si="43"/>
        <v>-289.81148375999999</v>
      </c>
      <c r="BB89" s="53">
        <f t="shared" si="42"/>
        <v>132.15429389279998</v>
      </c>
    </row>
    <row r="90" spans="2:55" ht="13.5" outlineLevel="1">
      <c r="B90" s="56" t="s">
        <v>133</v>
      </c>
      <c r="C90" s="10" t="s">
        <v>71</v>
      </c>
      <c r="D90" s="57"/>
      <c r="E90" s="57"/>
      <c r="F90" s="57"/>
      <c r="G90" s="57"/>
      <c r="H90" s="57">
        <f t="shared" ref="H90:M90" si="63">SUM(H88:H89)</f>
        <v>-64.58264500566024</v>
      </c>
      <c r="I90" s="57">
        <f t="shared" si="63"/>
        <v>-59.514720879677832</v>
      </c>
      <c r="J90" s="57">
        <f t="shared" si="63"/>
        <v>-49.443999999999996</v>
      </c>
      <c r="K90" s="57">
        <f t="shared" si="63"/>
        <v>-70.856706004661916</v>
      </c>
      <c r="L90" s="57">
        <f t="shared" si="63"/>
        <v>-81.187847243174645</v>
      </c>
      <c r="M90" s="57">
        <f t="shared" si="63"/>
        <v>-85.960635611605213</v>
      </c>
      <c r="N90" s="57">
        <f t="shared" ref="N90:W90" si="64">SUM(N88:N89)</f>
        <v>-47.981517145220167</v>
      </c>
      <c r="O90" s="57">
        <f t="shared" si="64"/>
        <v>-38.871630720188897</v>
      </c>
      <c r="P90" s="57">
        <f t="shared" si="64"/>
        <v>-101.708</v>
      </c>
      <c r="Q90" s="57">
        <f t="shared" si="64"/>
        <v>-81.911000000000001</v>
      </c>
      <c r="R90" s="57">
        <f t="shared" si="64"/>
        <v>-69.844999999999999</v>
      </c>
      <c r="S90" s="57">
        <f t="shared" si="64"/>
        <v>-24.160999999999987</v>
      </c>
      <c r="T90" s="57">
        <f t="shared" si="64"/>
        <v>-90.542000000000002</v>
      </c>
      <c r="U90" s="57">
        <f t="shared" si="64"/>
        <v>-145.22300000000001</v>
      </c>
      <c r="V90" s="57">
        <f t="shared" si="64"/>
        <v>-62.564999999999984</v>
      </c>
      <c r="W90" s="57">
        <f t="shared" si="64"/>
        <v>-49.028999999999996</v>
      </c>
      <c r="X90" s="57">
        <f>SUM(X88:X89)</f>
        <v>-68.983000000000004</v>
      </c>
      <c r="Y90" s="57">
        <f t="shared" ref="Y90:AH90" si="65">SUM(Y88:Y89)</f>
        <v>25.134</v>
      </c>
      <c r="Z90" s="57">
        <f t="shared" si="65"/>
        <v>-15.198999999999998</v>
      </c>
      <c r="AA90" s="57">
        <f t="shared" si="65"/>
        <v>66.50800000000001</v>
      </c>
      <c r="AB90" s="57">
        <f t="shared" si="65"/>
        <v>22.185000000000002</v>
      </c>
      <c r="AC90" s="57">
        <f t="shared" si="65"/>
        <v>78.698000000000008</v>
      </c>
      <c r="AD90" s="57">
        <f t="shared" si="65"/>
        <v>271.42700000000002</v>
      </c>
      <c r="AE90" s="57">
        <f t="shared" si="65"/>
        <v>299.66000000000003</v>
      </c>
      <c r="AF90" s="57">
        <f t="shared" si="65"/>
        <v>-8.4592929199999958</v>
      </c>
      <c r="AG90" s="57">
        <f t="shared" si="65"/>
        <v>17.421061909999935</v>
      </c>
      <c r="AH90" s="57">
        <f t="shared" si="65"/>
        <v>55.355738279999919</v>
      </c>
      <c r="AI90" s="57">
        <f t="shared" ref="AI90:AQ90" si="66">SUM(AI88:AI89)</f>
        <v>-144.87668530999994</v>
      </c>
      <c r="AJ90" s="57">
        <f t="shared" si="66"/>
        <v>-74.019547849999995</v>
      </c>
      <c r="AK90" s="57">
        <f t="shared" si="66"/>
        <v>-58.942322019999935</v>
      </c>
      <c r="AL90" s="57">
        <f t="shared" si="66"/>
        <v>20.475482829999876</v>
      </c>
      <c r="AM90" s="57">
        <f t="shared" si="66"/>
        <v>-296.57999999999993</v>
      </c>
      <c r="AN90" s="57">
        <f t="shared" si="66"/>
        <v>-67.449537467799985</v>
      </c>
      <c r="AO90" s="57">
        <f t="shared" si="66"/>
        <v>60.255462628600014</v>
      </c>
      <c r="AP90" s="57">
        <f t="shared" si="66"/>
        <v>128.41149187699997</v>
      </c>
      <c r="AQ90" s="57">
        <f t="shared" si="66"/>
        <v>19.615198684999989</v>
      </c>
      <c r="AR90" s="57">
        <f t="shared" ref="AR90" si="67">SUM(AR88:AR89)</f>
        <v>-149.98400000000001</v>
      </c>
      <c r="AS90" s="63"/>
      <c r="AT90" s="57">
        <f t="shared" ref="AT90:AZ90" si="68">SUM(AT88:AT89)</f>
        <v>-244.39807188999998</v>
      </c>
      <c r="AU90" s="57">
        <f t="shared" si="68"/>
        <v>-254.00163072018893</v>
      </c>
      <c r="AV90" s="57">
        <f t="shared" si="68"/>
        <v>-277.625</v>
      </c>
      <c r="AW90" s="57">
        <f t="shared" si="68"/>
        <v>-347.35899999999992</v>
      </c>
      <c r="AX90" s="57">
        <f t="shared" si="68"/>
        <v>7.4600000000000364</v>
      </c>
      <c r="AY90" s="57">
        <f t="shared" si="68"/>
        <v>671.97</v>
      </c>
      <c r="AZ90" s="57">
        <f t="shared" si="68"/>
        <v>-80.559178040000091</v>
      </c>
      <c r="BA90" s="57">
        <f t="shared" si="43"/>
        <v>-409.06638704</v>
      </c>
      <c r="BB90" s="57">
        <f t="shared" si="42"/>
        <v>140.8326157228</v>
      </c>
    </row>
    <row r="91" spans="2:55" ht="13.5" outlineLevel="1">
      <c r="B91" s="58" t="s">
        <v>134</v>
      </c>
      <c r="C91" s="10" t="s">
        <v>71</v>
      </c>
      <c r="D91" s="57"/>
      <c r="E91" s="57"/>
      <c r="F91" s="57"/>
      <c r="G91" s="57"/>
      <c r="H91" s="57">
        <f t="shared" ref="H91:AG91" si="69">H90+H87</f>
        <v>159.82125134745792</v>
      </c>
      <c r="I91" s="57">
        <f t="shared" si="69"/>
        <v>162.25559433525711</v>
      </c>
      <c r="J91" s="57">
        <f t="shared" si="69"/>
        <v>155.288483042492</v>
      </c>
      <c r="K91" s="57">
        <f t="shared" si="69"/>
        <v>173.232030084793</v>
      </c>
      <c r="L91" s="57">
        <f t="shared" si="69"/>
        <v>214.07012802851563</v>
      </c>
      <c r="M91" s="57">
        <f t="shared" si="69"/>
        <v>150.02805760076296</v>
      </c>
      <c r="N91" s="57">
        <f t="shared" si="69"/>
        <v>190.17838831237322</v>
      </c>
      <c r="O91" s="57">
        <f t="shared" si="69"/>
        <v>234.0561943068374</v>
      </c>
      <c r="P91" s="57">
        <f t="shared" si="69"/>
        <v>205.39400000000009</v>
      </c>
      <c r="Q91" s="57">
        <f t="shared" si="69"/>
        <v>223.40899999999976</v>
      </c>
      <c r="R91" s="57">
        <f t="shared" si="69"/>
        <v>212.43500000000014</v>
      </c>
      <c r="S91" s="57">
        <f t="shared" si="69"/>
        <v>210.60800000000029</v>
      </c>
      <c r="T91" s="57">
        <f t="shared" si="69"/>
        <v>164.56299999999928</v>
      </c>
      <c r="U91" s="57">
        <f t="shared" si="69"/>
        <v>278.64100000000025</v>
      </c>
      <c r="V91" s="57">
        <f t="shared" si="69"/>
        <v>247.84500000000077</v>
      </c>
      <c r="W91" s="57">
        <f t="shared" si="69"/>
        <v>94.249999999998636</v>
      </c>
      <c r="X91" s="57">
        <f t="shared" si="69"/>
        <v>151.82899999999961</v>
      </c>
      <c r="Y91" s="57">
        <f t="shared" si="69"/>
        <v>104.60999999999983</v>
      </c>
      <c r="Z91" s="57">
        <f t="shared" si="69"/>
        <v>43.671999999999755</v>
      </c>
      <c r="AA91" s="57">
        <f t="shared" si="69"/>
        <v>200.22500000000022</v>
      </c>
      <c r="AB91" s="57">
        <f t="shared" si="69"/>
        <v>-181.97699999999992</v>
      </c>
      <c r="AC91" s="57">
        <f t="shared" si="69"/>
        <v>-312.34400000000085</v>
      </c>
      <c r="AD91" s="57">
        <f t="shared" si="69"/>
        <v>35.154000000001247</v>
      </c>
      <c r="AE91" s="57">
        <f t="shared" si="69"/>
        <v>-316.67070000000029</v>
      </c>
      <c r="AF91" s="57">
        <f t="shared" si="69"/>
        <v>-341.24698253395752</v>
      </c>
      <c r="AG91" s="57">
        <f t="shared" si="69"/>
        <v>-153.1234836958825</v>
      </c>
      <c r="AH91" s="57">
        <f t="shared" ref="AH91:AM91" si="70">AH90+AH87</f>
        <v>-251.97422586123236</v>
      </c>
      <c r="AI91" s="57">
        <f t="shared" si="70"/>
        <v>-82.029030947475775</v>
      </c>
      <c r="AJ91" s="57">
        <f t="shared" si="70"/>
        <v>77.378792509997524</v>
      </c>
      <c r="AK91" s="57">
        <f t="shared" si="70"/>
        <v>90.477890639999444</v>
      </c>
      <c r="AL91" s="57">
        <f t="shared" si="70"/>
        <v>-71.28513745754735</v>
      </c>
      <c r="AM91" s="57">
        <f t="shared" si="70"/>
        <v>167.76652823552081</v>
      </c>
      <c r="AN91" s="57">
        <f>AN90+AN87</f>
        <v>54.282261573254914</v>
      </c>
      <c r="AO91" s="57">
        <f>AO90+AO87</f>
        <v>-205.82903541245673</v>
      </c>
      <c r="AP91" s="57">
        <f>AP90+AP87</f>
        <v>-56.99614666319755</v>
      </c>
      <c r="AQ91" s="57">
        <f>AQ90+AQ87</f>
        <v>-29.09160728233298</v>
      </c>
      <c r="AR91" s="57">
        <f>AR90+AR87</f>
        <v>-154.31925264999947</v>
      </c>
      <c r="AS91" s="63"/>
      <c r="AT91" s="57">
        <f t="shared" ref="AT91:AZ91" si="71">AT90+AT87</f>
        <v>650.59735881000029</v>
      </c>
      <c r="AU91" s="57">
        <f t="shared" si="71"/>
        <v>788.33276824848997</v>
      </c>
      <c r="AV91" s="57">
        <f t="shared" si="71"/>
        <v>851.84600000000023</v>
      </c>
      <c r="AW91" s="57">
        <f t="shared" si="71"/>
        <v>785.29900000000066</v>
      </c>
      <c r="AX91" s="57">
        <f t="shared" si="71"/>
        <v>500.33600000000047</v>
      </c>
      <c r="AY91" s="57">
        <f t="shared" si="71"/>
        <v>-775.83769999999663</v>
      </c>
      <c r="AZ91" s="57">
        <f t="shared" si="71"/>
        <v>-828.37372303855079</v>
      </c>
      <c r="BA91" s="57">
        <f t="shared" si="43"/>
        <v>264.33807392797041</v>
      </c>
      <c r="BB91" s="57">
        <f t="shared" si="42"/>
        <v>-237.63452778473234</v>
      </c>
    </row>
    <row r="92" spans="2:55" outlineLevel="1">
      <c r="B92" s="14" t="s">
        <v>135</v>
      </c>
      <c r="C92" s="1" t="s">
        <v>71</v>
      </c>
      <c r="D92" s="53"/>
      <c r="E92" s="53"/>
      <c r="F92" s="53"/>
      <c r="G92" s="53"/>
      <c r="H92" s="53">
        <v>0</v>
      </c>
      <c r="I92" s="53">
        <v>0</v>
      </c>
      <c r="J92" s="53">
        <v>0</v>
      </c>
      <c r="K92" s="53">
        <v>0</v>
      </c>
      <c r="L92" s="53">
        <v>0</v>
      </c>
      <c r="M92" s="53">
        <v>0</v>
      </c>
      <c r="N92" s="53">
        <v>0</v>
      </c>
      <c r="O92" s="53">
        <v>0</v>
      </c>
      <c r="P92" s="53">
        <v>0</v>
      </c>
      <c r="Q92" s="53">
        <v>0</v>
      </c>
      <c r="R92" s="53">
        <v>0</v>
      </c>
      <c r="S92" s="53">
        <v>0</v>
      </c>
      <c r="T92" s="53">
        <v>0</v>
      </c>
      <c r="U92" s="53">
        <v>0</v>
      </c>
      <c r="V92" s="53">
        <v>0</v>
      </c>
      <c r="W92" s="53">
        <v>0</v>
      </c>
      <c r="X92" s="53">
        <v>0</v>
      </c>
      <c r="Y92" s="53">
        <v>0</v>
      </c>
      <c r="Z92" s="53">
        <v>0</v>
      </c>
      <c r="AA92" s="53">
        <v>0</v>
      </c>
      <c r="AB92" s="53">
        <v>0</v>
      </c>
      <c r="AC92" s="53">
        <v>0</v>
      </c>
      <c r="AD92" s="53">
        <v>0</v>
      </c>
      <c r="AE92" s="53">
        <v>0</v>
      </c>
      <c r="AF92" s="53">
        <v>0</v>
      </c>
      <c r="AG92" s="53">
        <v>0</v>
      </c>
      <c r="AH92" s="53">
        <v>0</v>
      </c>
      <c r="AI92" s="53">
        <v>0</v>
      </c>
      <c r="AJ92" s="53">
        <v>5.9649999999999999</v>
      </c>
      <c r="AK92" s="53">
        <v>0</v>
      </c>
      <c r="AL92" s="53">
        <v>0</v>
      </c>
      <c r="AM92" s="53">
        <v>0</v>
      </c>
      <c r="AN92" s="53">
        <v>0</v>
      </c>
      <c r="AO92" s="53">
        <v>0</v>
      </c>
      <c r="AP92" s="53">
        <v>0</v>
      </c>
      <c r="AQ92" s="53">
        <v>0</v>
      </c>
      <c r="AR92" s="53">
        <v>0</v>
      </c>
      <c r="AS92" s="37"/>
      <c r="AT92" s="53">
        <f>SUM(H92:K92)</f>
        <v>0</v>
      </c>
      <c r="AU92" s="53">
        <f>SUM(L92:O92)</f>
        <v>0</v>
      </c>
      <c r="AV92" s="53">
        <f>SUM(P92:S92)</f>
        <v>0</v>
      </c>
      <c r="AW92" s="53">
        <f>SUM(T92:W92)</f>
        <v>0</v>
      </c>
      <c r="AX92" s="53">
        <f>SUM(X92:AA92)</f>
        <v>0</v>
      </c>
      <c r="AY92" s="53">
        <f>SUM(AB92:AE92)</f>
        <v>0</v>
      </c>
      <c r="AZ92" s="53">
        <f>SUM(AF92:AI92)</f>
        <v>0</v>
      </c>
      <c r="BA92" s="85">
        <f t="shared" si="43"/>
        <v>5.9649999999999999</v>
      </c>
      <c r="BB92" s="85">
        <f t="shared" si="42"/>
        <v>0</v>
      </c>
    </row>
    <row r="93" spans="2:55" ht="13.5" outlineLevel="1">
      <c r="B93" s="58" t="s">
        <v>136</v>
      </c>
      <c r="C93" s="10" t="s">
        <v>71</v>
      </c>
      <c r="D93" s="57"/>
      <c r="E93" s="57"/>
      <c r="F93" s="57"/>
      <c r="G93" s="57"/>
      <c r="H93" s="57">
        <f t="shared" ref="H93:M93" si="72">SUM(H87,H90)</f>
        <v>159.82125134745792</v>
      </c>
      <c r="I93" s="57">
        <f t="shared" si="72"/>
        <v>162.25559433525711</v>
      </c>
      <c r="J93" s="57">
        <f t="shared" si="72"/>
        <v>155.288483042492</v>
      </c>
      <c r="K93" s="57">
        <f t="shared" si="72"/>
        <v>173.232030084793</v>
      </c>
      <c r="L93" s="57">
        <f t="shared" si="72"/>
        <v>214.07012802851563</v>
      </c>
      <c r="M93" s="57">
        <f t="shared" si="72"/>
        <v>150.02805760076296</v>
      </c>
      <c r="N93" s="57">
        <f t="shared" ref="N93:W93" si="73">SUM(N87,N90)</f>
        <v>190.17838831237322</v>
      </c>
      <c r="O93" s="57">
        <f t="shared" si="73"/>
        <v>234.0561943068374</v>
      </c>
      <c r="P93" s="57">
        <f t="shared" si="73"/>
        <v>205.39400000000009</v>
      </c>
      <c r="Q93" s="57">
        <f t="shared" si="73"/>
        <v>223.40899999999976</v>
      </c>
      <c r="R93" s="57">
        <f t="shared" si="73"/>
        <v>212.43500000000014</v>
      </c>
      <c r="S93" s="57">
        <f t="shared" si="73"/>
        <v>210.60800000000029</v>
      </c>
      <c r="T93" s="57">
        <f t="shared" si="73"/>
        <v>164.56299999999928</v>
      </c>
      <c r="U93" s="57">
        <f t="shared" si="73"/>
        <v>278.64100000000025</v>
      </c>
      <c r="V93" s="57">
        <f t="shared" si="73"/>
        <v>247.84500000000077</v>
      </c>
      <c r="W93" s="57">
        <f t="shared" si="73"/>
        <v>94.249999999998636</v>
      </c>
      <c r="X93" s="57">
        <f>SUM(X87,X90)</f>
        <v>151.82899999999961</v>
      </c>
      <c r="Y93" s="57">
        <f t="shared" ref="Y93:AD93" si="74">SUM(Y87,Y90)</f>
        <v>104.60999999999983</v>
      </c>
      <c r="Z93" s="57">
        <f t="shared" si="74"/>
        <v>43.671999999999755</v>
      </c>
      <c r="AA93" s="57">
        <f t="shared" si="74"/>
        <v>200.22500000000022</v>
      </c>
      <c r="AB93" s="57">
        <f t="shared" si="74"/>
        <v>-181.97699999999992</v>
      </c>
      <c r="AC93" s="57">
        <f t="shared" si="74"/>
        <v>-312.34400000000085</v>
      </c>
      <c r="AD93" s="57">
        <f t="shared" si="74"/>
        <v>35.154000000001247</v>
      </c>
      <c r="AE93" s="57">
        <f>SUM(AE87,AE90)</f>
        <v>-316.67070000000029</v>
      </c>
      <c r="AF93" s="57">
        <f t="shared" ref="AF93:AK93" si="75">AF91+AF92</f>
        <v>-341.24698253395752</v>
      </c>
      <c r="AG93" s="57">
        <f t="shared" si="75"/>
        <v>-153.1234836958825</v>
      </c>
      <c r="AH93" s="57">
        <f t="shared" si="75"/>
        <v>-251.97422586123236</v>
      </c>
      <c r="AI93" s="57">
        <f t="shared" si="75"/>
        <v>-82.029030947475775</v>
      </c>
      <c r="AJ93" s="57">
        <f t="shared" si="75"/>
        <v>83.343792509997527</v>
      </c>
      <c r="AK93" s="57">
        <f t="shared" si="75"/>
        <v>90.477890639999444</v>
      </c>
      <c r="AL93" s="57">
        <f t="shared" ref="AL93:AQ93" si="76">AL91+AL92</f>
        <v>-71.28513745754735</v>
      </c>
      <c r="AM93" s="57">
        <f t="shared" si="76"/>
        <v>167.76652823552081</v>
      </c>
      <c r="AN93" s="57">
        <f t="shared" si="76"/>
        <v>54.282261573254914</v>
      </c>
      <c r="AO93" s="57">
        <f t="shared" si="76"/>
        <v>-205.82903541245673</v>
      </c>
      <c r="AP93" s="57">
        <f t="shared" si="76"/>
        <v>-56.99614666319755</v>
      </c>
      <c r="AQ93" s="57">
        <f t="shared" si="76"/>
        <v>-29.09160728233298</v>
      </c>
      <c r="AR93" s="57">
        <f t="shared" ref="AR93" si="77">AR91+AR92</f>
        <v>-154.31925264999947</v>
      </c>
      <c r="AS93" s="64"/>
      <c r="AT93" s="57">
        <f t="shared" ref="AT93:AZ93" si="78">AT91+AT92</f>
        <v>650.59735881000029</v>
      </c>
      <c r="AU93" s="57">
        <f t="shared" si="78"/>
        <v>788.33276824848997</v>
      </c>
      <c r="AV93" s="57">
        <f t="shared" si="78"/>
        <v>851.84600000000023</v>
      </c>
      <c r="AW93" s="57">
        <f t="shared" si="78"/>
        <v>785.29900000000066</v>
      </c>
      <c r="AX93" s="57">
        <f t="shared" si="78"/>
        <v>500.33600000000047</v>
      </c>
      <c r="AY93" s="57">
        <f t="shared" si="78"/>
        <v>-775.83769999999663</v>
      </c>
      <c r="AZ93" s="57">
        <f t="shared" si="78"/>
        <v>-828.37372303855079</v>
      </c>
      <c r="BA93" s="57">
        <f t="shared" si="43"/>
        <v>270.30307392797044</v>
      </c>
      <c r="BB93" s="57">
        <f t="shared" si="42"/>
        <v>-237.63452778473234</v>
      </c>
      <c r="BC93" s="37"/>
    </row>
    <row r="94" spans="2:55" outlineLevel="1" collapsed="1">
      <c r="B94" s="59" t="s">
        <v>137</v>
      </c>
      <c r="C94" s="24" t="s">
        <v>76</v>
      </c>
      <c r="D94" s="39"/>
      <c r="E94" s="39"/>
      <c r="F94" s="39"/>
      <c r="G94" s="39"/>
      <c r="H94" s="39">
        <f>H93/H57</f>
        <v>0.18002487856110314</v>
      </c>
      <c r="I94" s="39">
        <f>I93/I57</f>
        <v>0.175083440889515</v>
      </c>
      <c r="J94" s="39">
        <f>J93/J57</f>
        <v>0.15690593749789447</v>
      </c>
      <c r="K94" s="39">
        <f>K93/K57</f>
        <v>0.16596564300598057</v>
      </c>
      <c r="L94" s="39">
        <f>L93/L57</f>
        <v>0.19641775052080965</v>
      </c>
      <c r="M94" s="39">
        <f>M93/M57</f>
        <v>0.13504495489960652</v>
      </c>
      <c r="N94" s="39">
        <f>N93/N57</f>
        <v>0.16342069999817246</v>
      </c>
      <c r="O94" s="39">
        <f>O93/O57</f>
        <v>0.19322046607417842</v>
      </c>
      <c r="P94" s="39">
        <f>P93/P57</f>
        <v>0.16340015910898972</v>
      </c>
      <c r="Q94" s="39">
        <f>Q93/Q57</f>
        <v>0.17505016622827518</v>
      </c>
      <c r="R94" s="39">
        <f>R93/R57</f>
        <v>0.16145286679824994</v>
      </c>
      <c r="S94" s="39">
        <f>S93/S57</f>
        <v>0.11796421439993741</v>
      </c>
      <c r="T94" s="39">
        <f>T93/T57</f>
        <v>7.9162954567757418E-2</v>
      </c>
      <c r="U94" s="39">
        <f>U93/U57</f>
        <v>0.1342008709732419</v>
      </c>
      <c r="V94" s="39">
        <f>V93/V57</f>
        <v>0.11655724752866407</v>
      </c>
      <c r="W94" s="39">
        <f>W93/W57</f>
        <v>4.1455996164495058E-2</v>
      </c>
      <c r="X94" s="39">
        <f>X93/X57</f>
        <v>6.5354714045953763E-2</v>
      </c>
      <c r="Y94" s="39">
        <f>Y93/Y57</f>
        <v>4.3543176674743098E-2</v>
      </c>
      <c r="Z94" s="39">
        <f>Z93/Z57</f>
        <v>1.7066828403966953E-2</v>
      </c>
      <c r="AA94" s="39">
        <f>AA93/AA57</f>
        <v>7.7042002657271E-2</v>
      </c>
      <c r="AB94" s="39">
        <f>AB93/AB57</f>
        <v>-3.7586734088991006E-2</v>
      </c>
      <c r="AC94" s="39">
        <f>AC93/AC57</f>
        <v>-5.1341833541104644E-2</v>
      </c>
      <c r="AD94" s="39">
        <f>AD93/AD57</f>
        <v>5.5612752744254182E-3</v>
      </c>
      <c r="AE94" s="39">
        <f>AE93/AE57</f>
        <v>-4.8700190528097667E-2</v>
      </c>
      <c r="AF94" s="39">
        <f>AF93/AF57</f>
        <v>-5.0734040578828341E-2</v>
      </c>
      <c r="AG94" s="39">
        <f>AG93/AG57</f>
        <v>-2.238704961662439E-2</v>
      </c>
      <c r="AH94" s="39">
        <f>AH93/AH57</f>
        <v>-3.6703414187917033E-2</v>
      </c>
      <c r="AI94" s="39">
        <f>AI93/AI57</f>
        <v>-1.1828347569637061E-2</v>
      </c>
      <c r="AJ94" s="39">
        <f>AJ93/AJ57</f>
        <v>1.192082186382184E-2</v>
      </c>
      <c r="AK94" s="39">
        <f>AK93/AK57</f>
        <v>1.2653543400496351E-2</v>
      </c>
      <c r="AL94" s="39">
        <f>AL93/AL57</f>
        <v>-9.7148370548328662E-3</v>
      </c>
      <c r="AM94" s="39">
        <f>AM93/AM57</f>
        <v>2.2451342916524702E-2</v>
      </c>
      <c r="AN94" s="39">
        <f>AN93/AN57</f>
        <v>7.2381088943756925E-3</v>
      </c>
      <c r="AO94" s="39">
        <f>AO93/AO57</f>
        <v>-2.6821725471016519E-2</v>
      </c>
      <c r="AP94" s="39">
        <f>AP93/AP57</f>
        <v>-7.3307630013460263E-3</v>
      </c>
      <c r="AQ94" s="39">
        <f>AQ93/AQ57</f>
        <v>-3.6755715135741518E-3</v>
      </c>
      <c r="AR94" s="39">
        <f>AR93/AR57</f>
        <v>-1.9552719573213386E-2</v>
      </c>
      <c r="AS94" s="63"/>
      <c r="AT94" s="39">
        <f>AT93/AT57</f>
        <v>0.16907503049597983</v>
      </c>
      <c r="AU94" s="39">
        <f>AU93/AU57</f>
        <v>0.17227934770278155</v>
      </c>
      <c r="AV94" s="39">
        <f>AV93/AV57</f>
        <v>0.15118709537495056</v>
      </c>
      <c r="AW94" s="39">
        <f>AW93/AW57</f>
        <v>9.1794573932014498E-2</v>
      </c>
      <c r="AX94" s="39">
        <f>AX93/AX57</f>
        <v>5.062395120700048E-2</v>
      </c>
      <c r="AY94" s="39">
        <f>AY93/AY57</f>
        <v>-3.2668497018565376E-2</v>
      </c>
      <c r="AZ94" s="39">
        <f>AZ93/AZ57</f>
        <v>-3.0270052372053845E-2</v>
      </c>
      <c r="BA94" s="39">
        <f>BA93/BA57</f>
        <v>9.3362308825094571E-3</v>
      </c>
      <c r="BB94" s="39">
        <f>BB93/BB57</f>
        <v>-7.6995937115671015E-3</v>
      </c>
    </row>
    <row r="95" spans="2:55">
      <c r="D95" s="65"/>
      <c r="E95" s="65"/>
      <c r="F95" s="65"/>
      <c r="G95" s="65"/>
      <c r="H95" s="65"/>
      <c r="I95" s="65"/>
      <c r="J95" s="65"/>
      <c r="K95" s="65"/>
      <c r="L95" s="65"/>
      <c r="M95" s="65"/>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BA95" s="37"/>
      <c r="BB95" s="37"/>
    </row>
    <row r="96" spans="2:55" s="5" customFormat="1" ht="13.5">
      <c r="B96" s="4" t="s">
        <v>138</v>
      </c>
      <c r="D96" s="66"/>
      <c r="E96" s="66"/>
      <c r="F96" s="66"/>
      <c r="G96" s="66"/>
      <c r="H96" s="66"/>
      <c r="I96" s="66"/>
      <c r="J96" s="66"/>
      <c r="K96" s="66"/>
      <c r="L96" s="66"/>
      <c r="M96" s="66"/>
      <c r="AE96" s="67"/>
      <c r="AF96" s="67"/>
      <c r="AG96" s="67"/>
      <c r="AH96" s="67"/>
      <c r="AI96" s="67"/>
      <c r="AJ96" s="67"/>
      <c r="AK96" s="67"/>
      <c r="AL96" s="67"/>
      <c r="AM96" s="67"/>
      <c r="AN96" s="67"/>
      <c r="AO96" s="67"/>
      <c r="AP96" s="67"/>
      <c r="AQ96" s="67"/>
      <c r="AR96" s="67"/>
      <c r="AS96" s="37"/>
      <c r="BA96" s="37"/>
      <c r="BB96" s="37"/>
    </row>
    <row r="97" spans="2:54" ht="27" outlineLevel="1">
      <c r="B97" s="6" t="s">
        <v>10</v>
      </c>
      <c r="C97" s="6" t="s">
        <v>11</v>
      </c>
      <c r="D97" s="6" t="s">
        <v>12</v>
      </c>
      <c r="E97" s="6" t="s">
        <v>13</v>
      </c>
      <c r="F97" s="6" t="s">
        <v>14</v>
      </c>
      <c r="G97" s="6" t="s">
        <v>15</v>
      </c>
      <c r="H97" s="6" t="s">
        <v>16</v>
      </c>
      <c r="I97" s="6" t="s">
        <v>17</v>
      </c>
      <c r="J97" s="6" t="s">
        <v>18</v>
      </c>
      <c r="K97" s="6" t="s">
        <v>19</v>
      </c>
      <c r="L97" s="6" t="s">
        <v>20</v>
      </c>
      <c r="M97" s="6" t="s">
        <v>21</v>
      </c>
      <c r="N97" s="6" t="s">
        <v>22</v>
      </c>
      <c r="O97" s="6" t="s">
        <v>23</v>
      </c>
      <c r="P97" s="6" t="s">
        <v>24</v>
      </c>
      <c r="Q97" s="7" t="s">
        <v>25</v>
      </c>
      <c r="R97" s="6" t="s">
        <v>26</v>
      </c>
      <c r="S97" s="6" t="s">
        <v>27</v>
      </c>
      <c r="T97" s="6" t="s">
        <v>28</v>
      </c>
      <c r="U97" s="6" t="s">
        <v>29</v>
      </c>
      <c r="V97" s="6" t="s">
        <v>30</v>
      </c>
      <c r="W97" s="8" t="s">
        <v>31</v>
      </c>
      <c r="X97" s="8" t="s">
        <v>32</v>
      </c>
      <c r="Y97" s="8" t="s">
        <v>33</v>
      </c>
      <c r="Z97" s="8" t="s">
        <v>34</v>
      </c>
      <c r="AA97" s="8" t="s">
        <v>35</v>
      </c>
      <c r="AB97" s="8" t="s">
        <v>36</v>
      </c>
      <c r="AC97" s="8" t="s">
        <v>37</v>
      </c>
      <c r="AD97" s="8" t="s">
        <v>38</v>
      </c>
      <c r="AE97" s="9" t="s">
        <v>39</v>
      </c>
      <c r="AF97" s="8" t="s">
        <v>40</v>
      </c>
      <c r="AG97" s="8" t="s">
        <v>41</v>
      </c>
      <c r="AH97" s="8" t="s">
        <v>42</v>
      </c>
      <c r="AI97" s="8" t="s">
        <v>43</v>
      </c>
      <c r="AJ97" s="8" t="s">
        <v>44</v>
      </c>
      <c r="AK97" s="8" t="s">
        <v>45</v>
      </c>
      <c r="AL97" s="8" t="s">
        <v>46</v>
      </c>
      <c r="AM97" s="8" t="s">
        <v>47</v>
      </c>
      <c r="AN97" s="8" t="s">
        <v>48</v>
      </c>
      <c r="AO97" s="8" t="s">
        <v>49</v>
      </c>
      <c r="AP97" s="8" t="s">
        <v>50</v>
      </c>
      <c r="AQ97" s="8" t="s">
        <v>51</v>
      </c>
      <c r="AR97" s="8" t="s">
        <v>309</v>
      </c>
      <c r="AS97" s="37"/>
      <c r="AT97" s="6">
        <v>2017</v>
      </c>
      <c r="AU97" s="6">
        <v>2018</v>
      </c>
      <c r="AV97" s="6">
        <v>2019</v>
      </c>
      <c r="AW97" s="6">
        <v>2020</v>
      </c>
      <c r="AX97" s="6">
        <v>2021</v>
      </c>
      <c r="AY97" s="6">
        <v>2022</v>
      </c>
      <c r="AZ97" s="101" t="s">
        <v>97</v>
      </c>
      <c r="BA97" s="6">
        <v>2024</v>
      </c>
      <c r="BB97" s="7">
        <v>2025</v>
      </c>
    </row>
    <row r="98" spans="2:54" ht="13.5" outlineLevel="1">
      <c r="B98" s="24" t="s">
        <v>139</v>
      </c>
      <c r="C98" s="10" t="s">
        <v>71</v>
      </c>
      <c r="D98" s="25"/>
      <c r="E98" s="25"/>
      <c r="F98" s="25"/>
      <c r="G98" s="25"/>
      <c r="H98" s="25">
        <f t="shared" ref="H98:AW98" si="79">H83</f>
        <v>191.44864819311817</v>
      </c>
      <c r="I98" s="25">
        <f t="shared" si="79"/>
        <v>191.96304979493496</v>
      </c>
      <c r="J98" s="25">
        <f t="shared" si="79"/>
        <v>179.732889452492</v>
      </c>
      <c r="K98" s="25">
        <f t="shared" si="79"/>
        <v>220.30711204945493</v>
      </c>
      <c r="L98" s="25">
        <f t="shared" si="79"/>
        <v>273.48798310169025</v>
      </c>
      <c r="M98" s="25">
        <f t="shared" si="79"/>
        <v>198.73358504236816</v>
      </c>
      <c r="N98" s="25">
        <f t="shared" si="79"/>
        <v>179.09353360759337</v>
      </c>
      <c r="O98" s="25">
        <f t="shared" si="79"/>
        <v>219.19872775702629</v>
      </c>
      <c r="P98" s="25">
        <f t="shared" si="79"/>
        <v>272.02800000000008</v>
      </c>
      <c r="Q98" s="25">
        <f t="shared" si="79"/>
        <v>264.69899999999978</v>
      </c>
      <c r="R98" s="25">
        <f t="shared" si="79"/>
        <v>231.71100000000013</v>
      </c>
      <c r="S98" s="25">
        <f t="shared" si="79"/>
        <v>265.0380000000003</v>
      </c>
      <c r="T98" s="25">
        <f t="shared" si="79"/>
        <v>311.79499999999928</v>
      </c>
      <c r="U98" s="25">
        <f t="shared" si="79"/>
        <v>451.15100000000029</v>
      </c>
      <c r="V98" s="25">
        <f t="shared" si="79"/>
        <v>330.95500000000078</v>
      </c>
      <c r="W98" s="25">
        <f t="shared" si="79"/>
        <v>173.23599999999863</v>
      </c>
      <c r="X98" s="25">
        <f t="shared" si="79"/>
        <v>250.6419999999996</v>
      </c>
      <c r="Y98" s="25">
        <f t="shared" si="79"/>
        <v>84.035999999999831</v>
      </c>
      <c r="Z98" s="25">
        <f t="shared" ref="Z98:AP98" si="80">Z83</f>
        <v>53.168999999999755</v>
      </c>
      <c r="AA98" s="25">
        <f t="shared" si="80"/>
        <v>155.42300000000023</v>
      </c>
      <c r="AB98" s="25">
        <f t="shared" si="80"/>
        <v>-32.694999999999936</v>
      </c>
      <c r="AC98" s="25">
        <f t="shared" si="80"/>
        <v>-131.72400000000084</v>
      </c>
      <c r="AD98" s="25">
        <f t="shared" si="80"/>
        <v>109.15000000000123</v>
      </c>
      <c r="AE98" s="25">
        <f t="shared" si="80"/>
        <v>-100.59670000000051</v>
      </c>
      <c r="AF98" s="25">
        <f t="shared" si="80"/>
        <v>105.56248360604241</v>
      </c>
      <c r="AG98" s="25">
        <f t="shared" si="80"/>
        <v>84.70639170411755</v>
      </c>
      <c r="AH98" s="25">
        <f t="shared" si="80"/>
        <v>72.41228159876664</v>
      </c>
      <c r="AI98" s="25">
        <f t="shared" si="80"/>
        <v>377.66090144252507</v>
      </c>
      <c r="AJ98" s="25">
        <f t="shared" si="80"/>
        <v>407.6151090099977</v>
      </c>
      <c r="AK98" s="25">
        <f t="shared" si="80"/>
        <v>380.84092323999948</v>
      </c>
      <c r="AL98" s="25">
        <f t="shared" si="80"/>
        <v>169.92996455245293</v>
      </c>
      <c r="AM98" s="25">
        <f t="shared" si="80"/>
        <v>493.36146416552037</v>
      </c>
      <c r="AN98" s="25">
        <f t="shared" si="80"/>
        <v>433.17017402105489</v>
      </c>
      <c r="AO98" s="25">
        <f t="shared" si="80"/>
        <v>151.09725943894341</v>
      </c>
      <c r="AP98" s="25">
        <f t="shared" si="80"/>
        <v>169.11499679980193</v>
      </c>
      <c r="AQ98" s="25">
        <f>AQ83</f>
        <v>288.5169948926673</v>
      </c>
      <c r="AR98" s="25">
        <f>AR83</f>
        <v>346.17874735000055</v>
      </c>
      <c r="AS98" s="37"/>
      <c r="AT98" s="25">
        <f t="shared" si="79"/>
        <v>783.45169949000024</v>
      </c>
      <c r="AU98" s="25">
        <f t="shared" si="79"/>
        <v>870.51382950867878</v>
      </c>
      <c r="AV98" s="25">
        <f t="shared" si="79"/>
        <v>1033.4760000000003</v>
      </c>
      <c r="AW98" s="25">
        <f t="shared" si="79"/>
        <v>1267.1370000000006</v>
      </c>
      <c r="AX98" s="25">
        <f>AX83</f>
        <v>543.27000000000044</v>
      </c>
      <c r="AY98" s="25">
        <f>AY83</f>
        <v>-155.86569999999665</v>
      </c>
      <c r="AZ98" s="25">
        <f>AZ83</f>
        <v>640.34205835144894</v>
      </c>
      <c r="BA98" s="57">
        <f>SUM(AJ98:AM98)</f>
        <v>1451.7474609679705</v>
      </c>
      <c r="BB98" s="57">
        <f>SUM(AN98:AQ98)</f>
        <v>1041.8994251524675</v>
      </c>
    </row>
    <row r="99" spans="2:54" ht="13.5" outlineLevel="1">
      <c r="B99" s="24" t="s">
        <v>140</v>
      </c>
      <c r="C99" s="10" t="s">
        <v>71</v>
      </c>
      <c r="D99" s="25"/>
      <c r="E99" s="25"/>
      <c r="F99" s="25"/>
      <c r="G99" s="25"/>
      <c r="H99" s="25">
        <f>SUM(H98,-H60,-H77)</f>
        <v>197.66164819311817</v>
      </c>
      <c r="I99" s="25">
        <f>SUM(I98,-I60,-I77)</f>
        <v>199.00404979493496</v>
      </c>
      <c r="J99" s="25">
        <f>SUM(J98,-J60,-J77)</f>
        <v>187.71688945249201</v>
      </c>
      <c r="K99" s="25">
        <f>SUM(K98,-K60,-K77)</f>
        <v>240.05711204945493</v>
      </c>
      <c r="L99" s="25">
        <f>SUM(L98,-L60,-L77)</f>
        <v>282.86398310169022</v>
      </c>
      <c r="M99" s="25">
        <f>SUM(M98,-M60,-M77)</f>
        <v>208.98758504236815</v>
      </c>
      <c r="N99" s="25">
        <f>SUM(N98,-N60,-N77)</f>
        <v>190.23753360759335</v>
      </c>
      <c r="O99" s="25">
        <f>SUM(O98,-O60,-O77)</f>
        <v>230.8367277570263</v>
      </c>
      <c r="P99" s="25">
        <f>SUM(P98,-P60,-P77)</f>
        <v>300.48900000000009</v>
      </c>
      <c r="Q99" s="25">
        <f>SUM(Q98,-Q60,-Q77)</f>
        <v>293.78399999999976</v>
      </c>
      <c r="R99" s="25">
        <f>SUM(R98,-R60,-R77)</f>
        <v>264.30000000000013</v>
      </c>
      <c r="S99" s="25">
        <f>SUM(S98,-S60,-S77)</f>
        <v>374.7470000000003</v>
      </c>
      <c r="T99" s="25">
        <f>SUM(T98,-T60,-T77)</f>
        <v>467.7749999999993</v>
      </c>
      <c r="U99" s="25">
        <f>SUM(U98,-U60,-U77)</f>
        <v>607.80100000000027</v>
      </c>
      <c r="V99" s="25">
        <f>SUM(V98,-V60,-V77)</f>
        <v>512.22900000000072</v>
      </c>
      <c r="W99" s="25">
        <f>SUM(W98,-W60,-W77)</f>
        <v>431.81999999999863</v>
      </c>
      <c r="X99" s="25">
        <f>SUM(X98,-X60,-X77)</f>
        <v>466.76399999999961</v>
      </c>
      <c r="Y99" s="25">
        <f>SUM(Y98,-Y60,-Y77)</f>
        <v>291.70599999999979</v>
      </c>
      <c r="Z99" s="25">
        <f>SUM(Z98,-Z60,-Z77)</f>
        <v>291.48199999999974</v>
      </c>
      <c r="AA99" s="25">
        <f>SUM(AA98,-AA60,-AA77)</f>
        <v>388.40200000000021</v>
      </c>
      <c r="AB99" s="25">
        <f>SUM(AB98,-AB60,-AB77)</f>
        <v>284.37000000000006</v>
      </c>
      <c r="AC99" s="25">
        <f>SUM(AC98,-AC60,-AC77)</f>
        <v>437.51799999999912</v>
      </c>
      <c r="AD99" s="25">
        <f>SUM(AD98,-AD60,-AD77)</f>
        <v>780.61500000000126</v>
      </c>
      <c r="AE99" s="25">
        <f>SUM(AE98,-AE60,-AE77)</f>
        <v>528.91369999999949</v>
      </c>
      <c r="AF99" s="25">
        <f>SUM(AF98,-AF60,-AF77)</f>
        <v>608.54382418604234</v>
      </c>
      <c r="AG99" s="25">
        <f>SUM(AG98,-AG60,-AG77)+AG92</f>
        <v>617.47726120411778</v>
      </c>
      <c r="AH99" s="25">
        <f>SUM(AH98,-AH60,-AH77)+AH92</f>
        <v>612.89804524876649</v>
      </c>
      <c r="AI99" s="25">
        <f>SUM(AI98,-AI60,-AI77)+AI92</f>
        <v>929.93887982252534</v>
      </c>
      <c r="AJ99" s="25">
        <f>SUM(AJ98,-AJ60,-AJ77)+AJ92</f>
        <v>957.4527632499977</v>
      </c>
      <c r="AK99" s="25">
        <f>SUM(AK98,-AK60,-AK77)+AK92</f>
        <v>927.4568885799996</v>
      </c>
      <c r="AL99" s="25">
        <f>SUM(AL98,-AL60,-AL77)+AL92</f>
        <v>729.83042044245281</v>
      </c>
      <c r="AM99" s="25">
        <f>SUM(AM98,-AM60,-AM77)+AM92</f>
        <v>1064.9438807655206</v>
      </c>
      <c r="AN99" s="25">
        <f>SUM(AN98,-AN60,-AN77)+AN92</f>
        <v>987.53473599105496</v>
      </c>
      <c r="AO99" s="25">
        <f>SUM(AO98,-AO60,-AO77)+AO92</f>
        <v>690.53481971894325</v>
      </c>
      <c r="AP99" s="25">
        <f>SUM(AP98,-AP60,-AP77)+AP92</f>
        <v>704.53792683980203</v>
      </c>
      <c r="AQ99" s="25">
        <f>SUM(AQ98,-AQ60,-AQ77)+AQ92</f>
        <v>726.77519189266729</v>
      </c>
      <c r="AR99" s="25">
        <f>SUM(AR98,-AR60,-AR77)+AR92</f>
        <v>794.66574735000052</v>
      </c>
      <c r="AS99" s="37"/>
      <c r="AT99" s="25">
        <f>SUM(AT98,-AT60,-AT77)</f>
        <v>824.43969949000029</v>
      </c>
      <c r="AU99" s="25">
        <f>SUM(AU98,-AU60,-AU77)</f>
        <v>912.92582950867882</v>
      </c>
      <c r="AV99" s="25">
        <f>SUM(AV98,-AV60,-AV77)</f>
        <v>1233.3200000000002</v>
      </c>
      <c r="AW99" s="25">
        <f>SUM(AW98,-AW60,-AW77)</f>
        <v>2019.6250000000005</v>
      </c>
      <c r="AX99" s="25">
        <f>SUM(AX98,-AX60,-AX77)</f>
        <v>1438.3540000000005</v>
      </c>
      <c r="AY99" s="25">
        <f>SUM(AY98,-AY60,-AY77)</f>
        <v>2031.4167000000034</v>
      </c>
      <c r="AZ99" s="25">
        <f>SUM(AZ98,-AZ60,-AZ77)+AZ92</f>
        <v>2768.8580104614493</v>
      </c>
      <c r="BA99" s="57">
        <f>SUM(AJ99:AM99)</f>
        <v>3679.6839530379707</v>
      </c>
      <c r="BB99" s="57">
        <f t="shared" ref="BB99:BB110" si="81">SUM(AN99:AQ99)</f>
        <v>3109.3826744424678</v>
      </c>
    </row>
    <row r="100" spans="2:54" ht="13.5" outlineLevel="1">
      <c r="B100" s="59" t="s">
        <v>141</v>
      </c>
      <c r="C100" s="24" t="s">
        <v>76</v>
      </c>
      <c r="D100" s="68"/>
      <c r="E100" s="68"/>
      <c r="F100" s="68"/>
      <c r="G100" s="68"/>
      <c r="H100" s="68">
        <f>H99/H57</f>
        <v>0.22264882743780107</v>
      </c>
      <c r="I100" s="68">
        <f>I99/I57</f>
        <v>0.21473721095282183</v>
      </c>
      <c r="J100" s="68">
        <f>J99/J57</f>
        <v>0.18967211184407234</v>
      </c>
      <c r="K100" s="68">
        <f>K99/K57</f>
        <v>0.22998768149253443</v>
      </c>
      <c r="L100" s="68">
        <f>L99/L57</f>
        <v>0.25953881457383626</v>
      </c>
      <c r="M100" s="68">
        <f>M99/M57</f>
        <v>0.18811627270231859</v>
      </c>
      <c r="N100" s="68">
        <f>N99/N57</f>
        <v>0.16347152367815126</v>
      </c>
      <c r="O100" s="68">
        <f>O99/O57</f>
        <v>0.19056269908319151</v>
      </c>
      <c r="P100" s="68">
        <f>P99/P57</f>
        <v>0.23905250596658717</v>
      </c>
      <c r="Q100" s="68">
        <f>Q99/Q57</f>
        <v>0.23019188141573352</v>
      </c>
      <c r="R100" s="68">
        <f>R99/R57</f>
        <v>0.20087082022631605</v>
      </c>
      <c r="S100" s="68">
        <f>S99/S57</f>
        <v>0.20990055199106075</v>
      </c>
      <c r="T100" s="68">
        <f>T99/T57</f>
        <v>0.22502294606280168</v>
      </c>
      <c r="U100" s="68">
        <f>U99/U57</f>
        <v>0.29273302772530735</v>
      </c>
      <c r="V100" s="68">
        <f>V99/V57</f>
        <v>0.24089250275115481</v>
      </c>
      <c r="W100" s="68">
        <f>W99/W57</f>
        <v>0.18993663940320912</v>
      </c>
      <c r="X100" s="68">
        <f>X99/X57</f>
        <v>0.20091832091988759</v>
      </c>
      <c r="Y100" s="68">
        <f>Y99/Y57</f>
        <v>0.12142057064413175</v>
      </c>
      <c r="Z100" s="68">
        <f>Z99/Z57</f>
        <v>0.11390990284038099</v>
      </c>
      <c r="AA100" s="68">
        <f>AA99/AA57</f>
        <v>0.14944821034380998</v>
      </c>
      <c r="AB100" s="68">
        <f>AB99/AB57</f>
        <v>5.8735662050074348E-2</v>
      </c>
      <c r="AC100" s="68">
        <f>AC99/AC57</f>
        <v>7.1917425425930756E-2</v>
      </c>
      <c r="AD100" s="68">
        <f>AD99/AD57</f>
        <v>0.12349134944374611</v>
      </c>
      <c r="AE100" s="68">
        <f>AE99/AE57</f>
        <v>8.1340641754734627E-2</v>
      </c>
      <c r="AF100" s="68">
        <f>AF99/AF57</f>
        <v>9.0473729147708404E-2</v>
      </c>
      <c r="AG100" s="68">
        <f>AG99/AG57</f>
        <v>9.0276773686580103E-2</v>
      </c>
      <c r="AH100" s="68">
        <f>AH99/AH57</f>
        <v>8.9276793024533077E-2</v>
      </c>
      <c r="AI100" s="68">
        <f>AI99/AI57</f>
        <v>0.1340944804785392</v>
      </c>
      <c r="AJ100" s="68">
        <f>AJ99/AJ57</f>
        <v>0.1369462978584528</v>
      </c>
      <c r="AK100" s="68">
        <f>AK99/AK57</f>
        <v>0.12970700254751658</v>
      </c>
      <c r="AL100" s="68">
        <f>AL99/AL57</f>
        <v>9.9462298385565001E-2</v>
      </c>
      <c r="AM100" s="68">
        <f>AM99/AM57</f>
        <v>0.14251603407060917</v>
      </c>
      <c r="AN100" s="68">
        <f>AN99/AN57</f>
        <v>0.13167992174452062</v>
      </c>
      <c r="AO100" s="68">
        <f>AO99/AO57</f>
        <v>8.9984075014318765E-2</v>
      </c>
      <c r="AP100" s="68">
        <f>AP99/AP57</f>
        <v>9.0616662169149223E-2</v>
      </c>
      <c r="AQ100" s="68">
        <f>AQ99/AQ57</f>
        <v>9.1824221541562473E-2</v>
      </c>
      <c r="AR100" s="68">
        <f>AR99/AR57</f>
        <v>0.10068657180198347</v>
      </c>
      <c r="AS100" s="37"/>
      <c r="AT100" s="68">
        <f>AT99/AT57</f>
        <v>0.21425258717362264</v>
      </c>
      <c r="AU100" s="68">
        <f>AU99/AU57</f>
        <v>0.19950745769228301</v>
      </c>
      <c r="AV100" s="68">
        <f>AV99/AV57</f>
        <v>0.21889175797953386</v>
      </c>
      <c r="AW100" s="68">
        <f>AW99/AW57</f>
        <v>0.23607647071681573</v>
      </c>
      <c r="AX100" s="68">
        <f>AX99/AX57</f>
        <v>0.14553252757026064</v>
      </c>
      <c r="AY100" s="68">
        <f>AY99/AY57</f>
        <v>8.553764583419228E-2</v>
      </c>
      <c r="AZ100" s="68">
        <f>AZ99/AZ57</f>
        <v>0.10117833854025857</v>
      </c>
      <c r="BA100" s="68">
        <f>BA99/BA57</f>
        <v>0.12709577608940634</v>
      </c>
      <c r="BB100" s="68">
        <f>BB99/BB57</f>
        <v>0.1007470737109403</v>
      </c>
    </row>
    <row r="101" spans="2:54" outlineLevel="1">
      <c r="B101" s="69" t="s">
        <v>879</v>
      </c>
      <c r="C101" s="1" t="s">
        <v>71</v>
      </c>
      <c r="D101" s="70"/>
      <c r="E101" s="70"/>
      <c r="F101" s="70"/>
      <c r="G101" s="70"/>
      <c r="H101" s="27">
        <f>-H74</f>
        <v>0</v>
      </c>
      <c r="I101" s="27">
        <f>-I74</f>
        <v>0</v>
      </c>
      <c r="J101" s="27">
        <f>-J74</f>
        <v>0</v>
      </c>
      <c r="K101" s="27">
        <f>-K74</f>
        <v>0</v>
      </c>
      <c r="L101" s="27">
        <f>-L74</f>
        <v>0</v>
      </c>
      <c r="M101" s="27">
        <f>-M74</f>
        <v>0</v>
      </c>
      <c r="N101" s="27">
        <f>-N74</f>
        <v>0</v>
      </c>
      <c r="O101" s="27">
        <f>-O74</f>
        <v>0</v>
      </c>
      <c r="P101" s="27">
        <f>-P74</f>
        <v>0</v>
      </c>
      <c r="Q101" s="27">
        <f>-Q74</f>
        <v>0</v>
      </c>
      <c r="R101" s="27">
        <f>-R74</f>
        <v>0</v>
      </c>
      <c r="S101" s="27">
        <f>-S74</f>
        <v>0</v>
      </c>
      <c r="T101" s="27">
        <f>-T74</f>
        <v>0</v>
      </c>
      <c r="U101" s="27">
        <f>-U74</f>
        <v>0</v>
      </c>
      <c r="V101" s="27">
        <f>-V74</f>
        <v>0</v>
      </c>
      <c r="W101" s="27">
        <f>-W74</f>
        <v>0</v>
      </c>
      <c r="X101" s="27">
        <f>-X74</f>
        <v>0</v>
      </c>
      <c r="Y101" s="27">
        <f>-Y74</f>
        <v>20.303000000000001</v>
      </c>
      <c r="Z101" s="27">
        <f>-Z74</f>
        <v>30.454000000000001</v>
      </c>
      <c r="AA101" s="27">
        <f>-AA74</f>
        <v>5.5469999999999997</v>
      </c>
      <c r="AB101" s="27">
        <f>-AB74</f>
        <v>129.63400000000001</v>
      </c>
      <c r="AC101" s="27">
        <f>-AC74</f>
        <v>144.81299999999999</v>
      </c>
      <c r="AD101" s="27">
        <f>-AD74</f>
        <v>142.06399999999999</v>
      </c>
      <c r="AE101" s="27">
        <f>-AE74</f>
        <v>69.805000000000007</v>
      </c>
      <c r="AF101" s="27">
        <f>-AF74</f>
        <v>18.808835559999999</v>
      </c>
      <c r="AG101" s="27">
        <f>-AG74</f>
        <v>-10.799146740000005</v>
      </c>
      <c r="AH101" s="27">
        <f>-AH74</f>
        <v>15.915749999999997</v>
      </c>
      <c r="AI101" s="27">
        <f>-AI74</f>
        <v>-39.907491829999998</v>
      </c>
      <c r="AJ101" s="27">
        <v>41.9</v>
      </c>
      <c r="AK101" s="27">
        <v>30.48027355</v>
      </c>
      <c r="AL101" s="27">
        <v>32.76828203999996</v>
      </c>
      <c r="AM101" s="27">
        <f>-AM74</f>
        <v>-2.3869679599999798</v>
      </c>
      <c r="AN101" s="27">
        <f>-AN74</f>
        <v>16.346570020000005</v>
      </c>
      <c r="AO101" s="27">
        <f>-AO74</f>
        <v>12.73945833000011</v>
      </c>
      <c r="AP101" s="27">
        <f>-AP74</f>
        <v>6.7591003699998993</v>
      </c>
      <c r="AQ101" s="27">
        <f>-AQ74</f>
        <v>-12.99491636</v>
      </c>
      <c r="AR101" s="27">
        <f>-AR74</f>
        <v>8.641</v>
      </c>
      <c r="AS101" s="37"/>
      <c r="AT101" s="27">
        <v>0</v>
      </c>
      <c r="AU101" s="27">
        <v>0</v>
      </c>
      <c r="AV101" s="27">
        <v>0</v>
      </c>
      <c r="AW101" s="27">
        <v>0</v>
      </c>
      <c r="AX101" s="27">
        <f>SUM(X101:AA101)</f>
        <v>56.304000000000002</v>
      </c>
      <c r="AY101" s="53">
        <f>SUM(AB101:AE101)</f>
        <v>486.31599999999997</v>
      </c>
      <c r="AZ101" s="53">
        <f>SUM(AF101,AG101,AH101,AI101)</f>
        <v>-15.982053010000008</v>
      </c>
      <c r="BA101" s="53">
        <f>SUM(AJ101:AM101)</f>
        <v>102.76158762999998</v>
      </c>
      <c r="BB101" s="53">
        <f t="shared" si="81"/>
        <v>22.850212360000015</v>
      </c>
    </row>
    <row r="102" spans="2:54" outlineLevel="1">
      <c r="B102" s="69" t="s">
        <v>142</v>
      </c>
      <c r="C102" s="1" t="s">
        <v>71</v>
      </c>
      <c r="D102" s="70"/>
      <c r="E102" s="70"/>
      <c r="F102" s="70"/>
      <c r="G102" s="70"/>
      <c r="H102" s="27">
        <v>0</v>
      </c>
      <c r="I102" s="27">
        <v>0</v>
      </c>
      <c r="J102" s="27">
        <v>0</v>
      </c>
      <c r="K102" s="27">
        <v>0</v>
      </c>
      <c r="L102" s="27">
        <v>0</v>
      </c>
      <c r="M102" s="27">
        <v>0</v>
      </c>
      <c r="N102" s="27">
        <v>0</v>
      </c>
      <c r="O102" s="27">
        <v>0</v>
      </c>
      <c r="P102" s="27">
        <v>0</v>
      </c>
      <c r="Q102" s="27">
        <v>0</v>
      </c>
      <c r="R102" s="27">
        <v>0</v>
      </c>
      <c r="S102" s="27">
        <v>0</v>
      </c>
      <c r="T102" s="27">
        <v>0</v>
      </c>
      <c r="U102" s="27">
        <v>0</v>
      </c>
      <c r="V102" s="27">
        <v>0</v>
      </c>
      <c r="W102" s="27">
        <v>0</v>
      </c>
      <c r="X102" s="27">
        <v>0</v>
      </c>
      <c r="Y102" s="27">
        <v>0</v>
      </c>
      <c r="Z102" s="27">
        <v>0</v>
      </c>
      <c r="AA102" s="27">
        <v>0</v>
      </c>
      <c r="AB102" s="27">
        <v>0</v>
      </c>
      <c r="AC102" s="27">
        <v>0</v>
      </c>
      <c r="AD102" s="27">
        <v>0</v>
      </c>
      <c r="AE102" s="27">
        <v>0</v>
      </c>
      <c r="AF102" s="27">
        <v>0</v>
      </c>
      <c r="AG102" s="27">
        <v>0</v>
      </c>
      <c r="AH102" s="27">
        <v>60.4</v>
      </c>
      <c r="AI102" s="27">
        <v>0</v>
      </c>
      <c r="AJ102" s="27">
        <v>0</v>
      </c>
      <c r="AK102" s="27">
        <v>0</v>
      </c>
      <c r="AL102" s="27">
        <v>0</v>
      </c>
      <c r="AM102" s="27">
        <v>0</v>
      </c>
      <c r="AN102" s="27">
        <v>0</v>
      </c>
      <c r="AO102" s="27">
        <v>202.1</v>
      </c>
      <c r="AP102" s="27">
        <v>35.106000000000002</v>
      </c>
      <c r="AQ102" s="27">
        <v>0</v>
      </c>
      <c r="AR102" s="27">
        <v>0</v>
      </c>
      <c r="AS102" s="37"/>
      <c r="AT102" s="27">
        <v>0</v>
      </c>
      <c r="AU102" s="27">
        <v>0</v>
      </c>
      <c r="AV102" s="27">
        <v>0</v>
      </c>
      <c r="AW102" s="27">
        <v>0</v>
      </c>
      <c r="AX102" s="27">
        <v>0</v>
      </c>
      <c r="AY102" s="27">
        <v>0</v>
      </c>
      <c r="AZ102" s="53">
        <f>SUM(AF102,AG102,AI102,AH102)</f>
        <v>60.4</v>
      </c>
      <c r="BA102" s="53">
        <f>SUM(AJ102:AM102)</f>
        <v>0</v>
      </c>
      <c r="BB102" s="53">
        <f>SUM(AN102:AQ102)</f>
        <v>237.20599999999999</v>
      </c>
    </row>
    <row r="103" spans="2:54" ht="13.5" outlineLevel="1">
      <c r="B103" s="59" t="s">
        <v>143</v>
      </c>
      <c r="C103" s="10" t="s">
        <v>71</v>
      </c>
      <c r="D103" s="68"/>
      <c r="E103" s="68"/>
      <c r="F103" s="68"/>
      <c r="G103" s="68"/>
      <c r="H103" s="25">
        <f>H99+H101</f>
        <v>197.66164819311817</v>
      </c>
      <c r="I103" s="25">
        <f t="shared" ref="I103:AD103" si="82">I99+I101</f>
        <v>199.00404979493496</v>
      </c>
      <c r="J103" s="25">
        <f t="shared" si="82"/>
        <v>187.71688945249201</v>
      </c>
      <c r="K103" s="25">
        <f t="shared" si="82"/>
        <v>240.05711204945493</v>
      </c>
      <c r="L103" s="25">
        <f t="shared" si="82"/>
        <v>282.86398310169022</v>
      </c>
      <c r="M103" s="25">
        <f t="shared" si="82"/>
        <v>208.98758504236815</v>
      </c>
      <c r="N103" s="25">
        <f t="shared" si="82"/>
        <v>190.23753360759335</v>
      </c>
      <c r="O103" s="25">
        <f t="shared" si="82"/>
        <v>230.8367277570263</v>
      </c>
      <c r="P103" s="25">
        <f t="shared" si="82"/>
        <v>300.48900000000009</v>
      </c>
      <c r="Q103" s="25">
        <f t="shared" si="82"/>
        <v>293.78399999999976</v>
      </c>
      <c r="R103" s="25">
        <f t="shared" si="82"/>
        <v>264.30000000000013</v>
      </c>
      <c r="S103" s="25">
        <f t="shared" si="82"/>
        <v>374.7470000000003</v>
      </c>
      <c r="T103" s="25">
        <f t="shared" si="82"/>
        <v>467.7749999999993</v>
      </c>
      <c r="U103" s="25">
        <f t="shared" si="82"/>
        <v>607.80100000000027</v>
      </c>
      <c r="V103" s="25">
        <f t="shared" si="82"/>
        <v>512.22900000000072</v>
      </c>
      <c r="W103" s="25">
        <f t="shared" si="82"/>
        <v>431.81999999999863</v>
      </c>
      <c r="X103" s="25">
        <f t="shared" si="82"/>
        <v>466.76399999999961</v>
      </c>
      <c r="Y103" s="25">
        <f t="shared" si="82"/>
        <v>312.00899999999979</v>
      </c>
      <c r="Z103" s="25">
        <f t="shared" si="82"/>
        <v>321.93599999999975</v>
      </c>
      <c r="AA103" s="25">
        <f t="shared" si="82"/>
        <v>393.94900000000024</v>
      </c>
      <c r="AB103" s="25">
        <f t="shared" si="82"/>
        <v>414.00400000000008</v>
      </c>
      <c r="AC103" s="25">
        <f t="shared" si="82"/>
        <v>582.33099999999911</v>
      </c>
      <c r="AD103" s="25">
        <f t="shared" si="82"/>
        <v>922.67900000000122</v>
      </c>
      <c r="AE103" s="25">
        <f>AE99+AE101</f>
        <v>598.71869999999944</v>
      </c>
      <c r="AF103" s="25">
        <f>AF99+AF101</f>
        <v>627.35265974604238</v>
      </c>
      <c r="AG103" s="25">
        <f>AG99+AG101</f>
        <v>606.67811446411781</v>
      </c>
      <c r="AH103" s="25">
        <f t="shared" ref="AH103:AM103" si="83">AH99+AH101+AH102</f>
        <v>689.21379524876647</v>
      </c>
      <c r="AI103" s="25">
        <f t="shared" si="83"/>
        <v>890.03138799252531</v>
      </c>
      <c r="AJ103" s="25">
        <f t="shared" si="83"/>
        <v>999.35276324999768</v>
      </c>
      <c r="AK103" s="25">
        <f t="shared" si="83"/>
        <v>957.93716212999959</v>
      </c>
      <c r="AL103" s="25">
        <f t="shared" si="83"/>
        <v>762.59870248245272</v>
      </c>
      <c r="AM103" s="25">
        <f t="shared" si="83"/>
        <v>1062.5569128055206</v>
      </c>
      <c r="AN103" s="25">
        <f>AN99+AN101+AN102</f>
        <v>1003.881306011055</v>
      </c>
      <c r="AO103" s="25">
        <f>AO99+AO101+AO102</f>
        <v>905.37427804894344</v>
      </c>
      <c r="AP103" s="25">
        <f>AP99+AP101+AP102</f>
        <v>746.40302720980196</v>
      </c>
      <c r="AQ103" s="25">
        <f>AQ99+AQ101+AQ102</f>
        <v>713.78027553266725</v>
      </c>
      <c r="AR103" s="25">
        <f>AR99+AR101+AR102</f>
        <v>803.30674735000048</v>
      </c>
      <c r="AS103" s="37"/>
      <c r="AT103" s="25">
        <f>AT99</f>
        <v>824.43969949000029</v>
      </c>
      <c r="AU103" s="25">
        <f>AU99</f>
        <v>912.92582950867882</v>
      </c>
      <c r="AV103" s="25">
        <f>AV99</f>
        <v>1233.3200000000002</v>
      </c>
      <c r="AW103" s="25">
        <f>AW99</f>
        <v>2019.6250000000005</v>
      </c>
      <c r="AX103" s="25">
        <f>AX99+AX101</f>
        <v>1494.6580000000006</v>
      </c>
      <c r="AY103" s="25">
        <f>AY99+AY101</f>
        <v>2517.7327000000032</v>
      </c>
      <c r="AZ103" s="25">
        <f>AZ99+AZ101+AZ102</f>
        <v>2813.2759574514494</v>
      </c>
      <c r="BA103" s="57">
        <f>SUM(AJ103:AM103)</f>
        <v>3782.4455406679708</v>
      </c>
      <c r="BB103" s="57">
        <f t="shared" si="81"/>
        <v>3369.438886802468</v>
      </c>
    </row>
    <row r="104" spans="2:54" ht="13.5" outlineLevel="1">
      <c r="B104" s="59" t="s">
        <v>144</v>
      </c>
      <c r="C104" s="24" t="s">
        <v>76</v>
      </c>
      <c r="D104" s="68"/>
      <c r="E104" s="68"/>
      <c r="F104" s="68"/>
      <c r="G104" s="68"/>
      <c r="H104" s="68">
        <f>H103/H57</f>
        <v>0.22264882743780107</v>
      </c>
      <c r="I104" s="68">
        <f>I103/I57</f>
        <v>0.21473721095282183</v>
      </c>
      <c r="J104" s="68">
        <f>J103/J57</f>
        <v>0.18967211184407234</v>
      </c>
      <c r="K104" s="68">
        <f>K103/K57</f>
        <v>0.22998768149253443</v>
      </c>
      <c r="L104" s="68">
        <f>L103/L57</f>
        <v>0.25953881457383626</v>
      </c>
      <c r="M104" s="68">
        <f>M103/M57</f>
        <v>0.18811627270231859</v>
      </c>
      <c r="N104" s="68">
        <f>N103/N57</f>
        <v>0.16347152367815126</v>
      </c>
      <c r="O104" s="68">
        <f>O103/O57</f>
        <v>0.19056269908319151</v>
      </c>
      <c r="P104" s="68">
        <f>P103/P57</f>
        <v>0.23905250596658717</v>
      </c>
      <c r="Q104" s="68">
        <f>Q103/Q57</f>
        <v>0.23019188141573352</v>
      </c>
      <c r="R104" s="68">
        <f>R103/R57</f>
        <v>0.20087082022631605</v>
      </c>
      <c r="S104" s="68">
        <f>S103/S57</f>
        <v>0.20990055199106075</v>
      </c>
      <c r="T104" s="68">
        <f>T103/T57</f>
        <v>0.22502294606280168</v>
      </c>
      <c r="U104" s="68">
        <f>U103/U57</f>
        <v>0.29273302772530735</v>
      </c>
      <c r="V104" s="68">
        <f>V103/V57</f>
        <v>0.24089250275115481</v>
      </c>
      <c r="W104" s="68">
        <f>W103/W57</f>
        <v>0.18993663940320912</v>
      </c>
      <c r="X104" s="68">
        <f>X103/X57</f>
        <v>0.20091832091988759</v>
      </c>
      <c r="Y104" s="68">
        <f>Y103/Y57</f>
        <v>0.12987155158311761</v>
      </c>
      <c r="Z104" s="68">
        <f>Z103/Z57</f>
        <v>0.12581119410742653</v>
      </c>
      <c r="AA104" s="68">
        <f>AA103/AA57</f>
        <v>0.15158256913387058</v>
      </c>
      <c r="AB104" s="68">
        <f>AB103/AB57</f>
        <v>8.5511126459819883E-2</v>
      </c>
      <c r="AC104" s="68">
        <f>AC103/AC57</f>
        <v>9.5721196078121809E-2</v>
      </c>
      <c r="AD104" s="68">
        <f>AD103/AD57</f>
        <v>0.14596552053625178</v>
      </c>
      <c r="AE104" s="68">
        <f>AE103/AE57</f>
        <v>9.2075821232387126E-2</v>
      </c>
      <c r="AF104" s="68">
        <f>AF103/AF57</f>
        <v>9.3270085673576281E-2</v>
      </c>
      <c r="AG104" s="68">
        <f>AG103/AG57</f>
        <v>8.8697910483821821E-2</v>
      </c>
      <c r="AH104" s="68">
        <f>AH103/AH57</f>
        <v>0.10039320214033735</v>
      </c>
      <c r="AI104" s="68">
        <f>AI103/AI57</f>
        <v>0.12833993628186394</v>
      </c>
      <c r="AJ104" s="68">
        <f>AJ103/AJ57</f>
        <v>0.14293933490478375</v>
      </c>
      <c r="AK104" s="68">
        <f>AK103/AK57</f>
        <v>0.13396973968137077</v>
      </c>
      <c r="AL104" s="68">
        <f>AL103/AL57</f>
        <v>0.10392800515052686</v>
      </c>
      <c r="AM104" s="68">
        <f>AM103/AM57</f>
        <v>0.14219659826440662</v>
      </c>
      <c r="AN104" s="68">
        <f>AN103/AN57</f>
        <v>0.13385960715970224</v>
      </c>
      <c r="AO104" s="68">
        <f>AO103/AO57</f>
        <v>0.11797995499365244</v>
      </c>
      <c r="AP104" s="68">
        <f>AP103/AP57</f>
        <v>9.6001291601268385E-2</v>
      </c>
      <c r="AQ104" s="68">
        <f>AQ103/AQ57</f>
        <v>9.0182382232701003E-2</v>
      </c>
      <c r="AR104" s="68">
        <f>AR103/AR57</f>
        <v>0.10178141283400513</v>
      </c>
      <c r="AS104" s="37"/>
      <c r="AT104" s="68">
        <f>AT103/AT57</f>
        <v>0.21425258717362264</v>
      </c>
      <c r="AU104" s="68">
        <f>AU103/AU57</f>
        <v>0.19950745769228301</v>
      </c>
      <c r="AV104" s="68">
        <f>AV103/AV57</f>
        <v>0.21889175797953386</v>
      </c>
      <c r="AW104" s="68">
        <f>AW103/AW57</f>
        <v>0.23607647071681573</v>
      </c>
      <c r="AX104" s="68">
        <f>AX103/AX57</f>
        <v>0.15122936119558233</v>
      </c>
      <c r="AY104" s="68">
        <f>AY103/AY57</f>
        <v>0.10601514105784628</v>
      </c>
      <c r="AZ104" s="68">
        <f>AZ103/AZ57</f>
        <v>0.1028014387717755</v>
      </c>
      <c r="BA104" s="68">
        <f>BA103/BA57</f>
        <v>0.13064514714917669</v>
      </c>
      <c r="BB104" s="68">
        <f>BB103/BB57</f>
        <v>0.1091731521769235</v>
      </c>
    </row>
    <row r="105" spans="2:54" ht="13.5" outlineLevel="1">
      <c r="B105" s="59" t="s">
        <v>145</v>
      </c>
      <c r="C105" s="10" t="s">
        <v>71</v>
      </c>
      <c r="D105" s="68"/>
      <c r="E105" s="68"/>
      <c r="F105" s="68"/>
      <c r="G105" s="68"/>
      <c r="H105" s="25">
        <f>H93</f>
        <v>159.82125134745792</v>
      </c>
      <c r="I105" s="25">
        <f t="shared" ref="I105:AN105" si="84">I93</f>
        <v>162.25559433525711</v>
      </c>
      <c r="J105" s="25">
        <f t="shared" si="84"/>
        <v>155.288483042492</v>
      </c>
      <c r="K105" s="25">
        <f t="shared" si="84"/>
        <v>173.232030084793</v>
      </c>
      <c r="L105" s="25">
        <f t="shared" si="84"/>
        <v>214.07012802851563</v>
      </c>
      <c r="M105" s="25">
        <f t="shared" si="84"/>
        <v>150.02805760076296</v>
      </c>
      <c r="N105" s="25">
        <f t="shared" si="84"/>
        <v>190.17838831237322</v>
      </c>
      <c r="O105" s="25">
        <f t="shared" si="84"/>
        <v>234.0561943068374</v>
      </c>
      <c r="P105" s="25">
        <f t="shared" si="84"/>
        <v>205.39400000000009</v>
      </c>
      <c r="Q105" s="25">
        <f t="shared" si="84"/>
        <v>223.40899999999976</v>
      </c>
      <c r="R105" s="25">
        <f t="shared" si="84"/>
        <v>212.43500000000014</v>
      </c>
      <c r="S105" s="25">
        <f t="shared" si="84"/>
        <v>210.60800000000029</v>
      </c>
      <c r="T105" s="25">
        <f t="shared" si="84"/>
        <v>164.56299999999928</v>
      </c>
      <c r="U105" s="25">
        <f t="shared" si="84"/>
        <v>278.64100000000025</v>
      </c>
      <c r="V105" s="25">
        <f t="shared" si="84"/>
        <v>247.84500000000077</v>
      </c>
      <c r="W105" s="25">
        <f t="shared" si="84"/>
        <v>94.249999999998636</v>
      </c>
      <c r="X105" s="25">
        <f t="shared" si="84"/>
        <v>151.82899999999961</v>
      </c>
      <c r="Y105" s="25">
        <f t="shared" si="84"/>
        <v>104.60999999999983</v>
      </c>
      <c r="Z105" s="25">
        <f t="shared" si="84"/>
        <v>43.671999999999755</v>
      </c>
      <c r="AA105" s="25">
        <f t="shared" si="84"/>
        <v>200.22500000000022</v>
      </c>
      <c r="AB105" s="25">
        <f t="shared" si="84"/>
        <v>-181.97699999999992</v>
      </c>
      <c r="AC105" s="25">
        <f t="shared" si="84"/>
        <v>-312.34400000000085</v>
      </c>
      <c r="AD105" s="25">
        <f t="shared" si="84"/>
        <v>35.154000000001247</v>
      </c>
      <c r="AE105" s="25">
        <f t="shared" si="84"/>
        <v>-316.67070000000029</v>
      </c>
      <c r="AF105" s="25">
        <f t="shared" si="84"/>
        <v>-341.24698253395752</v>
      </c>
      <c r="AG105" s="25">
        <f t="shared" si="84"/>
        <v>-153.1234836958825</v>
      </c>
      <c r="AH105" s="25">
        <f t="shared" si="84"/>
        <v>-251.97422586123236</v>
      </c>
      <c r="AI105" s="25">
        <f t="shared" si="84"/>
        <v>-82.029030947475775</v>
      </c>
      <c r="AJ105" s="25">
        <f t="shared" si="84"/>
        <v>83.343792509997527</v>
      </c>
      <c r="AK105" s="25">
        <f t="shared" si="84"/>
        <v>90.477890639999444</v>
      </c>
      <c r="AL105" s="25">
        <f t="shared" si="84"/>
        <v>-71.28513745754735</v>
      </c>
      <c r="AM105" s="25">
        <f t="shared" si="84"/>
        <v>167.76652823552081</v>
      </c>
      <c r="AN105" s="25">
        <f t="shared" si="84"/>
        <v>54.282261573254914</v>
      </c>
      <c r="AO105" s="25">
        <f>AO93</f>
        <v>-205.82903541245673</v>
      </c>
      <c r="AP105" s="25">
        <f>AP93</f>
        <v>-56.99614666319755</v>
      </c>
      <c r="AQ105" s="25">
        <f>AQ93</f>
        <v>-29.09160728233298</v>
      </c>
      <c r="AR105" s="25">
        <f>AR93</f>
        <v>-154.31925264999947</v>
      </c>
      <c r="AS105" s="37"/>
      <c r="AT105" s="25">
        <f>SUM(H105:K105)</f>
        <v>650.59735881000006</v>
      </c>
      <c r="AU105" s="25">
        <f>SUM(L105:O105)</f>
        <v>788.33276824848917</v>
      </c>
      <c r="AV105" s="25">
        <f>SUM(P105:S105)</f>
        <v>851.84600000000034</v>
      </c>
      <c r="AW105" s="25">
        <f>SUM(T105:W105)</f>
        <v>785.29899999999884</v>
      </c>
      <c r="AX105" s="25">
        <f>SUM(X105:AA105)</f>
        <v>500.33599999999944</v>
      </c>
      <c r="AY105" s="57">
        <f>SUM(AB105:AE105)</f>
        <v>-775.83769999999981</v>
      </c>
      <c r="AZ105" s="57">
        <f>SUM(AF105:AI105)</f>
        <v>-828.37372303854818</v>
      </c>
      <c r="BA105" s="25">
        <f>SUM(AJ105:AM105)</f>
        <v>270.30307392797044</v>
      </c>
      <c r="BB105" s="57">
        <f t="shared" si="81"/>
        <v>-237.63452778473234</v>
      </c>
    </row>
    <row r="106" spans="2:54" s="13" customFormat="1" ht="13.5" outlineLevel="1">
      <c r="B106" s="69" t="s">
        <v>146</v>
      </c>
      <c r="C106" s="1" t="s">
        <v>71</v>
      </c>
      <c r="D106" s="142"/>
      <c r="E106" s="142"/>
      <c r="F106" s="142"/>
      <c r="G106" s="142"/>
      <c r="H106" s="46">
        <v>0</v>
      </c>
      <c r="I106" s="46">
        <v>0</v>
      </c>
      <c r="J106" s="46">
        <v>0</v>
      </c>
      <c r="K106" s="46">
        <v>0</v>
      </c>
      <c r="L106" s="46">
        <v>0</v>
      </c>
      <c r="M106" s="46">
        <v>0</v>
      </c>
      <c r="N106" s="46">
        <v>0</v>
      </c>
      <c r="O106" s="46">
        <v>0</v>
      </c>
      <c r="P106" s="46">
        <v>0</v>
      </c>
      <c r="Q106" s="46">
        <v>0</v>
      </c>
      <c r="R106" s="46">
        <v>0</v>
      </c>
      <c r="S106" s="46">
        <v>0</v>
      </c>
      <c r="T106" s="46">
        <v>0</v>
      </c>
      <c r="U106" s="46">
        <v>0</v>
      </c>
      <c r="V106" s="46">
        <v>0</v>
      </c>
      <c r="W106" s="46">
        <v>0</v>
      </c>
      <c r="X106" s="46">
        <f t="shared" ref="X106:AG106" si="85">X101+X102</f>
        <v>0</v>
      </c>
      <c r="Y106" s="46">
        <f t="shared" si="85"/>
        <v>20.303000000000001</v>
      </c>
      <c r="Z106" s="46">
        <f t="shared" si="85"/>
        <v>30.454000000000001</v>
      </c>
      <c r="AA106" s="46">
        <f t="shared" si="85"/>
        <v>5.5469999999999997</v>
      </c>
      <c r="AB106" s="46">
        <f t="shared" si="85"/>
        <v>129.63400000000001</v>
      </c>
      <c r="AC106" s="46">
        <f t="shared" si="85"/>
        <v>144.81299999999999</v>
      </c>
      <c r="AD106" s="46">
        <f t="shared" si="85"/>
        <v>142.06399999999999</v>
      </c>
      <c r="AE106" s="46">
        <f t="shared" si="85"/>
        <v>69.805000000000007</v>
      </c>
      <c r="AF106" s="46">
        <f t="shared" si="85"/>
        <v>18.808835559999999</v>
      </c>
      <c r="AG106" s="46">
        <f t="shared" si="85"/>
        <v>-10.799146740000005</v>
      </c>
      <c r="AH106" s="46">
        <f>AH101+AH102</f>
        <v>76.315749999999994</v>
      </c>
      <c r="AI106" s="46">
        <f t="shared" ref="AI106:AN106" si="86">AI101+AI102</f>
        <v>-39.907491829999998</v>
      </c>
      <c r="AJ106" s="46">
        <f t="shared" si="86"/>
        <v>41.9</v>
      </c>
      <c r="AK106" s="46">
        <f t="shared" si="86"/>
        <v>30.48027355</v>
      </c>
      <c r="AL106" s="46">
        <f t="shared" si="86"/>
        <v>32.76828203999996</v>
      </c>
      <c r="AM106" s="46">
        <f t="shared" si="86"/>
        <v>-2.3869679599999798</v>
      </c>
      <c r="AN106" s="46">
        <f t="shared" si="86"/>
        <v>16.346570020000005</v>
      </c>
      <c r="AO106" s="46">
        <f t="shared" ref="AO106" si="87">AO101</f>
        <v>12.73945833000011</v>
      </c>
      <c r="AP106" s="46">
        <f>AP101</f>
        <v>6.7591003699998993</v>
      </c>
      <c r="AQ106" s="46">
        <f>AQ101</f>
        <v>-12.99491636</v>
      </c>
      <c r="AR106" s="46">
        <f>AR101</f>
        <v>8.641</v>
      </c>
      <c r="AS106" s="42"/>
      <c r="AT106" s="47">
        <f>SUM(H106:K106)</f>
        <v>0</v>
      </c>
      <c r="AU106" s="47">
        <f>SUM(L106:O106)</f>
        <v>0</v>
      </c>
      <c r="AV106" s="47">
        <f>SUM(P106:S106)</f>
        <v>0</v>
      </c>
      <c r="AW106" s="47">
        <f>SUM(T106:W106)</f>
        <v>0</v>
      </c>
      <c r="AX106" s="47">
        <f>SUM(X106:AA106)</f>
        <v>56.304000000000002</v>
      </c>
      <c r="AY106" s="47">
        <f>SUM(AB106:AE106)</f>
        <v>486.31599999999997</v>
      </c>
      <c r="AZ106" s="47">
        <f>SUM(AF106:AI106)</f>
        <v>44.41794698999999</v>
      </c>
      <c r="BA106" s="47">
        <f>SUM(AJ106:AM106)</f>
        <v>102.76158762999998</v>
      </c>
      <c r="BB106" s="47">
        <f t="shared" si="81"/>
        <v>22.850212360000015</v>
      </c>
    </row>
    <row r="107" spans="2:54" s="13" customFormat="1" ht="13.5" outlineLevel="1">
      <c r="B107" s="69" t="s">
        <v>882</v>
      </c>
      <c r="C107" s="1" t="s">
        <v>71</v>
      </c>
      <c r="D107" s="142"/>
      <c r="E107" s="142"/>
      <c r="F107" s="142"/>
      <c r="G107" s="142"/>
      <c r="H107" s="46">
        <v>0</v>
      </c>
      <c r="I107" s="46">
        <v>0</v>
      </c>
      <c r="J107" s="46">
        <v>0</v>
      </c>
      <c r="K107" s="46">
        <v>0</v>
      </c>
      <c r="L107" s="46">
        <v>0</v>
      </c>
      <c r="M107" s="46">
        <v>0</v>
      </c>
      <c r="N107" s="46">
        <v>0</v>
      </c>
      <c r="O107" s="46">
        <v>0</v>
      </c>
      <c r="P107" s="46">
        <v>0</v>
      </c>
      <c r="Q107" s="46">
        <v>0</v>
      </c>
      <c r="R107" s="46">
        <v>0</v>
      </c>
      <c r="S107" s="46">
        <v>0</v>
      </c>
      <c r="T107" s="46">
        <v>0</v>
      </c>
      <c r="U107" s="46">
        <v>0</v>
      </c>
      <c r="V107" s="46">
        <v>0</v>
      </c>
      <c r="W107" s="46">
        <v>0</v>
      </c>
      <c r="X107" s="46">
        <v>0</v>
      </c>
      <c r="Y107" s="46">
        <v>0</v>
      </c>
      <c r="Z107" s="46">
        <v>0</v>
      </c>
      <c r="AA107" s="46">
        <v>0</v>
      </c>
      <c r="AB107" s="46">
        <v>0</v>
      </c>
      <c r="AC107" s="46">
        <v>0</v>
      </c>
      <c r="AD107" s="46">
        <v>0</v>
      </c>
      <c r="AE107" s="46">
        <v>0</v>
      </c>
      <c r="AF107" s="46">
        <v>0</v>
      </c>
      <c r="AG107" s="46">
        <v>0</v>
      </c>
      <c r="AH107" s="46">
        <v>0</v>
      </c>
      <c r="AI107" s="46">
        <v>0</v>
      </c>
      <c r="AJ107" s="46">
        <v>0</v>
      </c>
      <c r="AK107" s="46">
        <v>0</v>
      </c>
      <c r="AL107" s="46">
        <v>0</v>
      </c>
      <c r="AM107" s="46">
        <v>0</v>
      </c>
      <c r="AN107" s="46">
        <v>0</v>
      </c>
      <c r="AO107" s="46">
        <v>0</v>
      </c>
      <c r="AP107" s="46">
        <v>0</v>
      </c>
      <c r="AQ107" s="46">
        <v>0</v>
      </c>
      <c r="AR107" s="46">
        <v>170.53100000000001</v>
      </c>
      <c r="AS107" s="42"/>
      <c r="AT107" s="47"/>
      <c r="AU107" s="47"/>
      <c r="AV107" s="47"/>
      <c r="AW107" s="47"/>
      <c r="AX107" s="47"/>
      <c r="AY107" s="47"/>
      <c r="AZ107" s="47"/>
      <c r="BA107" s="47"/>
      <c r="BB107" s="47"/>
    </row>
    <row r="108" spans="2:54" s="13" customFormat="1" ht="13.5" outlineLevel="1">
      <c r="B108" s="141" t="s">
        <v>147</v>
      </c>
      <c r="C108" s="1" t="s">
        <v>71</v>
      </c>
      <c r="D108" s="142"/>
      <c r="E108" s="142"/>
      <c r="F108" s="142"/>
      <c r="G108" s="142"/>
      <c r="H108" s="46">
        <v>0</v>
      </c>
      <c r="I108" s="46">
        <v>0</v>
      </c>
      <c r="J108" s="46">
        <v>0</v>
      </c>
      <c r="K108" s="46">
        <v>0</v>
      </c>
      <c r="L108" s="46">
        <v>0</v>
      </c>
      <c r="M108" s="46">
        <v>0</v>
      </c>
      <c r="N108" s="46">
        <v>0</v>
      </c>
      <c r="O108" s="46">
        <v>0</v>
      </c>
      <c r="P108" s="46">
        <v>0</v>
      </c>
      <c r="Q108" s="46">
        <v>0</v>
      </c>
      <c r="R108" s="46">
        <v>0</v>
      </c>
      <c r="S108" s="46">
        <v>0</v>
      </c>
      <c r="T108" s="46">
        <v>0</v>
      </c>
      <c r="U108" s="46">
        <v>0</v>
      </c>
      <c r="V108" s="46">
        <v>0</v>
      </c>
      <c r="W108" s="46">
        <v>0</v>
      </c>
      <c r="X108" s="46">
        <v>189.37200000000001</v>
      </c>
      <c r="Y108" s="46">
        <v>183.5</v>
      </c>
      <c r="Z108" s="46">
        <v>196.33899999999997</v>
      </c>
      <c r="AA108" s="46">
        <v>195.31299999999999</v>
      </c>
      <c r="AB108" s="46">
        <v>179.292</v>
      </c>
      <c r="AC108" s="46">
        <v>408.52699999999993</v>
      </c>
      <c r="AD108" s="46">
        <v>501.55400000000009</v>
      </c>
      <c r="AE108" s="46">
        <v>408.23399999999992</v>
      </c>
      <c r="AF108" s="46">
        <v>336.38100000000003</v>
      </c>
      <c r="AG108" s="46">
        <v>374.11899999999997</v>
      </c>
      <c r="AH108" s="46">
        <v>372.00800000000004</v>
      </c>
      <c r="AI108" s="46">
        <v>380.87999999999988</v>
      </c>
      <c r="AJ108" s="46">
        <v>369.375</v>
      </c>
      <c r="AK108" s="46">
        <v>369.31799999999998</v>
      </c>
      <c r="AL108" s="46">
        <v>363.01900000000001</v>
      </c>
      <c r="AM108" s="46">
        <v>349.35000000000014</v>
      </c>
      <c r="AN108" s="46">
        <v>345.72899999999998</v>
      </c>
      <c r="AO108" s="46">
        <v>342.02399999999994</v>
      </c>
      <c r="AP108" s="46">
        <v>327.97000000000014</v>
      </c>
      <c r="AQ108" s="46">
        <v>222.69499999999982</v>
      </c>
      <c r="AR108" s="27">
        <v>219.19</v>
      </c>
      <c r="AS108" s="42"/>
      <c r="AT108" s="47">
        <f>SUM(H108:K108)</f>
        <v>0</v>
      </c>
      <c r="AU108" s="47">
        <f>SUM(L108:O108)</f>
        <v>0</v>
      </c>
      <c r="AV108" s="47">
        <f>SUM(P108:S108)</f>
        <v>0</v>
      </c>
      <c r="AW108" s="47">
        <f>SUM(T108:W108)</f>
        <v>0</v>
      </c>
      <c r="AX108" s="47">
        <f>SUM(X108:AA108)</f>
        <v>764.524</v>
      </c>
      <c r="AY108" s="47">
        <f>SUM(AB108:AE108)</f>
        <v>1497.607</v>
      </c>
      <c r="AZ108" s="47">
        <f>SUM(AF108:AI108)</f>
        <v>1463.3879999999999</v>
      </c>
      <c r="BA108" s="47">
        <f>SUM(AJ108:AM108)</f>
        <v>1451.0620000000001</v>
      </c>
      <c r="BB108" s="47">
        <f t="shared" si="81"/>
        <v>1238.4179999999999</v>
      </c>
    </row>
    <row r="109" spans="2:54" s="13" customFormat="1" ht="13.5" outlineLevel="1">
      <c r="B109" s="141" t="s">
        <v>142</v>
      </c>
      <c r="C109" s="1" t="s">
        <v>71</v>
      </c>
      <c r="D109" s="142"/>
      <c r="E109" s="142"/>
      <c r="F109" s="142"/>
      <c r="G109" s="142"/>
      <c r="H109" s="46">
        <v>0</v>
      </c>
      <c r="I109" s="46">
        <v>0</v>
      </c>
      <c r="J109" s="46">
        <v>0</v>
      </c>
      <c r="K109" s="46">
        <v>0</v>
      </c>
      <c r="L109" s="46">
        <v>0</v>
      </c>
      <c r="M109" s="46">
        <v>0</v>
      </c>
      <c r="N109" s="46">
        <v>0</v>
      </c>
      <c r="O109" s="46">
        <v>0</v>
      </c>
      <c r="P109" s="46">
        <v>0</v>
      </c>
      <c r="Q109" s="46">
        <v>0</v>
      </c>
      <c r="R109" s="46">
        <v>0</v>
      </c>
      <c r="S109" s="46">
        <v>0</v>
      </c>
      <c r="T109" s="46">
        <v>0</v>
      </c>
      <c r="U109" s="46">
        <v>0</v>
      </c>
      <c r="V109" s="46">
        <v>0</v>
      </c>
      <c r="W109" s="46">
        <v>0</v>
      </c>
      <c r="X109" s="46">
        <v>0</v>
      </c>
      <c r="Y109" s="46">
        <v>0</v>
      </c>
      <c r="Z109" s="46">
        <v>0</v>
      </c>
      <c r="AA109" s="46">
        <v>0</v>
      </c>
      <c r="AB109" s="46">
        <v>0</v>
      </c>
      <c r="AC109" s="46">
        <v>0</v>
      </c>
      <c r="AD109" s="46">
        <v>0</v>
      </c>
      <c r="AE109" s="46">
        <v>0</v>
      </c>
      <c r="AF109" s="46">
        <v>0</v>
      </c>
      <c r="AG109" s="46">
        <v>0</v>
      </c>
      <c r="AH109" s="46">
        <v>0</v>
      </c>
      <c r="AI109" s="46">
        <v>0</v>
      </c>
      <c r="AJ109" s="46">
        <v>0</v>
      </c>
      <c r="AK109" s="46">
        <v>0</v>
      </c>
      <c r="AL109" s="46">
        <v>0</v>
      </c>
      <c r="AM109" s="46">
        <v>0</v>
      </c>
      <c r="AN109" s="46">
        <v>0</v>
      </c>
      <c r="AO109" s="46">
        <v>150.61199999999997</v>
      </c>
      <c r="AP109" s="46">
        <v>59.928659999999994</v>
      </c>
      <c r="AQ109" s="46">
        <v>0</v>
      </c>
      <c r="AR109" s="27">
        <v>0</v>
      </c>
      <c r="AS109" s="42"/>
      <c r="AT109" s="47"/>
      <c r="AU109" s="47"/>
      <c r="AV109" s="47"/>
      <c r="AW109" s="47"/>
      <c r="AX109" s="47"/>
      <c r="AY109" s="47"/>
      <c r="AZ109" s="47"/>
      <c r="BA109" s="47"/>
      <c r="BB109" s="47"/>
    </row>
    <row r="110" spans="2:54" ht="13.5" outlineLevel="1">
      <c r="B110" s="59" t="s">
        <v>148</v>
      </c>
      <c r="C110" s="10" t="s">
        <v>71</v>
      </c>
      <c r="D110" s="68"/>
      <c r="E110" s="68"/>
      <c r="F110" s="68"/>
      <c r="G110" s="68"/>
      <c r="H110" s="25">
        <f t="shared" ref="H110:AL110" si="88">H105+H106+H108+H109</f>
        <v>159.82125134745792</v>
      </c>
      <c r="I110" s="25">
        <f t="shared" si="88"/>
        <v>162.25559433525711</v>
      </c>
      <c r="J110" s="25">
        <f t="shared" si="88"/>
        <v>155.288483042492</v>
      </c>
      <c r="K110" s="25">
        <f t="shared" si="88"/>
        <v>173.232030084793</v>
      </c>
      <c r="L110" s="25">
        <f t="shared" si="88"/>
        <v>214.07012802851563</v>
      </c>
      <c r="M110" s="25">
        <f t="shared" si="88"/>
        <v>150.02805760076296</v>
      </c>
      <c r="N110" s="25">
        <f t="shared" si="88"/>
        <v>190.17838831237322</v>
      </c>
      <c r="O110" s="25">
        <f t="shared" si="88"/>
        <v>234.0561943068374</v>
      </c>
      <c r="P110" s="25">
        <f t="shared" si="88"/>
        <v>205.39400000000009</v>
      </c>
      <c r="Q110" s="25">
        <f t="shared" si="88"/>
        <v>223.40899999999976</v>
      </c>
      <c r="R110" s="25">
        <f t="shared" si="88"/>
        <v>212.43500000000014</v>
      </c>
      <c r="S110" s="25">
        <f t="shared" si="88"/>
        <v>210.60800000000029</v>
      </c>
      <c r="T110" s="25">
        <f t="shared" si="88"/>
        <v>164.56299999999928</v>
      </c>
      <c r="U110" s="25">
        <f t="shared" si="88"/>
        <v>278.64100000000025</v>
      </c>
      <c r="V110" s="25">
        <f t="shared" si="88"/>
        <v>247.84500000000077</v>
      </c>
      <c r="W110" s="25">
        <f t="shared" si="88"/>
        <v>94.249999999998636</v>
      </c>
      <c r="X110" s="25">
        <f t="shared" si="88"/>
        <v>341.20099999999962</v>
      </c>
      <c r="Y110" s="25">
        <f t="shared" si="88"/>
        <v>308.41299999999984</v>
      </c>
      <c r="Z110" s="25">
        <f t="shared" si="88"/>
        <v>270.46499999999969</v>
      </c>
      <c r="AA110" s="25">
        <f t="shared" si="88"/>
        <v>401.08500000000021</v>
      </c>
      <c r="AB110" s="25">
        <f t="shared" si="88"/>
        <v>126.9490000000001</v>
      </c>
      <c r="AC110" s="25">
        <f t="shared" si="88"/>
        <v>240.99599999999907</v>
      </c>
      <c r="AD110" s="25">
        <f t="shared" si="88"/>
        <v>678.7720000000013</v>
      </c>
      <c r="AE110" s="25">
        <f t="shared" si="88"/>
        <v>161.36829999999964</v>
      </c>
      <c r="AF110" s="25">
        <f t="shared" si="88"/>
        <v>13.942853026042485</v>
      </c>
      <c r="AG110" s="25">
        <f t="shared" si="88"/>
        <v>210.19636956411748</v>
      </c>
      <c r="AH110" s="25">
        <f t="shared" si="88"/>
        <v>196.34952413876766</v>
      </c>
      <c r="AI110" s="25">
        <f t="shared" si="88"/>
        <v>258.94347722252411</v>
      </c>
      <c r="AJ110" s="25">
        <f t="shared" si="88"/>
        <v>494.61879250999755</v>
      </c>
      <c r="AK110" s="25">
        <f t="shared" si="88"/>
        <v>490.27616418999946</v>
      </c>
      <c r="AL110" s="25">
        <f t="shared" si="88"/>
        <v>324.50214458245262</v>
      </c>
      <c r="AM110" s="25">
        <f t="shared" ref="AM110:AR110" si="89">SUM(AM105:AM109)</f>
        <v>514.72956027552095</v>
      </c>
      <c r="AN110" s="25">
        <f t="shared" si="89"/>
        <v>416.3578315932549</v>
      </c>
      <c r="AO110" s="25">
        <f t="shared" si="89"/>
        <v>299.54642291754328</v>
      </c>
      <c r="AP110" s="25">
        <f t="shared" si="89"/>
        <v>337.66161370680248</v>
      </c>
      <c r="AQ110" s="25">
        <f t="shared" si="89"/>
        <v>180.60847635766686</v>
      </c>
      <c r="AR110" s="25">
        <f t="shared" si="89"/>
        <v>244.04274735000052</v>
      </c>
      <c r="AS110" s="37"/>
      <c r="AT110" s="25">
        <f>SUM(H110:K110)</f>
        <v>650.59735881000006</v>
      </c>
      <c r="AU110" s="25">
        <f>SUM(L110:O110)</f>
        <v>788.33276824848917</v>
      </c>
      <c r="AV110" s="25">
        <f>SUM(P110:S110)</f>
        <v>851.84600000000034</v>
      </c>
      <c r="AW110" s="25">
        <f>SUM(T110:W110)</f>
        <v>785.29899999999884</v>
      </c>
      <c r="AX110" s="25">
        <f>SUM(X110:AA110)</f>
        <v>1321.1639999999993</v>
      </c>
      <c r="AY110" s="25">
        <f>SUM(AB110:AE110)</f>
        <v>1208.0853000000002</v>
      </c>
      <c r="AZ110" s="25">
        <f>SUM(AF110:AI110)</f>
        <v>679.43222395145176</v>
      </c>
      <c r="BA110" s="25">
        <f>SUM(AJ110:AM110)</f>
        <v>1824.1266615579705</v>
      </c>
      <c r="BB110" s="25">
        <f t="shared" si="81"/>
        <v>1234.1743445752675</v>
      </c>
    </row>
    <row r="111" spans="2:54" ht="13.5" outlineLevel="1">
      <c r="B111" s="59" t="s">
        <v>149</v>
      </c>
      <c r="C111" s="24" t="s">
        <v>76</v>
      </c>
      <c r="D111" s="68"/>
      <c r="E111" s="68"/>
      <c r="F111" s="68"/>
      <c r="G111" s="68"/>
      <c r="H111" s="68">
        <f>H110/H57</f>
        <v>0.18002487856110314</v>
      </c>
      <c r="I111" s="68">
        <f>I110/I57</f>
        <v>0.175083440889515</v>
      </c>
      <c r="J111" s="68">
        <f>J110/J57</f>
        <v>0.15690593749789447</v>
      </c>
      <c r="K111" s="68">
        <f>K110/K57</f>
        <v>0.16596564300598057</v>
      </c>
      <c r="L111" s="68">
        <f>L110/L57</f>
        <v>0.19641775052080965</v>
      </c>
      <c r="M111" s="68">
        <f>M110/M57</f>
        <v>0.13504495489960652</v>
      </c>
      <c r="N111" s="68">
        <f>N110/N57</f>
        <v>0.16342069999817246</v>
      </c>
      <c r="O111" s="68">
        <f>O110/O57</f>
        <v>0.19322046607417842</v>
      </c>
      <c r="P111" s="68">
        <f>P110/P57</f>
        <v>0.16340015910898972</v>
      </c>
      <c r="Q111" s="68">
        <f>Q110/Q57</f>
        <v>0.17505016622827518</v>
      </c>
      <c r="R111" s="68">
        <f>R110/R57</f>
        <v>0.16145286679824994</v>
      </c>
      <c r="S111" s="68">
        <f>S110/S57</f>
        <v>0.11796421439993741</v>
      </c>
      <c r="T111" s="68">
        <f>T110/T57</f>
        <v>7.9162954567757418E-2</v>
      </c>
      <c r="U111" s="68">
        <f>U110/U57</f>
        <v>0.1342008709732419</v>
      </c>
      <c r="V111" s="68">
        <f>V110/V57</f>
        <v>0.11655724752866407</v>
      </c>
      <c r="W111" s="68">
        <f>W110/W57</f>
        <v>4.1455996164495058E-2</v>
      </c>
      <c r="X111" s="68">
        <f>X110/X57</f>
        <v>0.14686979290645069</v>
      </c>
      <c r="Y111" s="68">
        <f>Y110/Y57</f>
        <v>0.12837474187733064</v>
      </c>
      <c r="Z111" s="68">
        <f>Z110/Z57</f>
        <v>0.105696550290322</v>
      </c>
      <c r="AA111" s="68">
        <f>AA110/AA57</f>
        <v>0.15432833879781008</v>
      </c>
      <c r="AB111" s="68">
        <f>AB110/AB57</f>
        <v>2.6220886737682924E-2</v>
      </c>
      <c r="AC111" s="68">
        <f>AC110/AC57</f>
        <v>3.9613940130343382E-2</v>
      </c>
      <c r="AD111" s="68">
        <f>AD110/AD57</f>
        <v>0.10738004040997221</v>
      </c>
      <c r="AE111" s="68">
        <f>AE110/AE57</f>
        <v>2.481652693222075E-2</v>
      </c>
      <c r="AF111" s="68">
        <f>AF110/AF57</f>
        <v>2.0729187580068574E-3</v>
      </c>
      <c r="AG111" s="68">
        <f>AG110/AG57</f>
        <v>3.0731253241417407E-2</v>
      </c>
      <c r="AH111" s="68">
        <f>AH110/AH57</f>
        <v>2.8600932835227705E-2</v>
      </c>
      <c r="AI111" s="68">
        <f>AI110/AI57</f>
        <v>3.7338895926243593E-2</v>
      </c>
      <c r="AJ111" s="68">
        <f>AJ110/AJ57</f>
        <v>7.074627081918608E-2</v>
      </c>
      <c r="AK111" s="68">
        <f>AK110/AK57</f>
        <v>6.856626163502115E-2</v>
      </c>
      <c r="AL111" s="68">
        <f>AL110/AL57</f>
        <v>4.4223600753239091E-2</v>
      </c>
      <c r="AM111" s="68">
        <f>AM110/AM57</f>
        <v>6.8883644363160218E-2</v>
      </c>
      <c r="AN111" s="68">
        <f>AN110/AN57</f>
        <v>5.551801337590085E-2</v>
      </c>
      <c r="AO111" s="68">
        <f>AO110/AO57</f>
        <v>3.903410374158086E-2</v>
      </c>
      <c r="AP111" s="68">
        <f>AP110/AP57</f>
        <v>4.3429554621715084E-2</v>
      </c>
      <c r="AQ111" s="68">
        <f>AQ110/AQ57</f>
        <v>2.281893070973131E-2</v>
      </c>
      <c r="AR111" s="68">
        <f>AR110/AR57</f>
        <v>3.0920959769248475E-2</v>
      </c>
      <c r="AS111" s="37"/>
      <c r="AT111" s="68">
        <f>AT110/AT57</f>
        <v>0.16907503049597977</v>
      </c>
      <c r="AU111" s="68">
        <f>AU110/AU57</f>
        <v>0.17227934770278139</v>
      </c>
      <c r="AV111" s="68">
        <f>AV110/AV57</f>
        <v>0.15118709537495059</v>
      </c>
      <c r="AW111" s="68">
        <f>AW110/AW57</f>
        <v>9.1794573932014289E-2</v>
      </c>
      <c r="AX111" s="68">
        <f>AX110/AX57</f>
        <v>0.13367525397422031</v>
      </c>
      <c r="AY111" s="68">
        <f>AY110/AY57</f>
        <v>5.0869313287073878E-2</v>
      </c>
      <c r="AZ111" s="68">
        <f>AZ110/AZ57</f>
        <v>2.4827500475065579E-2</v>
      </c>
      <c r="BA111" s="68">
        <f>BA110/BA57</f>
        <v>6.3005083234031686E-2</v>
      </c>
      <c r="BB111" s="68">
        <f>BB110/BB57</f>
        <v>3.9988469314852268E-2</v>
      </c>
    </row>
    <row r="112" spans="2:54">
      <c r="D112" s="65"/>
      <c r="E112" s="65"/>
      <c r="F112" s="65"/>
      <c r="G112" s="65"/>
      <c r="H112" s="65"/>
      <c r="I112" s="65"/>
      <c r="J112" s="65"/>
      <c r="K112" s="65"/>
      <c r="L112" s="65"/>
      <c r="M112" s="65"/>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Y112" s="37"/>
      <c r="BA112" s="37"/>
      <c r="BB112" s="37"/>
    </row>
    <row r="113" spans="2:54">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37"/>
      <c r="BA113" s="37"/>
      <c r="BB113" s="37"/>
    </row>
    <row r="114" spans="2:54" s="5" customFormat="1" ht="13.5">
      <c r="B114" s="4" t="s">
        <v>150</v>
      </c>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37"/>
      <c r="AT114" s="66"/>
      <c r="AU114" s="66"/>
      <c r="AV114" s="66"/>
      <c r="AW114" s="66"/>
      <c r="AX114" s="66"/>
      <c r="AY114" s="66"/>
      <c r="AZ114" s="66"/>
      <c r="BA114" s="37"/>
      <c r="BB114" s="37"/>
    </row>
    <row r="115" spans="2:54" ht="27" outlineLevel="1">
      <c r="B115" s="6" t="s">
        <v>10</v>
      </c>
      <c r="C115" s="6" t="s">
        <v>11</v>
      </c>
      <c r="D115" s="6" t="s">
        <v>12</v>
      </c>
      <c r="E115" s="6" t="s">
        <v>13</v>
      </c>
      <c r="F115" s="6" t="s">
        <v>14</v>
      </c>
      <c r="G115" s="6" t="s">
        <v>15</v>
      </c>
      <c r="H115" s="6" t="s">
        <v>16</v>
      </c>
      <c r="I115" s="6" t="s">
        <v>17</v>
      </c>
      <c r="J115" s="6" t="s">
        <v>18</v>
      </c>
      <c r="K115" s="6" t="s">
        <v>19</v>
      </c>
      <c r="L115" s="6" t="s">
        <v>20</v>
      </c>
      <c r="M115" s="6" t="s">
        <v>21</v>
      </c>
      <c r="N115" s="6" t="s">
        <v>22</v>
      </c>
      <c r="O115" s="6" t="s">
        <v>23</v>
      </c>
      <c r="P115" s="6" t="s">
        <v>24</v>
      </c>
      <c r="Q115" s="7" t="s">
        <v>25</v>
      </c>
      <c r="R115" s="6" t="s">
        <v>26</v>
      </c>
      <c r="S115" s="6" t="s">
        <v>27</v>
      </c>
      <c r="T115" s="6" t="s">
        <v>28</v>
      </c>
      <c r="U115" s="6" t="s">
        <v>29</v>
      </c>
      <c r="V115" s="6" t="s">
        <v>30</v>
      </c>
      <c r="W115" s="6" t="s">
        <v>31</v>
      </c>
      <c r="X115" s="6" t="s">
        <v>32</v>
      </c>
      <c r="Y115" s="6" t="s">
        <v>33</v>
      </c>
      <c r="Z115" s="6" t="s">
        <v>34</v>
      </c>
      <c r="AA115" s="6" t="s">
        <v>35</v>
      </c>
      <c r="AB115" s="6" t="s">
        <v>36</v>
      </c>
      <c r="AC115" s="6" t="s">
        <v>37</v>
      </c>
      <c r="AD115" s="6" t="s">
        <v>38</v>
      </c>
      <c r="AE115" s="7" t="s">
        <v>39</v>
      </c>
      <c r="AF115" s="6" t="s">
        <v>40</v>
      </c>
      <c r="AG115" s="6" t="s">
        <v>41</v>
      </c>
      <c r="AH115" s="6" t="s">
        <v>42</v>
      </c>
      <c r="AI115" s="101" t="s">
        <v>151</v>
      </c>
      <c r="AJ115" s="6" t="s">
        <v>152</v>
      </c>
      <c r="AK115" s="6" t="s">
        <v>153</v>
      </c>
      <c r="AL115" s="6" t="s">
        <v>154</v>
      </c>
      <c r="AM115" s="6" t="s">
        <v>47</v>
      </c>
      <c r="AN115" s="8" t="s">
        <v>48</v>
      </c>
      <c r="AO115" s="8" t="s">
        <v>49</v>
      </c>
      <c r="AP115" s="8" t="s">
        <v>50</v>
      </c>
      <c r="AQ115" s="8" t="s">
        <v>51</v>
      </c>
      <c r="AR115" s="8" t="s">
        <v>309</v>
      </c>
      <c r="AT115" s="6">
        <v>2017</v>
      </c>
      <c r="AU115" s="6">
        <v>2018</v>
      </c>
      <c r="AV115" s="6">
        <v>2019</v>
      </c>
      <c r="AW115" s="6">
        <v>2020</v>
      </c>
      <c r="AX115" s="6">
        <v>2021</v>
      </c>
      <c r="AY115" s="6">
        <v>2022</v>
      </c>
      <c r="AZ115" s="101" t="s">
        <v>97</v>
      </c>
      <c r="BA115" s="6">
        <v>2024</v>
      </c>
      <c r="BB115" s="7">
        <v>2025</v>
      </c>
    </row>
    <row r="116" spans="2:54" ht="13.5" outlineLevel="1">
      <c r="B116" s="10" t="s">
        <v>155</v>
      </c>
      <c r="C116" s="10" t="s">
        <v>71</v>
      </c>
      <c r="D116" s="71"/>
      <c r="E116" s="71"/>
      <c r="F116" s="71"/>
      <c r="G116" s="71"/>
      <c r="H116" s="71">
        <f t="shared" ref="H116:AM116" si="90">SUM(H117,H129)+H128</f>
        <v>1881.5553196701494</v>
      </c>
      <c r="I116" s="71">
        <f t="shared" si="90"/>
        <v>1950.5</v>
      </c>
      <c r="J116" s="71">
        <f t="shared" si="90"/>
        <v>2143.0200000000004</v>
      </c>
      <c r="K116" s="71">
        <f t="shared" si="90"/>
        <v>2336.1480000000001</v>
      </c>
      <c r="L116" s="71">
        <f t="shared" si="90"/>
        <v>2450.4940000000001</v>
      </c>
      <c r="M116" s="71">
        <f t="shared" si="90"/>
        <v>4758.8999999999996</v>
      </c>
      <c r="N116" s="71">
        <f t="shared" si="90"/>
        <v>4635.777</v>
      </c>
      <c r="O116" s="71">
        <f t="shared" si="90"/>
        <v>4876.674</v>
      </c>
      <c r="P116" s="71">
        <f t="shared" si="90"/>
        <v>5978.7510000000002</v>
      </c>
      <c r="Q116" s="71">
        <f t="shared" si="90"/>
        <v>6087.9420000000009</v>
      </c>
      <c r="R116" s="71">
        <f t="shared" si="90"/>
        <v>10896.094000000001</v>
      </c>
      <c r="S116" s="71">
        <f t="shared" si="90"/>
        <v>12425.23</v>
      </c>
      <c r="T116" s="71">
        <f t="shared" si="90"/>
        <v>12798.02</v>
      </c>
      <c r="U116" s="71">
        <f t="shared" si="90"/>
        <v>13248.764999999999</v>
      </c>
      <c r="V116" s="71">
        <f t="shared" si="90"/>
        <v>13152.761</v>
      </c>
      <c r="W116" s="71">
        <f t="shared" si="90"/>
        <v>13518.976999999999</v>
      </c>
      <c r="X116" s="71">
        <f t="shared" si="90"/>
        <v>13794.698</v>
      </c>
      <c r="Y116" s="71">
        <f t="shared" si="90"/>
        <v>17305.813999999998</v>
      </c>
      <c r="Z116" s="71">
        <f t="shared" si="90"/>
        <v>17404.288</v>
      </c>
      <c r="AA116" s="71">
        <f t="shared" si="90"/>
        <v>21360.055</v>
      </c>
      <c r="AB116" s="71">
        <f t="shared" si="90"/>
        <v>72662.411000000007</v>
      </c>
      <c r="AC116" s="71">
        <f t="shared" si="90"/>
        <v>71950.629000000015</v>
      </c>
      <c r="AD116" s="71">
        <f t="shared" si="90"/>
        <v>71127.962</v>
      </c>
      <c r="AE116" s="71">
        <f t="shared" si="90"/>
        <v>73213.731</v>
      </c>
      <c r="AF116" s="71">
        <f t="shared" si="90"/>
        <v>73393.976999999999</v>
      </c>
      <c r="AG116" s="71">
        <f t="shared" si="90"/>
        <v>75034.385999999999</v>
      </c>
      <c r="AH116" s="71">
        <f t="shared" si="90"/>
        <v>74771.862999999998</v>
      </c>
      <c r="AI116" s="71">
        <f>SUM(AI117,AI129)+AI128</f>
        <v>75146.371000000014</v>
      </c>
      <c r="AJ116" s="71">
        <f t="shared" si="90"/>
        <v>74660.251000000004</v>
      </c>
      <c r="AK116" s="71">
        <f t="shared" si="90"/>
        <v>75740.252000000008</v>
      </c>
      <c r="AL116" s="71">
        <f t="shared" si="90"/>
        <v>75251.782999999996</v>
      </c>
      <c r="AM116" s="71">
        <f t="shared" si="90"/>
        <v>75475.19</v>
      </c>
      <c r="AN116" s="71">
        <f>SUM(AN117,AN129)+AN128</f>
        <v>76306.421999999991</v>
      </c>
      <c r="AO116" s="71">
        <f>SUM(AO117,AO129)+AO128</f>
        <v>76306.186999999991</v>
      </c>
      <c r="AP116" s="71">
        <f>SUM(AP117,AP129)+AP128</f>
        <v>76403.558000000005</v>
      </c>
      <c r="AQ116" s="71">
        <f>SUM(AQ117,AQ129)+AQ128</f>
        <v>74101.687000000005</v>
      </c>
      <c r="AR116" s="71">
        <f>SUM(AR117,AR129)+AR128</f>
        <v>74807.005999999994</v>
      </c>
      <c r="AS116" s="37"/>
      <c r="AT116" s="71">
        <f t="shared" ref="AT116:AY116" si="91">SUM(AT117,AT129)</f>
        <v>2336.1480000000001</v>
      </c>
      <c r="AU116" s="71">
        <f t="shared" si="91"/>
        <v>4876.674</v>
      </c>
      <c r="AV116" s="71">
        <f t="shared" si="91"/>
        <v>12425.23</v>
      </c>
      <c r="AW116" s="71">
        <f t="shared" si="91"/>
        <v>13518.976999999999</v>
      </c>
      <c r="AX116" s="71">
        <f t="shared" si="91"/>
        <v>21360.055</v>
      </c>
      <c r="AY116" s="71">
        <f t="shared" si="91"/>
        <v>73213.731</v>
      </c>
      <c r="AZ116" s="71">
        <f>SUM(AZ117,AZ129)+AZ128</f>
        <v>75161.251000000004</v>
      </c>
      <c r="BA116" s="71">
        <f>SUM(BA117,BA129)+BA128</f>
        <v>75475.19</v>
      </c>
      <c r="BB116" s="71">
        <f>SUM(BB117,BB129)+BB128</f>
        <v>74101.687000000005</v>
      </c>
    </row>
    <row r="117" spans="2:54" ht="13.5" outlineLevel="1">
      <c r="B117" s="56" t="s">
        <v>156</v>
      </c>
      <c r="C117" s="10" t="s">
        <v>71</v>
      </c>
      <c r="D117" s="57"/>
      <c r="E117" s="57"/>
      <c r="F117" s="57"/>
      <c r="G117" s="57"/>
      <c r="H117" s="57">
        <f t="shared" ref="H117:AM117" si="92">SUM(H118:H127)</f>
        <v>1115.7090000000001</v>
      </c>
      <c r="I117" s="57">
        <f t="shared" si="92"/>
        <v>1042.7</v>
      </c>
      <c r="J117" s="57">
        <f t="shared" si="92"/>
        <v>1131.9040000000002</v>
      </c>
      <c r="K117" s="57">
        <f t="shared" si="92"/>
        <v>1238.9780000000001</v>
      </c>
      <c r="L117" s="57">
        <f t="shared" si="92"/>
        <v>1249.9190000000001</v>
      </c>
      <c r="M117" s="57">
        <f t="shared" si="92"/>
        <v>1138.5999999999999</v>
      </c>
      <c r="N117" s="57">
        <f t="shared" si="92"/>
        <v>1096.297</v>
      </c>
      <c r="O117" s="57">
        <f t="shared" si="92"/>
        <v>1275.954</v>
      </c>
      <c r="P117" s="57">
        <f t="shared" si="92"/>
        <v>1227.3130000000001</v>
      </c>
      <c r="Q117" s="57">
        <f t="shared" si="92"/>
        <v>1926.2580000000003</v>
      </c>
      <c r="R117" s="57">
        <f t="shared" si="92"/>
        <v>1934.2089999999994</v>
      </c>
      <c r="S117" s="57">
        <f t="shared" si="92"/>
        <v>2217.7539999999999</v>
      </c>
      <c r="T117" s="57">
        <f t="shared" si="92"/>
        <v>2754.239</v>
      </c>
      <c r="U117" s="57">
        <f t="shared" si="92"/>
        <v>3280.3759999999997</v>
      </c>
      <c r="V117" s="57">
        <f t="shared" si="92"/>
        <v>3432.4979999999996</v>
      </c>
      <c r="W117" s="57">
        <f t="shared" si="92"/>
        <v>3502.0909999999999</v>
      </c>
      <c r="X117" s="57">
        <f t="shared" si="92"/>
        <v>3689.2380000000003</v>
      </c>
      <c r="Y117" s="57">
        <f t="shared" si="92"/>
        <v>3749.0819999999999</v>
      </c>
      <c r="Z117" s="57">
        <f t="shared" si="92"/>
        <v>3710.5129999999999</v>
      </c>
      <c r="AA117" s="57">
        <f t="shared" si="92"/>
        <v>3318.1910000000003</v>
      </c>
      <c r="AB117" s="57">
        <f t="shared" si="92"/>
        <v>7795.0700000000006</v>
      </c>
      <c r="AC117" s="57">
        <f t="shared" si="92"/>
        <v>7167.5740000000005</v>
      </c>
      <c r="AD117" s="57">
        <f t="shared" si="92"/>
        <v>6945.76</v>
      </c>
      <c r="AE117" s="57">
        <f t="shared" si="92"/>
        <v>7931.9029999999993</v>
      </c>
      <c r="AF117" s="57">
        <f t="shared" si="92"/>
        <v>7600.619999999999</v>
      </c>
      <c r="AG117" s="57">
        <f t="shared" si="92"/>
        <v>9118.7119999999995</v>
      </c>
      <c r="AH117" s="57">
        <f t="shared" si="92"/>
        <v>8910.6899999999987</v>
      </c>
      <c r="AI117" s="57">
        <f>SUM(AI118:AI127)</f>
        <v>10420.867</v>
      </c>
      <c r="AJ117" s="57">
        <f t="shared" si="92"/>
        <v>10443.057000000003</v>
      </c>
      <c r="AK117" s="57">
        <f t="shared" si="92"/>
        <v>11432.968999999999</v>
      </c>
      <c r="AL117" s="57">
        <f t="shared" si="92"/>
        <v>10957.679</v>
      </c>
      <c r="AM117" s="57">
        <f t="shared" si="92"/>
        <v>12514.144</v>
      </c>
      <c r="AN117" s="57">
        <f>SUM(AN118:AN127)</f>
        <v>13578.108</v>
      </c>
      <c r="AO117" s="57">
        <f>SUM(AO118:AO127)</f>
        <v>13725.543</v>
      </c>
      <c r="AP117" s="57">
        <f>SUM(AP118:AP127)</f>
        <v>13836.080947999999</v>
      </c>
      <c r="AQ117" s="57">
        <f>SUM(AQ118:AQ127)</f>
        <v>12252.701000000001</v>
      </c>
      <c r="AR117" s="57">
        <f>SUM(AR118:AR127)</f>
        <v>13039.921</v>
      </c>
      <c r="AS117" s="37"/>
      <c r="AT117" s="57">
        <f t="shared" ref="AT117:AY117" si="93">SUM(AT118:AT128)</f>
        <v>1238.9780000000001</v>
      </c>
      <c r="AU117" s="57">
        <f t="shared" si="93"/>
        <v>1275.954</v>
      </c>
      <c r="AV117" s="57">
        <f t="shared" si="93"/>
        <v>2217.7539999999999</v>
      </c>
      <c r="AW117" s="57">
        <f t="shared" si="93"/>
        <v>3502.0909999999999</v>
      </c>
      <c r="AX117" s="57">
        <f t="shared" si="93"/>
        <v>3318.1910000000003</v>
      </c>
      <c r="AY117" s="57">
        <f t="shared" si="93"/>
        <v>7931.9029999999993</v>
      </c>
      <c r="AZ117" s="57">
        <f>SUM(AZ118:AZ128)</f>
        <v>10435.746999999999</v>
      </c>
      <c r="BA117" s="57">
        <f>SUM(BA118:BA128)</f>
        <v>12514.144</v>
      </c>
      <c r="BB117" s="57">
        <f>SUM(BB118:BB128)</f>
        <v>12252.701000000001</v>
      </c>
    </row>
    <row r="118" spans="2:54" outlineLevel="2">
      <c r="B118" s="18" t="s">
        <v>157</v>
      </c>
      <c r="C118" s="1" t="s">
        <v>71</v>
      </c>
      <c r="D118" s="53"/>
      <c r="E118" s="53"/>
      <c r="F118" s="53"/>
      <c r="G118" s="53"/>
      <c r="H118" s="53">
        <v>71.391000000000005</v>
      </c>
      <c r="I118" s="72">
        <v>56.2</v>
      </c>
      <c r="J118" s="72">
        <v>62.487000000000002</v>
      </c>
      <c r="K118" s="53">
        <v>104.209</v>
      </c>
      <c r="L118" s="53">
        <v>347.75</v>
      </c>
      <c r="M118" s="53">
        <v>113</v>
      </c>
      <c r="N118" s="53">
        <v>89.153999999999996</v>
      </c>
      <c r="O118" s="53">
        <v>185.48400000000001</v>
      </c>
      <c r="P118" s="53">
        <v>143.035</v>
      </c>
      <c r="Q118" s="53">
        <v>142.95099999999999</v>
      </c>
      <c r="R118" s="53">
        <v>169.62</v>
      </c>
      <c r="S118" s="53">
        <v>224.22900000000001</v>
      </c>
      <c r="T118" s="53">
        <v>497.971</v>
      </c>
      <c r="U118" s="53">
        <v>206.93100000000001</v>
      </c>
      <c r="V118" s="53">
        <v>172.18700000000001</v>
      </c>
      <c r="W118" s="53">
        <v>143.21199999999999</v>
      </c>
      <c r="X118" s="53">
        <v>175.81899999999999</v>
      </c>
      <c r="Y118" s="53">
        <v>226.61600000000001</v>
      </c>
      <c r="Z118" s="53">
        <v>506.142</v>
      </c>
      <c r="AA118" s="53">
        <v>347.25599999999997</v>
      </c>
      <c r="AB118" s="53">
        <v>1016.801</v>
      </c>
      <c r="AC118" s="53">
        <v>593.35799999999995</v>
      </c>
      <c r="AD118" s="53">
        <v>568.70699999999999</v>
      </c>
      <c r="AE118" s="53">
        <v>1267.915</v>
      </c>
      <c r="AF118" s="53">
        <v>364.24299999999999</v>
      </c>
      <c r="AG118" s="53">
        <v>547.96199999999999</v>
      </c>
      <c r="AH118" s="53">
        <v>639.66300000000001</v>
      </c>
      <c r="AI118" s="53">
        <v>1430.144</v>
      </c>
      <c r="AJ118" s="53">
        <v>826.58199999999999</v>
      </c>
      <c r="AK118" s="53">
        <v>419.68200000000002</v>
      </c>
      <c r="AL118" s="53">
        <v>488.839</v>
      </c>
      <c r="AM118" s="53">
        <v>596.75300000000004</v>
      </c>
      <c r="AN118" s="53">
        <v>495.03399999999999</v>
      </c>
      <c r="AO118" s="53">
        <v>610.20600000000002</v>
      </c>
      <c r="AP118" s="53">
        <v>670.74800000000005</v>
      </c>
      <c r="AQ118" s="53">
        <v>875.44399999999996</v>
      </c>
      <c r="AR118" s="53">
        <v>919.12699999999995</v>
      </c>
      <c r="AS118" s="37"/>
      <c r="AT118" s="53">
        <f t="shared" ref="AT118:AT126" si="94">K118</f>
        <v>104.209</v>
      </c>
      <c r="AU118" s="53">
        <f t="shared" ref="AU118:AU126" si="95">O118</f>
        <v>185.48400000000001</v>
      </c>
      <c r="AV118" s="53">
        <f t="shared" ref="AV118:AV126" si="96">S118</f>
        <v>224.22900000000001</v>
      </c>
      <c r="AW118" s="53">
        <f t="shared" ref="AW118:AW126" si="97">W118</f>
        <v>143.21199999999999</v>
      </c>
      <c r="AX118" s="53">
        <f t="shared" ref="AX118:AX126" si="98">AA118</f>
        <v>347.25599999999997</v>
      </c>
      <c r="AY118" s="53">
        <f t="shared" ref="AY118:AY126" si="99">AE118</f>
        <v>1267.915</v>
      </c>
      <c r="AZ118" s="53">
        <f>AI118</f>
        <v>1430.144</v>
      </c>
      <c r="BA118" s="53">
        <f>AM118</f>
        <v>596.75300000000004</v>
      </c>
      <c r="BB118" s="53">
        <f t="shared" ref="BB118:BB128" si="100">AQ118</f>
        <v>875.44399999999996</v>
      </c>
    </row>
    <row r="119" spans="2:54" outlineLevel="2" collapsed="1">
      <c r="B119" s="18" t="s">
        <v>158</v>
      </c>
      <c r="C119" s="1" t="s">
        <v>71</v>
      </c>
      <c r="D119" s="53"/>
      <c r="E119" s="53"/>
      <c r="F119" s="53"/>
      <c r="G119" s="53"/>
      <c r="H119" s="73">
        <v>830.29700000000003</v>
      </c>
      <c r="I119" s="53">
        <v>717.1</v>
      </c>
      <c r="J119" s="72">
        <v>767.27700000000004</v>
      </c>
      <c r="K119" s="53">
        <v>802.81399999999996</v>
      </c>
      <c r="L119" s="53">
        <v>572.82299999999998</v>
      </c>
      <c r="M119" s="53">
        <v>671.9</v>
      </c>
      <c r="N119" s="53">
        <v>619.96100000000001</v>
      </c>
      <c r="O119" s="53">
        <v>702.36300000000006</v>
      </c>
      <c r="P119" s="53">
        <v>639.81700000000001</v>
      </c>
      <c r="Q119" s="53">
        <v>1093.973</v>
      </c>
      <c r="R119" s="53">
        <v>1151.5889999999999</v>
      </c>
      <c r="S119" s="53">
        <v>1180.4179999999999</v>
      </c>
      <c r="T119" s="53">
        <v>1390.9639999999999</v>
      </c>
      <c r="U119" s="53">
        <v>2157.6109999999999</v>
      </c>
      <c r="V119" s="53">
        <v>2396.1759999999999</v>
      </c>
      <c r="W119" s="53">
        <v>2334.12</v>
      </c>
      <c r="X119" s="53">
        <v>2362.1590000000001</v>
      </c>
      <c r="Y119" s="53">
        <v>2270.857</v>
      </c>
      <c r="Z119" s="53">
        <v>2028.356</v>
      </c>
      <c r="AA119" s="53">
        <v>1720.0239999999999</v>
      </c>
      <c r="AB119" s="53">
        <v>3336.8180000000002</v>
      </c>
      <c r="AC119" s="53">
        <v>3528.0390000000002</v>
      </c>
      <c r="AD119" s="53">
        <v>3269.011</v>
      </c>
      <c r="AE119" s="53">
        <v>3331.741</v>
      </c>
      <c r="AF119" s="53">
        <v>4049.4879999999998</v>
      </c>
      <c r="AG119" s="53">
        <v>5187.7529999999997</v>
      </c>
      <c r="AH119" s="53">
        <v>4780.442</v>
      </c>
      <c r="AI119" s="53">
        <v>5573.4790000000003</v>
      </c>
      <c r="AJ119" s="53">
        <v>6116.7740000000003</v>
      </c>
      <c r="AK119" s="53">
        <v>7371.94</v>
      </c>
      <c r="AL119" s="53">
        <v>6915.3090000000002</v>
      </c>
      <c r="AM119" s="53">
        <v>8177.6220000000003</v>
      </c>
      <c r="AN119" s="53">
        <v>8983.1180000000004</v>
      </c>
      <c r="AO119" s="53">
        <v>8931.58</v>
      </c>
      <c r="AP119" s="53">
        <v>8841.4279999999999</v>
      </c>
      <c r="AQ119" s="53">
        <v>6987.9780000000001</v>
      </c>
      <c r="AR119" s="53">
        <v>7411.26</v>
      </c>
      <c r="AS119" s="37"/>
      <c r="AT119" s="53">
        <f t="shared" si="94"/>
        <v>802.81399999999996</v>
      </c>
      <c r="AU119" s="53">
        <f t="shared" si="95"/>
        <v>702.36300000000006</v>
      </c>
      <c r="AV119" s="53">
        <f t="shared" si="96"/>
        <v>1180.4179999999999</v>
      </c>
      <c r="AW119" s="53">
        <f t="shared" si="97"/>
        <v>2334.12</v>
      </c>
      <c r="AX119" s="53">
        <f t="shared" si="98"/>
        <v>1720.0239999999999</v>
      </c>
      <c r="AY119" s="53">
        <f t="shared" si="99"/>
        <v>3331.741</v>
      </c>
      <c r="AZ119" s="53">
        <f t="shared" ref="AZ119:AZ128" si="101">AI119</f>
        <v>5573.4790000000003</v>
      </c>
      <c r="BA119" s="53">
        <f t="shared" ref="BA119:BA128" si="102">AM119</f>
        <v>8177.6220000000003</v>
      </c>
      <c r="BB119" s="53">
        <f t="shared" si="100"/>
        <v>6987.9780000000001</v>
      </c>
    </row>
    <row r="120" spans="2:54" outlineLevel="2">
      <c r="B120" s="18" t="s">
        <v>159</v>
      </c>
      <c r="C120" s="1" t="s">
        <v>71</v>
      </c>
      <c r="D120" s="53"/>
      <c r="E120" s="53"/>
      <c r="F120" s="53"/>
      <c r="G120" s="53"/>
      <c r="H120" s="53">
        <v>51.832000000000001</v>
      </c>
      <c r="I120" s="53">
        <v>90.8</v>
      </c>
      <c r="J120" s="72">
        <v>120</v>
      </c>
      <c r="K120" s="53">
        <v>143.048</v>
      </c>
      <c r="L120" s="53">
        <v>120.2</v>
      </c>
      <c r="M120" s="53">
        <v>133.19999999999999</v>
      </c>
      <c r="N120" s="53">
        <v>153.69999999999999</v>
      </c>
      <c r="O120" s="53">
        <v>152.74700000000001</v>
      </c>
      <c r="P120" s="53">
        <v>167.571</v>
      </c>
      <c r="Q120" s="53">
        <v>173.709</v>
      </c>
      <c r="R120" s="53">
        <v>146.12899999999999</v>
      </c>
      <c r="S120" s="53">
        <v>296.98700000000002</v>
      </c>
      <c r="T120" s="53">
        <v>358.75299999999999</v>
      </c>
      <c r="U120" s="53">
        <v>327.33999999999997</v>
      </c>
      <c r="V120" s="53">
        <v>314.77199999999999</v>
      </c>
      <c r="W120" s="53">
        <v>433.42599999999999</v>
      </c>
      <c r="X120" s="53">
        <v>487.72699999999998</v>
      </c>
      <c r="Y120" s="53">
        <v>496.60199999999998</v>
      </c>
      <c r="Z120" s="53">
        <v>424.15699999999998</v>
      </c>
      <c r="AA120" s="53">
        <v>474.30399999999997</v>
      </c>
      <c r="AB120" s="53">
        <v>1269.537</v>
      </c>
      <c r="AC120" s="53">
        <v>1311.4290000000001</v>
      </c>
      <c r="AD120" s="53">
        <v>1307.971</v>
      </c>
      <c r="AE120" s="53">
        <v>1480.8009999999999</v>
      </c>
      <c r="AF120" s="53">
        <v>1377.825</v>
      </c>
      <c r="AG120" s="53">
        <v>1457.511</v>
      </c>
      <c r="AH120" s="53">
        <v>1554.326</v>
      </c>
      <c r="AI120" s="53">
        <v>1560.9269999999999</v>
      </c>
      <c r="AJ120" s="53">
        <v>1694.058</v>
      </c>
      <c r="AK120" s="53">
        <v>1718.6790000000001</v>
      </c>
      <c r="AL120" s="53">
        <v>1708.1120000000001</v>
      </c>
      <c r="AM120" s="53">
        <v>1676.3440000000001</v>
      </c>
      <c r="AN120" s="53">
        <v>1804.9069999999999</v>
      </c>
      <c r="AO120" s="53">
        <v>1884.913</v>
      </c>
      <c r="AP120" s="53">
        <v>1943.424</v>
      </c>
      <c r="AQ120" s="53">
        <v>1899.3040000000001</v>
      </c>
      <c r="AR120" s="53">
        <v>2058.8380000000002</v>
      </c>
      <c r="AS120" s="37"/>
      <c r="AT120" s="53">
        <f t="shared" si="94"/>
        <v>143.048</v>
      </c>
      <c r="AU120" s="53">
        <f t="shared" si="95"/>
        <v>152.74700000000001</v>
      </c>
      <c r="AV120" s="53">
        <f t="shared" si="96"/>
        <v>296.98700000000002</v>
      </c>
      <c r="AW120" s="53">
        <f t="shared" si="97"/>
        <v>433.42599999999999</v>
      </c>
      <c r="AX120" s="53">
        <f t="shared" si="98"/>
        <v>474.30399999999997</v>
      </c>
      <c r="AY120" s="53">
        <f t="shared" si="99"/>
        <v>1480.8009999999999</v>
      </c>
      <c r="AZ120" s="53">
        <f t="shared" si="101"/>
        <v>1560.9269999999999</v>
      </c>
      <c r="BA120" s="53">
        <f t="shared" si="102"/>
        <v>1676.3440000000001</v>
      </c>
      <c r="BB120" s="53">
        <f t="shared" si="100"/>
        <v>1899.3040000000001</v>
      </c>
    </row>
    <row r="121" spans="2:54" outlineLevel="2">
      <c r="B121" s="18" t="s">
        <v>160</v>
      </c>
      <c r="C121" s="1" t="s">
        <v>71</v>
      </c>
      <c r="D121" s="53"/>
      <c r="E121" s="53"/>
      <c r="F121" s="53"/>
      <c r="G121" s="53"/>
      <c r="H121" s="53">
        <v>13.805999999999999</v>
      </c>
      <c r="I121" s="53">
        <v>14.2</v>
      </c>
      <c r="J121" s="72">
        <v>14.666</v>
      </c>
      <c r="K121" s="53">
        <v>14.226000000000001</v>
      </c>
      <c r="L121" s="53">
        <v>12.553000000000001</v>
      </c>
      <c r="M121" s="53">
        <v>14.9</v>
      </c>
      <c r="N121" s="53">
        <v>12.407</v>
      </c>
      <c r="O121" s="53">
        <v>19.187000000000001</v>
      </c>
      <c r="P121" s="53">
        <v>17.748999999999999</v>
      </c>
      <c r="Q121" s="53">
        <v>20.271000000000001</v>
      </c>
      <c r="R121" s="53">
        <v>21.050999999999998</v>
      </c>
      <c r="S121" s="53">
        <v>72.703999999999994</v>
      </c>
      <c r="T121" s="53">
        <v>85.957999999999998</v>
      </c>
      <c r="U121" s="53">
        <v>127.94</v>
      </c>
      <c r="V121" s="53">
        <v>108.65</v>
      </c>
      <c r="W121" s="53">
        <v>101.67700000000001</v>
      </c>
      <c r="X121" s="53">
        <v>135.57</v>
      </c>
      <c r="Y121" s="53">
        <v>143.98699999999999</v>
      </c>
      <c r="Z121" s="53">
        <v>141.27799999999999</v>
      </c>
      <c r="AA121" s="53">
        <v>156.93299999999999</v>
      </c>
      <c r="AB121" s="53">
        <v>300.315</v>
      </c>
      <c r="AC121" s="53">
        <v>328.68299999999999</v>
      </c>
      <c r="AD121" s="53">
        <v>286.13299999999998</v>
      </c>
      <c r="AE121" s="53">
        <v>280.76</v>
      </c>
      <c r="AF121" s="53">
        <v>264.15300000000002</v>
      </c>
      <c r="AG121" s="53">
        <v>285.36900000000003</v>
      </c>
      <c r="AH121" s="53">
        <v>286.01600000000002</v>
      </c>
      <c r="AI121" s="53">
        <v>318.60500000000002</v>
      </c>
      <c r="AJ121" s="53">
        <v>332.31599999999997</v>
      </c>
      <c r="AK121" s="53">
        <v>403.93900000000002</v>
      </c>
      <c r="AL121" s="53">
        <v>389.51799999999997</v>
      </c>
      <c r="AM121" s="53">
        <v>366.428</v>
      </c>
      <c r="AN121" s="53">
        <v>385.34300000000002</v>
      </c>
      <c r="AO121" s="53">
        <v>418.25900000000001</v>
      </c>
      <c r="AP121" s="53">
        <v>357.05599999999998</v>
      </c>
      <c r="AQ121" s="53">
        <v>362.798</v>
      </c>
      <c r="AR121" s="53">
        <v>447.54300000000001</v>
      </c>
      <c r="AS121" s="37"/>
      <c r="AT121" s="53">
        <f t="shared" si="94"/>
        <v>14.226000000000001</v>
      </c>
      <c r="AU121" s="53">
        <f t="shared" si="95"/>
        <v>19.187000000000001</v>
      </c>
      <c r="AV121" s="53">
        <f t="shared" si="96"/>
        <v>72.703999999999994</v>
      </c>
      <c r="AW121" s="53">
        <f t="shared" si="97"/>
        <v>101.67700000000001</v>
      </c>
      <c r="AX121" s="53">
        <f t="shared" si="98"/>
        <v>156.93299999999999</v>
      </c>
      <c r="AY121" s="53">
        <f t="shared" si="99"/>
        <v>280.76</v>
      </c>
      <c r="AZ121" s="53">
        <f t="shared" si="101"/>
        <v>318.60500000000002</v>
      </c>
      <c r="BA121" s="53">
        <f t="shared" si="102"/>
        <v>366.428</v>
      </c>
      <c r="BB121" s="53">
        <f t="shared" si="100"/>
        <v>362.798</v>
      </c>
    </row>
    <row r="122" spans="2:54" outlineLevel="2">
      <c r="B122" s="18" t="s">
        <v>161</v>
      </c>
      <c r="C122" s="1" t="s">
        <v>71</v>
      </c>
      <c r="D122" s="53"/>
      <c r="E122" s="53"/>
      <c r="F122" s="53"/>
      <c r="G122" s="53"/>
      <c r="H122" s="53">
        <v>15.821</v>
      </c>
      <c r="I122" s="53">
        <v>16.399999999999999</v>
      </c>
      <c r="J122" s="72">
        <v>20.395</v>
      </c>
      <c r="K122" s="53">
        <v>26.504999999999999</v>
      </c>
      <c r="L122" s="53">
        <v>21.588999999999999</v>
      </c>
      <c r="M122" s="53">
        <v>23.3</v>
      </c>
      <c r="N122" s="53">
        <v>35.935000000000002</v>
      </c>
      <c r="O122" s="53">
        <v>65.287000000000006</v>
      </c>
      <c r="P122" s="53">
        <v>68.602000000000004</v>
      </c>
      <c r="Q122" s="53">
        <v>83.122</v>
      </c>
      <c r="R122" s="53">
        <v>82.581999999999994</v>
      </c>
      <c r="S122" s="53">
        <v>160.483</v>
      </c>
      <c r="T122" s="53">
        <v>167.65899999999999</v>
      </c>
      <c r="U122" s="53">
        <v>176.10300000000001</v>
      </c>
      <c r="V122" s="53">
        <v>183.21100000000001</v>
      </c>
      <c r="W122" s="53">
        <v>184.10499999999999</v>
      </c>
      <c r="X122" s="53">
        <v>194.15</v>
      </c>
      <c r="Y122" s="53">
        <v>208.12100000000001</v>
      </c>
      <c r="Z122" s="53">
        <v>201.988</v>
      </c>
      <c r="AA122" s="53">
        <v>237.87299999999999</v>
      </c>
      <c r="AB122" s="53">
        <v>483.28699999999998</v>
      </c>
      <c r="AC122" s="53">
        <v>552.41700000000003</v>
      </c>
      <c r="AD122" s="53">
        <v>653.327</v>
      </c>
      <c r="AE122" s="53">
        <v>708.11400000000003</v>
      </c>
      <c r="AF122" s="53">
        <v>737.70899999999995</v>
      </c>
      <c r="AG122" s="53">
        <v>768.74199999999996</v>
      </c>
      <c r="AH122" s="53">
        <v>856.93200000000002</v>
      </c>
      <c r="AI122" s="53">
        <v>809.62800000000004</v>
      </c>
      <c r="AJ122" s="53">
        <v>805.48400000000004</v>
      </c>
      <c r="AK122" s="53">
        <v>788.596</v>
      </c>
      <c r="AL122" s="53">
        <v>813.82400000000007</v>
      </c>
      <c r="AM122" s="53">
        <v>1002.4109999999999</v>
      </c>
      <c r="AN122" s="53">
        <v>1227.5719999999999</v>
      </c>
      <c r="AO122" s="53">
        <v>1185.0219999999999</v>
      </c>
      <c r="AP122" s="53">
        <v>1256.9269999999999</v>
      </c>
      <c r="AQ122" s="53">
        <v>1281.6579999999999</v>
      </c>
      <c r="AR122" s="53">
        <v>1235.9760000000001</v>
      </c>
      <c r="AS122" s="37"/>
      <c r="AT122" s="53">
        <f t="shared" si="94"/>
        <v>26.504999999999999</v>
      </c>
      <c r="AU122" s="53">
        <f t="shared" si="95"/>
        <v>65.287000000000006</v>
      </c>
      <c r="AV122" s="53">
        <f t="shared" si="96"/>
        <v>160.483</v>
      </c>
      <c r="AW122" s="53">
        <f t="shared" si="97"/>
        <v>184.10499999999999</v>
      </c>
      <c r="AX122" s="53">
        <f t="shared" si="98"/>
        <v>237.87299999999999</v>
      </c>
      <c r="AY122" s="53">
        <f t="shared" si="99"/>
        <v>708.11400000000003</v>
      </c>
      <c r="AZ122" s="53">
        <f t="shared" si="101"/>
        <v>809.62800000000004</v>
      </c>
      <c r="BA122" s="53">
        <f t="shared" si="102"/>
        <v>1002.4109999999999</v>
      </c>
      <c r="BB122" s="53">
        <f t="shared" si="100"/>
        <v>1281.6579999999999</v>
      </c>
    </row>
    <row r="123" spans="2:54" outlineLevel="2">
      <c r="B123" s="18" t="s">
        <v>162</v>
      </c>
      <c r="C123" s="1" t="s">
        <v>71</v>
      </c>
      <c r="D123" s="53"/>
      <c r="E123" s="53"/>
      <c r="F123" s="53"/>
      <c r="G123" s="53"/>
      <c r="H123" s="53">
        <v>0</v>
      </c>
      <c r="I123" s="53">
        <v>0</v>
      </c>
      <c r="J123" s="72">
        <v>0</v>
      </c>
      <c r="K123" s="53">
        <v>0</v>
      </c>
      <c r="L123" s="53">
        <v>0</v>
      </c>
      <c r="M123" s="53">
        <v>0</v>
      </c>
      <c r="N123" s="53">
        <v>0</v>
      </c>
      <c r="O123" s="53">
        <v>0</v>
      </c>
      <c r="P123" s="53">
        <v>0</v>
      </c>
      <c r="Q123" s="53">
        <v>0</v>
      </c>
      <c r="R123" s="53">
        <v>0</v>
      </c>
      <c r="S123" s="53">
        <v>0</v>
      </c>
      <c r="T123" s="53">
        <v>0</v>
      </c>
      <c r="U123" s="53">
        <v>0</v>
      </c>
      <c r="V123" s="53">
        <v>0</v>
      </c>
      <c r="W123" s="53">
        <v>2E-3</v>
      </c>
      <c r="X123" s="53">
        <v>0</v>
      </c>
      <c r="Y123" s="53">
        <v>0</v>
      </c>
      <c r="Z123" s="53">
        <v>0</v>
      </c>
      <c r="AA123" s="53">
        <v>0</v>
      </c>
      <c r="AB123" s="53">
        <v>0</v>
      </c>
      <c r="AC123" s="53">
        <v>0</v>
      </c>
      <c r="AD123" s="53">
        <v>0</v>
      </c>
      <c r="AE123" s="53">
        <v>0</v>
      </c>
      <c r="AF123" s="53">
        <v>0</v>
      </c>
      <c r="AG123" s="53">
        <v>3.3010000000000002</v>
      </c>
      <c r="AH123" s="53">
        <v>0</v>
      </c>
      <c r="AI123" s="53">
        <v>0</v>
      </c>
      <c r="AJ123" s="53">
        <v>0</v>
      </c>
      <c r="AK123" s="53">
        <v>0</v>
      </c>
      <c r="AL123" s="53">
        <v>0</v>
      </c>
      <c r="AM123" s="53">
        <v>0</v>
      </c>
      <c r="AN123" s="53">
        <v>0</v>
      </c>
      <c r="AO123" s="53">
        <v>0</v>
      </c>
      <c r="AP123" s="53">
        <v>0</v>
      </c>
      <c r="AQ123" s="53">
        <v>0</v>
      </c>
      <c r="AR123" s="53">
        <v>0</v>
      </c>
      <c r="AS123" s="37"/>
      <c r="AT123" s="53">
        <f t="shared" si="94"/>
        <v>0</v>
      </c>
      <c r="AU123" s="53">
        <f t="shared" si="95"/>
        <v>0</v>
      </c>
      <c r="AV123" s="53">
        <f t="shared" si="96"/>
        <v>0</v>
      </c>
      <c r="AW123" s="53">
        <f t="shared" si="97"/>
        <v>2E-3</v>
      </c>
      <c r="AX123" s="53">
        <f t="shared" si="98"/>
        <v>0</v>
      </c>
      <c r="AY123" s="53">
        <f t="shared" si="99"/>
        <v>0</v>
      </c>
      <c r="AZ123" s="53">
        <f t="shared" si="101"/>
        <v>0</v>
      </c>
      <c r="BA123" s="53">
        <f t="shared" si="102"/>
        <v>0</v>
      </c>
      <c r="BB123" s="53">
        <f t="shared" si="100"/>
        <v>0</v>
      </c>
    </row>
    <row r="124" spans="2:54" outlineLevel="2">
      <c r="B124" s="18" t="s">
        <v>163</v>
      </c>
      <c r="C124" s="1" t="s">
        <v>71</v>
      </c>
      <c r="D124" s="53"/>
      <c r="E124" s="53"/>
      <c r="F124" s="53"/>
      <c r="G124" s="53"/>
      <c r="H124" s="53">
        <v>0</v>
      </c>
      <c r="I124" s="53">
        <v>0</v>
      </c>
      <c r="J124" s="72">
        <v>0</v>
      </c>
      <c r="K124" s="53">
        <v>0</v>
      </c>
      <c r="L124" s="53">
        <v>0</v>
      </c>
      <c r="M124" s="53">
        <v>0</v>
      </c>
      <c r="N124" s="53">
        <v>0</v>
      </c>
      <c r="O124" s="53">
        <v>0</v>
      </c>
      <c r="P124" s="53">
        <v>0</v>
      </c>
      <c r="Q124" s="53">
        <v>0</v>
      </c>
      <c r="R124" s="53">
        <v>0</v>
      </c>
      <c r="S124" s="53">
        <v>0</v>
      </c>
      <c r="T124" s="53">
        <v>3.5659999999999998</v>
      </c>
      <c r="U124" s="53">
        <v>4.2089999999999996</v>
      </c>
      <c r="V124" s="53">
        <v>4.66</v>
      </c>
      <c r="W124" s="53">
        <v>3.5870000000000002</v>
      </c>
      <c r="X124" s="53">
        <v>8.7739999999999991</v>
      </c>
      <c r="Y124" s="53">
        <v>5.8920000000000003</v>
      </c>
      <c r="Z124" s="53">
        <v>7.65</v>
      </c>
      <c r="AA124" s="53">
        <v>7.7530000000000001</v>
      </c>
      <c r="AB124" s="53">
        <v>0</v>
      </c>
      <c r="AC124" s="53">
        <v>0</v>
      </c>
      <c r="AD124" s="53">
        <v>0.77400000000000002</v>
      </c>
      <c r="AE124" s="53">
        <v>0</v>
      </c>
      <c r="AF124" s="53">
        <v>0</v>
      </c>
      <c r="AG124" s="53">
        <v>69.805999999999997</v>
      </c>
      <c r="AH124" s="53">
        <v>16.015000000000001</v>
      </c>
      <c r="AI124" s="53">
        <v>0</v>
      </c>
      <c r="AJ124" s="53">
        <v>0</v>
      </c>
      <c r="AK124" s="53">
        <v>0</v>
      </c>
      <c r="AL124" s="53">
        <v>0</v>
      </c>
      <c r="AM124" s="53">
        <v>0</v>
      </c>
      <c r="AN124" s="53">
        <v>0</v>
      </c>
      <c r="AO124" s="53">
        <v>0</v>
      </c>
      <c r="AP124" s="53">
        <v>0</v>
      </c>
      <c r="AQ124" s="53">
        <v>0</v>
      </c>
      <c r="AR124" s="53">
        <v>0</v>
      </c>
      <c r="AS124" s="37"/>
      <c r="AT124" s="53">
        <f t="shared" si="94"/>
        <v>0</v>
      </c>
      <c r="AU124" s="53">
        <f t="shared" si="95"/>
        <v>0</v>
      </c>
      <c r="AV124" s="53">
        <f t="shared" si="96"/>
        <v>0</v>
      </c>
      <c r="AW124" s="53">
        <f t="shared" si="97"/>
        <v>3.5870000000000002</v>
      </c>
      <c r="AX124" s="53">
        <f t="shared" si="98"/>
        <v>7.7530000000000001</v>
      </c>
      <c r="AY124" s="53">
        <f t="shared" si="99"/>
        <v>0</v>
      </c>
      <c r="AZ124" s="53">
        <f t="shared" si="101"/>
        <v>0</v>
      </c>
      <c r="BA124" s="53">
        <f>AM124</f>
        <v>0</v>
      </c>
      <c r="BB124" s="53">
        <f t="shared" si="100"/>
        <v>0</v>
      </c>
    </row>
    <row r="125" spans="2:54" outlineLevel="2">
      <c r="B125" s="18" t="s">
        <v>164</v>
      </c>
      <c r="C125" s="1" t="s">
        <v>71</v>
      </c>
      <c r="D125" s="53"/>
      <c r="E125" s="53"/>
      <c r="F125" s="53"/>
      <c r="G125" s="53"/>
      <c r="H125" s="53">
        <v>25.646000000000001</v>
      </c>
      <c r="I125" s="53">
        <v>32.4</v>
      </c>
      <c r="J125" s="72">
        <v>30.106000000000002</v>
      </c>
      <c r="K125" s="53">
        <v>26.21</v>
      </c>
      <c r="L125" s="53">
        <v>28.745999999999999</v>
      </c>
      <c r="M125" s="53">
        <v>29.7</v>
      </c>
      <c r="N125" s="53">
        <v>27.646000000000001</v>
      </c>
      <c r="O125" s="53">
        <v>10.695</v>
      </c>
      <c r="P125" s="53">
        <v>0</v>
      </c>
      <c r="Q125" s="53">
        <v>0</v>
      </c>
      <c r="R125" s="53">
        <v>0</v>
      </c>
      <c r="S125" s="53">
        <v>0</v>
      </c>
      <c r="T125" s="53">
        <v>0</v>
      </c>
      <c r="U125" s="53">
        <v>0</v>
      </c>
      <c r="V125" s="53">
        <v>0</v>
      </c>
      <c r="W125" s="53">
        <v>0</v>
      </c>
      <c r="X125" s="53">
        <v>0</v>
      </c>
      <c r="Y125" s="53">
        <v>0</v>
      </c>
      <c r="Z125" s="53">
        <v>0</v>
      </c>
      <c r="AA125" s="53">
        <v>0</v>
      </c>
      <c r="AB125" s="53">
        <v>0</v>
      </c>
      <c r="AC125" s="53">
        <v>0</v>
      </c>
      <c r="AD125" s="53">
        <v>0</v>
      </c>
      <c r="AE125" s="53">
        <v>0</v>
      </c>
      <c r="AF125" s="53">
        <v>0</v>
      </c>
      <c r="AG125" s="53">
        <v>0</v>
      </c>
      <c r="AH125" s="53">
        <v>0</v>
      </c>
      <c r="AI125" s="53">
        <v>0</v>
      </c>
      <c r="AJ125" s="53">
        <v>0</v>
      </c>
      <c r="AK125" s="53">
        <v>0</v>
      </c>
      <c r="AL125" s="53">
        <v>0</v>
      </c>
      <c r="AM125" s="53">
        <v>0</v>
      </c>
      <c r="AN125" s="53">
        <v>0</v>
      </c>
      <c r="AO125" s="53">
        <v>0</v>
      </c>
      <c r="AP125" s="53">
        <v>0</v>
      </c>
      <c r="AQ125" s="53">
        <v>0</v>
      </c>
      <c r="AR125" s="53">
        <v>0</v>
      </c>
      <c r="AS125" s="37"/>
      <c r="AT125" s="53">
        <f t="shared" si="94"/>
        <v>26.21</v>
      </c>
      <c r="AU125" s="53">
        <f t="shared" si="95"/>
        <v>10.695</v>
      </c>
      <c r="AV125" s="53">
        <f t="shared" si="96"/>
        <v>0</v>
      </c>
      <c r="AW125" s="53">
        <f t="shared" si="97"/>
        <v>0</v>
      </c>
      <c r="AX125" s="53">
        <f t="shared" si="98"/>
        <v>0</v>
      </c>
      <c r="AY125" s="53">
        <f t="shared" si="99"/>
        <v>0</v>
      </c>
      <c r="AZ125" s="53">
        <f t="shared" si="101"/>
        <v>0</v>
      </c>
      <c r="BA125" s="53">
        <f t="shared" si="102"/>
        <v>0</v>
      </c>
      <c r="BB125" s="53">
        <f t="shared" si="100"/>
        <v>0</v>
      </c>
    </row>
    <row r="126" spans="2:54" outlineLevel="2">
      <c r="B126" s="18" t="s">
        <v>165</v>
      </c>
      <c r="C126" s="1" t="s">
        <v>71</v>
      </c>
      <c r="D126" s="53"/>
      <c r="E126" s="53"/>
      <c r="F126" s="53"/>
      <c r="G126" s="53"/>
      <c r="H126" s="53">
        <v>96.897999999999996</v>
      </c>
      <c r="I126" s="53">
        <v>104.2</v>
      </c>
      <c r="J126" s="72">
        <v>103.81399999999999</v>
      </c>
      <c r="K126" s="53">
        <v>105.331</v>
      </c>
      <c r="L126" s="53">
        <v>123.875</v>
      </c>
      <c r="M126" s="53">
        <v>117.6</v>
      </c>
      <c r="N126" s="53">
        <v>123.624</v>
      </c>
      <c r="O126" s="53">
        <v>103.76600000000001</v>
      </c>
      <c r="P126" s="53">
        <v>121.949</v>
      </c>
      <c r="Q126" s="53">
        <v>104.83199999999999</v>
      </c>
      <c r="R126" s="53">
        <v>107.428</v>
      </c>
      <c r="S126" s="53">
        <v>145.16900000000001</v>
      </c>
      <c r="T126" s="53">
        <v>152.09200000000001</v>
      </c>
      <c r="U126" s="53">
        <v>152.99299999999999</v>
      </c>
      <c r="V126" s="53">
        <v>158.57300000000001</v>
      </c>
      <c r="W126" s="53">
        <v>164.929</v>
      </c>
      <c r="X126" s="53">
        <v>172.81700000000001</v>
      </c>
      <c r="Y126" s="53">
        <v>208.214</v>
      </c>
      <c r="Z126" s="53">
        <v>228.72300000000001</v>
      </c>
      <c r="AA126" s="53">
        <v>221.49600000000001</v>
      </c>
      <c r="AB126" s="53">
        <v>489.62</v>
      </c>
      <c r="AC126" s="53">
        <v>508.21</v>
      </c>
      <c r="AD126" s="53">
        <v>518.62300000000005</v>
      </c>
      <c r="AE126" s="53">
        <v>471.94</v>
      </c>
      <c r="AF126" s="53">
        <v>449.30700000000002</v>
      </c>
      <c r="AG126" s="53">
        <v>437.81599999999997</v>
      </c>
      <c r="AH126" s="53">
        <v>412.05700000000002</v>
      </c>
      <c r="AI126" s="53">
        <v>391.22800000000001</v>
      </c>
      <c r="AJ126" s="53">
        <v>355.83199999999999</v>
      </c>
      <c r="AK126" s="53">
        <v>354.30900000000003</v>
      </c>
      <c r="AL126" s="53">
        <v>361.10599999999999</v>
      </c>
      <c r="AM126" s="53">
        <v>360.46899999999999</v>
      </c>
      <c r="AN126" s="53">
        <v>361.291</v>
      </c>
      <c r="AO126" s="53">
        <v>383.56799999999998</v>
      </c>
      <c r="AP126" s="53">
        <v>388.55200000000002</v>
      </c>
      <c r="AQ126" s="53">
        <v>396.238</v>
      </c>
      <c r="AR126" s="53">
        <v>404.13099999999997</v>
      </c>
      <c r="AS126" s="37"/>
      <c r="AT126" s="53">
        <f t="shared" si="94"/>
        <v>105.331</v>
      </c>
      <c r="AU126" s="53">
        <f t="shared" si="95"/>
        <v>103.76600000000001</v>
      </c>
      <c r="AV126" s="53">
        <f t="shared" si="96"/>
        <v>145.16900000000001</v>
      </c>
      <c r="AW126" s="53">
        <f t="shared" si="97"/>
        <v>164.929</v>
      </c>
      <c r="AX126" s="53">
        <f t="shared" si="98"/>
        <v>221.49600000000001</v>
      </c>
      <c r="AY126" s="53">
        <f t="shared" si="99"/>
        <v>471.94</v>
      </c>
      <c r="AZ126" s="53">
        <f t="shared" si="101"/>
        <v>391.22800000000001</v>
      </c>
      <c r="BA126" s="53">
        <f t="shared" si="102"/>
        <v>360.46899999999999</v>
      </c>
      <c r="BB126" s="53">
        <f t="shared" si="100"/>
        <v>396.238</v>
      </c>
    </row>
    <row r="127" spans="2:54" outlineLevel="1">
      <c r="B127" s="18" t="s">
        <v>166</v>
      </c>
      <c r="C127" s="1" t="s">
        <v>71</v>
      </c>
      <c r="D127" s="53"/>
      <c r="E127" s="53"/>
      <c r="F127" s="53"/>
      <c r="G127" s="53"/>
      <c r="H127" s="53">
        <v>10.018000000000001</v>
      </c>
      <c r="I127" s="72">
        <v>11.4</v>
      </c>
      <c r="J127" s="72">
        <v>13.159000000000001</v>
      </c>
      <c r="K127" s="53">
        <v>16.635000000000002</v>
      </c>
      <c r="L127" s="53">
        <v>22.382999999999999</v>
      </c>
      <c r="M127" s="53">
        <v>35</v>
      </c>
      <c r="N127" s="53">
        <v>33.869999999999997</v>
      </c>
      <c r="O127" s="53">
        <v>36.424999999999997</v>
      </c>
      <c r="P127" s="53">
        <v>68.59</v>
      </c>
      <c r="Q127" s="53">
        <v>307.39999999999998</v>
      </c>
      <c r="R127" s="53">
        <v>255.81</v>
      </c>
      <c r="S127" s="53">
        <v>137.76400000000001</v>
      </c>
      <c r="T127" s="53">
        <v>97.275999999999996</v>
      </c>
      <c r="U127" s="53">
        <v>127.249</v>
      </c>
      <c r="V127" s="53">
        <v>94.269000000000005</v>
      </c>
      <c r="W127" s="53">
        <v>137.03299999999999</v>
      </c>
      <c r="X127" s="53">
        <v>152.22200000000001</v>
      </c>
      <c r="Y127" s="53">
        <v>188.79300000000001</v>
      </c>
      <c r="Z127" s="53">
        <v>172.21899999999999</v>
      </c>
      <c r="AA127" s="53">
        <v>152.55199999999999</v>
      </c>
      <c r="AB127" s="53">
        <v>898.69200000000001</v>
      </c>
      <c r="AC127" s="53">
        <v>345.43799999999999</v>
      </c>
      <c r="AD127" s="53">
        <v>341.214</v>
      </c>
      <c r="AE127" s="53">
        <v>390.63200000000001</v>
      </c>
      <c r="AF127" s="53">
        <v>357.89499999999998</v>
      </c>
      <c r="AG127" s="53">
        <v>360.452</v>
      </c>
      <c r="AH127" s="53">
        <v>365.23899999999998</v>
      </c>
      <c r="AI127" s="53">
        <v>336.85599999999999</v>
      </c>
      <c r="AJ127" s="53">
        <v>312.01100000000002</v>
      </c>
      <c r="AK127" s="53">
        <v>375.82400000000001</v>
      </c>
      <c r="AL127" s="53">
        <v>280.971</v>
      </c>
      <c r="AM127" s="53">
        <v>334.11700000000002</v>
      </c>
      <c r="AN127" s="53">
        <v>320.84300000000002</v>
      </c>
      <c r="AO127" s="53">
        <v>311.995</v>
      </c>
      <c r="AP127" s="53">
        <v>377.94594800000004</v>
      </c>
      <c r="AQ127" s="53">
        <v>449.28100000000001</v>
      </c>
      <c r="AR127" s="53">
        <v>563.04600000000005</v>
      </c>
      <c r="AS127" s="53"/>
      <c r="AT127" s="53">
        <f>K127</f>
        <v>16.635000000000002</v>
      </c>
      <c r="AU127" s="53">
        <f>O127</f>
        <v>36.424999999999997</v>
      </c>
      <c r="AV127" s="53">
        <f>S127</f>
        <v>137.76400000000001</v>
      </c>
      <c r="AW127" s="53">
        <f>W127</f>
        <v>137.03299999999999</v>
      </c>
      <c r="AX127" s="53">
        <f>AA127</f>
        <v>152.55199999999999</v>
      </c>
      <c r="AY127" s="53">
        <f>AE127</f>
        <v>390.63200000000001</v>
      </c>
      <c r="AZ127" s="53">
        <f>AI127</f>
        <v>336.85599999999999</v>
      </c>
      <c r="BA127" s="53">
        <f t="shared" si="102"/>
        <v>334.11700000000002</v>
      </c>
      <c r="BB127" s="53">
        <f t="shared" si="100"/>
        <v>449.28100000000001</v>
      </c>
    </row>
    <row r="128" spans="2:54" s="2" customFormat="1" ht="13.5" outlineLevel="2">
      <c r="B128" s="18" t="s">
        <v>167</v>
      </c>
      <c r="C128" s="1" t="s">
        <v>71</v>
      </c>
      <c r="D128" s="75"/>
      <c r="E128" s="75"/>
      <c r="F128" s="75"/>
      <c r="G128" s="75"/>
      <c r="H128" s="75">
        <v>0</v>
      </c>
      <c r="I128" s="75">
        <v>0</v>
      </c>
      <c r="J128" s="75">
        <v>0</v>
      </c>
      <c r="K128" s="75">
        <v>0</v>
      </c>
      <c r="L128" s="75">
        <v>0</v>
      </c>
      <c r="M128" s="75">
        <v>0</v>
      </c>
      <c r="N128" s="75">
        <v>0</v>
      </c>
      <c r="O128" s="75">
        <v>0</v>
      </c>
      <c r="P128" s="75">
        <v>0</v>
      </c>
      <c r="Q128" s="75">
        <v>0</v>
      </c>
      <c r="R128" s="75">
        <v>0</v>
      </c>
      <c r="S128" s="75">
        <v>0</v>
      </c>
      <c r="T128" s="75">
        <v>0</v>
      </c>
      <c r="U128" s="75">
        <v>0</v>
      </c>
      <c r="V128" s="75">
        <v>0</v>
      </c>
      <c r="W128" s="75">
        <v>0</v>
      </c>
      <c r="X128" s="75">
        <v>0</v>
      </c>
      <c r="Y128" s="75">
        <v>0</v>
      </c>
      <c r="Z128" s="75">
        <v>0</v>
      </c>
      <c r="AA128" s="75">
        <v>0</v>
      </c>
      <c r="AB128" s="75">
        <v>0</v>
      </c>
      <c r="AC128" s="75">
        <v>0</v>
      </c>
      <c r="AD128" s="75">
        <v>0</v>
      </c>
      <c r="AE128" s="75">
        <v>0</v>
      </c>
      <c r="AF128" s="75">
        <v>0</v>
      </c>
      <c r="AG128" s="75">
        <v>60.619</v>
      </c>
      <c r="AH128" s="75">
        <v>0.57899999999999996</v>
      </c>
      <c r="AI128" s="75">
        <v>14.88</v>
      </c>
      <c r="AJ128" s="53">
        <v>0</v>
      </c>
      <c r="AK128" s="53">
        <v>0</v>
      </c>
      <c r="AL128" s="53">
        <v>0</v>
      </c>
      <c r="AM128" s="53">
        <v>0</v>
      </c>
      <c r="AN128" s="53">
        <v>159.32599999999999</v>
      </c>
      <c r="AO128" s="53">
        <v>185.536</v>
      </c>
      <c r="AP128" s="53">
        <v>159.326052</v>
      </c>
      <c r="AQ128" s="53">
        <v>0</v>
      </c>
      <c r="AR128" s="53">
        <v>0</v>
      </c>
      <c r="AS128" s="37"/>
      <c r="AT128" s="75">
        <v>0</v>
      </c>
      <c r="AU128" s="75">
        <v>0</v>
      </c>
      <c r="AV128" s="75">
        <v>0</v>
      </c>
      <c r="AW128" s="75">
        <v>0</v>
      </c>
      <c r="AX128" s="75">
        <v>0</v>
      </c>
      <c r="AY128" s="75">
        <v>0</v>
      </c>
      <c r="AZ128" s="75">
        <f t="shared" si="101"/>
        <v>14.88</v>
      </c>
      <c r="BA128" s="53">
        <f t="shared" si="102"/>
        <v>0</v>
      </c>
      <c r="BB128" s="53">
        <f t="shared" si="100"/>
        <v>0</v>
      </c>
    </row>
    <row r="129" spans="2:55" ht="13.5" outlineLevel="2">
      <c r="B129" s="56" t="s">
        <v>168</v>
      </c>
      <c r="C129" s="10" t="s">
        <v>71</v>
      </c>
      <c r="D129" s="57"/>
      <c r="E129" s="57"/>
      <c r="F129" s="57"/>
      <c r="G129" s="57"/>
      <c r="H129" s="57">
        <f>SUM(H130:H140)</f>
        <v>765.84631967014934</v>
      </c>
      <c r="I129" s="57">
        <f>SUM(I130:I140)</f>
        <v>907.80000000000007</v>
      </c>
      <c r="J129" s="57">
        <f>SUM(J130:J140)</f>
        <v>1011.1160000000001</v>
      </c>
      <c r="K129" s="57">
        <f t="shared" ref="K129:P129" si="103">SUM(K130:K140)</f>
        <v>1097.17</v>
      </c>
      <c r="L129" s="57">
        <f t="shared" si="103"/>
        <v>1200.575</v>
      </c>
      <c r="M129" s="57">
        <f t="shared" si="103"/>
        <v>3620.2999999999997</v>
      </c>
      <c r="N129" s="57">
        <f t="shared" si="103"/>
        <v>3539.48</v>
      </c>
      <c r="O129" s="57">
        <f t="shared" si="103"/>
        <v>3600.7200000000003</v>
      </c>
      <c r="P129" s="57">
        <f t="shared" si="103"/>
        <v>4751.4380000000001</v>
      </c>
      <c r="Q129" s="57">
        <f t="shared" ref="Q129:Y129" si="104">SUM(Q130:Q140)</f>
        <v>4161.6840000000002</v>
      </c>
      <c r="R129" s="57">
        <f t="shared" si="104"/>
        <v>8961.885000000002</v>
      </c>
      <c r="S129" s="57">
        <f t="shared" si="104"/>
        <v>10207.476000000001</v>
      </c>
      <c r="T129" s="57">
        <f t="shared" si="104"/>
        <v>10043.781000000001</v>
      </c>
      <c r="U129" s="57">
        <f t="shared" si="104"/>
        <v>9968.3889999999992</v>
      </c>
      <c r="V129" s="57">
        <f t="shared" si="104"/>
        <v>9720.2630000000008</v>
      </c>
      <c r="W129" s="57">
        <f t="shared" si="104"/>
        <v>10016.885999999999</v>
      </c>
      <c r="X129" s="57">
        <f t="shared" si="104"/>
        <v>10105.459999999999</v>
      </c>
      <c r="Y129" s="57">
        <f t="shared" si="104"/>
        <v>13556.732</v>
      </c>
      <c r="Z129" s="57">
        <f t="shared" ref="Z129:AO129" si="105">SUM(Z130:Z140)</f>
        <v>13693.775000000001</v>
      </c>
      <c r="AA129" s="57">
        <f t="shared" si="105"/>
        <v>18041.864000000001</v>
      </c>
      <c r="AB129" s="57">
        <f t="shared" si="105"/>
        <v>64867.341</v>
      </c>
      <c r="AC129" s="57">
        <f t="shared" si="105"/>
        <v>64783.055000000008</v>
      </c>
      <c r="AD129" s="57">
        <f t="shared" si="105"/>
        <v>64182.202000000005</v>
      </c>
      <c r="AE129" s="57">
        <f t="shared" si="105"/>
        <v>65281.827999999994</v>
      </c>
      <c r="AF129" s="57">
        <f t="shared" si="105"/>
        <v>65793.357000000004</v>
      </c>
      <c r="AG129" s="57">
        <f t="shared" si="105"/>
        <v>65855.054999999993</v>
      </c>
      <c r="AH129" s="57">
        <f t="shared" si="105"/>
        <v>65860.593999999997</v>
      </c>
      <c r="AI129" s="57">
        <f t="shared" si="105"/>
        <v>64710.624000000003</v>
      </c>
      <c r="AJ129" s="57">
        <f t="shared" si="105"/>
        <v>64217.194000000003</v>
      </c>
      <c r="AK129" s="57">
        <f t="shared" si="105"/>
        <v>64307.283000000003</v>
      </c>
      <c r="AL129" s="57">
        <f t="shared" si="105"/>
        <v>64294.103999999999</v>
      </c>
      <c r="AM129" s="57">
        <f t="shared" si="105"/>
        <v>62961.046000000002</v>
      </c>
      <c r="AN129" s="57">
        <f t="shared" si="105"/>
        <v>62568.987999999998</v>
      </c>
      <c r="AO129" s="57">
        <f t="shared" si="105"/>
        <v>62395.108</v>
      </c>
      <c r="AP129" s="57">
        <f>SUM(AP130:AP140)</f>
        <v>62408.151000000005</v>
      </c>
      <c r="AQ129" s="57">
        <f>SUM(AQ130:AQ140)</f>
        <v>61848.986000000004</v>
      </c>
      <c r="AR129" s="57">
        <f>SUM(AR130:AR140)</f>
        <v>61767.084999999999</v>
      </c>
      <c r="AS129" s="37"/>
      <c r="AT129" s="57">
        <f t="shared" ref="AT129:BB129" si="106">SUM(AT130:AT140)</f>
        <v>1097.17</v>
      </c>
      <c r="AU129" s="57">
        <f t="shared" si="106"/>
        <v>3600.7200000000003</v>
      </c>
      <c r="AV129" s="57">
        <f t="shared" si="106"/>
        <v>10207.476000000001</v>
      </c>
      <c r="AW129" s="57">
        <f t="shared" si="106"/>
        <v>10016.885999999999</v>
      </c>
      <c r="AX129" s="57">
        <f t="shared" si="106"/>
        <v>18041.864000000001</v>
      </c>
      <c r="AY129" s="57">
        <f t="shared" si="106"/>
        <v>65281.827999999994</v>
      </c>
      <c r="AZ129" s="57">
        <f t="shared" si="106"/>
        <v>64710.624000000003</v>
      </c>
      <c r="BA129" s="57">
        <f t="shared" si="106"/>
        <v>62961.046000000002</v>
      </c>
      <c r="BB129" s="57">
        <f t="shared" si="106"/>
        <v>61848.986000000004</v>
      </c>
    </row>
    <row r="130" spans="2:55" outlineLevel="2">
      <c r="B130" s="18" t="s">
        <v>169</v>
      </c>
      <c r="C130" s="1" t="s">
        <v>71</v>
      </c>
      <c r="D130" s="53"/>
      <c r="E130" s="53"/>
      <c r="F130" s="53"/>
      <c r="G130" s="53"/>
      <c r="H130" s="53">
        <v>317.63900000000001</v>
      </c>
      <c r="I130" s="53">
        <v>405.6</v>
      </c>
      <c r="J130" s="53">
        <v>464.69600000000003</v>
      </c>
      <c r="K130" s="53">
        <v>539.31399999999996</v>
      </c>
      <c r="L130" s="53">
        <v>582.755</v>
      </c>
      <c r="M130" s="53">
        <v>2938.4</v>
      </c>
      <c r="N130" s="53">
        <v>2784.76</v>
      </c>
      <c r="O130" s="53">
        <v>2685.643</v>
      </c>
      <c r="P130" s="53">
        <v>2981.2460000000001</v>
      </c>
      <c r="Q130" s="53">
        <v>2258.4349999999999</v>
      </c>
      <c r="R130" s="53">
        <v>6924.4440000000004</v>
      </c>
      <c r="S130" s="53">
        <v>2225.5630000000001</v>
      </c>
      <c r="T130" s="53">
        <v>1916.9639999999999</v>
      </c>
      <c r="U130" s="53">
        <v>1830.8430000000001</v>
      </c>
      <c r="V130" s="53">
        <v>1592.1690000000001</v>
      </c>
      <c r="W130" s="53">
        <v>1225.2819999999999</v>
      </c>
      <c r="X130" s="53">
        <v>1213.739</v>
      </c>
      <c r="Y130" s="53">
        <v>2396.0039999999999</v>
      </c>
      <c r="Z130" s="53">
        <v>2155.3850000000002</v>
      </c>
      <c r="AA130" s="55">
        <v>5790.808</v>
      </c>
      <c r="AB130" s="53">
        <v>1279.951</v>
      </c>
      <c r="AC130" s="53">
        <v>1719.8989999999999</v>
      </c>
      <c r="AD130" s="53">
        <v>1046.4739999999999</v>
      </c>
      <c r="AE130" s="53">
        <v>1265</v>
      </c>
      <c r="AF130" s="53">
        <v>1152.1420000000001</v>
      </c>
      <c r="AG130" s="53">
        <v>1682.059</v>
      </c>
      <c r="AH130" s="53">
        <v>1704.759</v>
      </c>
      <c r="AI130" s="53">
        <v>886.27599999999995</v>
      </c>
      <c r="AJ130" s="53">
        <v>814.16</v>
      </c>
      <c r="AK130" s="53">
        <v>553.33100000000002</v>
      </c>
      <c r="AL130" s="53">
        <v>523.06399999999996</v>
      </c>
      <c r="AM130" s="53">
        <v>480.62900000000002</v>
      </c>
      <c r="AN130" s="53">
        <v>472.72199999999998</v>
      </c>
      <c r="AO130" s="53">
        <v>294.84500000000003</v>
      </c>
      <c r="AP130" s="53">
        <v>299.43299999999999</v>
      </c>
      <c r="AQ130" s="53">
        <v>321.28399999999999</v>
      </c>
      <c r="AR130" s="53">
        <v>332.28800000000001</v>
      </c>
      <c r="AS130" s="37"/>
      <c r="AT130" s="53">
        <f t="shared" ref="AT130:AT140" si="107">K130</f>
        <v>539.31399999999996</v>
      </c>
      <c r="AU130" s="53">
        <f t="shared" ref="AU130:AU140" si="108">O130</f>
        <v>2685.643</v>
      </c>
      <c r="AV130" s="53">
        <f t="shared" ref="AV130:AV140" si="109">S130</f>
        <v>2225.5630000000001</v>
      </c>
      <c r="AW130" s="53">
        <f t="shared" ref="AW130:AW140" si="110">W130</f>
        <v>1225.2819999999999</v>
      </c>
      <c r="AX130" s="55">
        <f t="shared" ref="AX130:AX140" si="111">AA130</f>
        <v>5790.808</v>
      </c>
      <c r="AY130" s="53">
        <f t="shared" ref="AY130:AY140" si="112">AE130</f>
        <v>1265</v>
      </c>
      <c r="AZ130" s="53">
        <f t="shared" ref="AZ130:AZ140" si="113">AI130</f>
        <v>886.27599999999995</v>
      </c>
      <c r="BA130" s="53">
        <f>AM130</f>
        <v>480.62900000000002</v>
      </c>
      <c r="BB130" s="53">
        <f t="shared" ref="BB130:BB140" si="114">AQ130</f>
        <v>321.28399999999999</v>
      </c>
    </row>
    <row r="131" spans="2:55" outlineLevel="2">
      <c r="B131" s="18" t="s">
        <v>170</v>
      </c>
      <c r="C131" s="1" t="s">
        <v>71</v>
      </c>
      <c r="D131" s="53"/>
      <c r="E131" s="53"/>
      <c r="F131" s="53"/>
      <c r="G131" s="53"/>
      <c r="H131" s="53">
        <v>66.183999999999997</v>
      </c>
      <c r="I131" s="53">
        <v>62.1</v>
      </c>
      <c r="J131" s="53">
        <v>65.887</v>
      </c>
      <c r="K131" s="53">
        <v>64.917000000000002</v>
      </c>
      <c r="L131" s="53">
        <v>74.8</v>
      </c>
      <c r="M131" s="53">
        <v>64.099999999999994</v>
      </c>
      <c r="N131" s="53">
        <v>82.656000000000006</v>
      </c>
      <c r="O131" s="53">
        <v>126.005</v>
      </c>
      <c r="P131" s="53">
        <v>127.32899999999999</v>
      </c>
      <c r="Q131" s="53">
        <v>153.47300000000001</v>
      </c>
      <c r="R131" s="53">
        <v>176.762</v>
      </c>
      <c r="S131" s="53">
        <v>289.48899999999998</v>
      </c>
      <c r="T131" s="53">
        <v>332.21100000000001</v>
      </c>
      <c r="U131" s="53">
        <v>397.92700000000002</v>
      </c>
      <c r="V131" s="53">
        <v>481.45499999999998</v>
      </c>
      <c r="W131" s="53">
        <v>579.50900000000001</v>
      </c>
      <c r="X131" s="53">
        <v>662.12099999999998</v>
      </c>
      <c r="Y131" s="53">
        <v>809.02200000000005</v>
      </c>
      <c r="Z131" s="53">
        <v>900.47799999999995</v>
      </c>
      <c r="AA131" s="53">
        <v>1034.4459999999999</v>
      </c>
      <c r="AB131" s="53">
        <v>1540.348</v>
      </c>
      <c r="AC131" s="53">
        <v>1784.1310000000001</v>
      </c>
      <c r="AD131" s="53">
        <v>2128.8119999999999</v>
      </c>
      <c r="AE131" s="53">
        <v>2504.8829999999998</v>
      </c>
      <c r="AF131" s="53">
        <v>2682.9589999999998</v>
      </c>
      <c r="AG131" s="53">
        <v>2966.4549999999999</v>
      </c>
      <c r="AH131" s="53">
        <v>3104.692</v>
      </c>
      <c r="AI131" s="53">
        <v>3222.4740000000002</v>
      </c>
      <c r="AJ131" s="53">
        <v>3372.3330000000001</v>
      </c>
      <c r="AK131" s="53">
        <v>3512.779</v>
      </c>
      <c r="AL131" s="53">
        <v>3736.9120000000003</v>
      </c>
      <c r="AM131" s="53">
        <v>3614.3319999999999</v>
      </c>
      <c r="AN131" s="53">
        <v>3707.4319999999998</v>
      </c>
      <c r="AO131" s="53">
        <v>3910.248</v>
      </c>
      <c r="AP131" s="53">
        <v>4023.3560000000002</v>
      </c>
      <c r="AQ131" s="53">
        <v>4159.9690000000001</v>
      </c>
      <c r="AR131" s="53">
        <v>4105.28</v>
      </c>
      <c r="AS131" s="37"/>
      <c r="AT131" s="53">
        <f t="shared" si="107"/>
        <v>64.917000000000002</v>
      </c>
      <c r="AU131" s="53">
        <f t="shared" si="108"/>
        <v>126.005</v>
      </c>
      <c r="AV131" s="53">
        <f t="shared" si="109"/>
        <v>289.48899999999998</v>
      </c>
      <c r="AW131" s="53">
        <f t="shared" si="110"/>
        <v>579.50900000000001</v>
      </c>
      <c r="AX131" s="53">
        <f t="shared" si="111"/>
        <v>1034.4459999999999</v>
      </c>
      <c r="AY131" s="53">
        <f t="shared" si="112"/>
        <v>2504.8829999999998</v>
      </c>
      <c r="AZ131" s="53">
        <f t="shared" si="113"/>
        <v>3222.4740000000002</v>
      </c>
      <c r="BA131" s="53">
        <f t="shared" ref="BA131:BA140" si="115">AM131</f>
        <v>3614.3319999999999</v>
      </c>
      <c r="BB131" s="53">
        <f t="shared" si="114"/>
        <v>4159.9690000000001</v>
      </c>
    </row>
    <row r="132" spans="2:55" s="13" customFormat="1" outlineLevel="2">
      <c r="B132" s="76" t="s">
        <v>171</v>
      </c>
      <c r="C132" s="1" t="s">
        <v>71</v>
      </c>
      <c r="D132" s="55"/>
      <c r="E132" s="55"/>
      <c r="F132" s="55"/>
      <c r="G132" s="55"/>
      <c r="H132" s="55">
        <v>0</v>
      </c>
      <c r="I132" s="55">
        <v>0</v>
      </c>
      <c r="J132" s="55">
        <v>0</v>
      </c>
      <c r="K132" s="55">
        <v>0</v>
      </c>
      <c r="L132" s="55">
        <v>0</v>
      </c>
      <c r="M132" s="55">
        <v>0</v>
      </c>
      <c r="N132" s="55">
        <v>0</v>
      </c>
      <c r="O132" s="55">
        <v>0</v>
      </c>
      <c r="P132" s="55">
        <v>0</v>
      </c>
      <c r="Q132" s="55">
        <v>0</v>
      </c>
      <c r="R132" s="55">
        <v>0</v>
      </c>
      <c r="S132" s="55">
        <v>0</v>
      </c>
      <c r="T132" s="55">
        <v>0</v>
      </c>
      <c r="U132" s="55">
        <v>0</v>
      </c>
      <c r="V132" s="55">
        <v>0</v>
      </c>
      <c r="W132" s="55">
        <v>0</v>
      </c>
      <c r="X132" s="55">
        <v>0</v>
      </c>
      <c r="Y132" s="55">
        <v>0</v>
      </c>
      <c r="Z132" s="55">
        <v>0</v>
      </c>
      <c r="AA132" s="55">
        <v>0</v>
      </c>
      <c r="AB132" s="55">
        <v>6.5289999999999999</v>
      </c>
      <c r="AC132" s="55">
        <v>0</v>
      </c>
      <c r="AD132" s="53">
        <v>0</v>
      </c>
      <c r="AE132" s="53">
        <v>0</v>
      </c>
      <c r="AF132" s="53">
        <v>0</v>
      </c>
      <c r="AG132" s="53">
        <v>0</v>
      </c>
      <c r="AH132" s="53">
        <v>0</v>
      </c>
      <c r="AI132" s="53">
        <v>0</v>
      </c>
      <c r="AJ132" s="53">
        <v>0</v>
      </c>
      <c r="AK132" s="53">
        <v>0</v>
      </c>
      <c r="AL132" s="53">
        <v>0</v>
      </c>
      <c r="AM132" s="53">
        <v>0</v>
      </c>
      <c r="AN132" s="53">
        <v>0</v>
      </c>
      <c r="AO132" s="53">
        <v>0</v>
      </c>
      <c r="AP132" s="53">
        <v>0</v>
      </c>
      <c r="AQ132" s="53">
        <v>0</v>
      </c>
      <c r="AR132" s="53">
        <v>0</v>
      </c>
      <c r="AS132" s="37"/>
      <c r="AT132" s="53">
        <f t="shared" si="107"/>
        <v>0</v>
      </c>
      <c r="AU132" s="53">
        <f t="shared" si="108"/>
        <v>0</v>
      </c>
      <c r="AV132" s="53">
        <f t="shared" si="109"/>
        <v>0</v>
      </c>
      <c r="AW132" s="53">
        <f t="shared" si="110"/>
        <v>0</v>
      </c>
      <c r="AX132" s="53">
        <f t="shared" si="111"/>
        <v>0</v>
      </c>
      <c r="AY132" s="53">
        <f t="shared" si="112"/>
        <v>0</v>
      </c>
      <c r="AZ132" s="53">
        <f t="shared" si="113"/>
        <v>0</v>
      </c>
      <c r="BA132" s="53">
        <f t="shared" si="115"/>
        <v>0</v>
      </c>
      <c r="BB132" s="53">
        <f t="shared" si="114"/>
        <v>0</v>
      </c>
    </row>
    <row r="133" spans="2:55" outlineLevel="2">
      <c r="B133" s="18" t="s">
        <v>172</v>
      </c>
      <c r="C133" s="1" t="s">
        <v>71</v>
      </c>
      <c r="D133" s="53"/>
      <c r="E133" s="53"/>
      <c r="F133" s="53"/>
      <c r="G133" s="53"/>
      <c r="H133" s="53">
        <v>39.5</v>
      </c>
      <c r="I133" s="53">
        <v>62.6</v>
      </c>
      <c r="J133" s="53">
        <v>66.087000000000003</v>
      </c>
      <c r="K133" s="53">
        <v>58.506999999999998</v>
      </c>
      <c r="L133" s="53">
        <v>65.238</v>
      </c>
      <c r="M133" s="53">
        <v>74.599999999999994</v>
      </c>
      <c r="N133" s="53">
        <v>87.923000000000002</v>
      </c>
      <c r="O133" s="53">
        <v>96.891000000000005</v>
      </c>
      <c r="P133" s="53">
        <v>101.24</v>
      </c>
      <c r="Q133" s="53">
        <v>108.215</v>
      </c>
      <c r="R133" s="53">
        <v>133.92099999999999</v>
      </c>
      <c r="S133" s="53">
        <v>187.636</v>
      </c>
      <c r="T133" s="53">
        <v>203.27500000000001</v>
      </c>
      <c r="U133" s="53">
        <v>213.75299999999999</v>
      </c>
      <c r="V133" s="53">
        <v>256.33999999999997</v>
      </c>
      <c r="W133" s="53">
        <v>246.52799999999999</v>
      </c>
      <c r="X133" s="53">
        <v>311.63900000000001</v>
      </c>
      <c r="Y133" s="53">
        <v>375.82</v>
      </c>
      <c r="Z133" s="53">
        <v>396.702</v>
      </c>
      <c r="AA133" s="53">
        <v>417.47800000000001</v>
      </c>
      <c r="AB133" s="53">
        <v>1601.211</v>
      </c>
      <c r="AC133" s="53">
        <v>1665.453</v>
      </c>
      <c r="AD133" s="53">
        <v>1726.9939999999999</v>
      </c>
      <c r="AE133" s="53">
        <v>1822.7670000000001</v>
      </c>
      <c r="AF133" s="53">
        <v>1912.039</v>
      </c>
      <c r="AG133" s="53">
        <v>2020.4760000000001</v>
      </c>
      <c r="AH133" s="53">
        <v>2145.857</v>
      </c>
      <c r="AI133" s="53">
        <v>2209.0509999999999</v>
      </c>
      <c r="AJ133" s="53">
        <v>2366.6079999999997</v>
      </c>
      <c r="AK133" s="53">
        <v>2558.4229999999998</v>
      </c>
      <c r="AL133" s="53">
        <v>2768.9229999999998</v>
      </c>
      <c r="AM133" s="53">
        <v>1211.903</v>
      </c>
      <c r="AN133" s="53">
        <v>1345.1289999999999</v>
      </c>
      <c r="AO133" s="53">
        <v>1528.508</v>
      </c>
      <c r="AP133" s="53">
        <v>1612.1659999999999</v>
      </c>
      <c r="AQ133" s="53">
        <v>1727.6559999999999</v>
      </c>
      <c r="AR133" s="53">
        <v>1860.923</v>
      </c>
      <c r="AS133" s="37"/>
      <c r="AT133" s="53">
        <f t="shared" si="107"/>
        <v>58.506999999999998</v>
      </c>
      <c r="AU133" s="53">
        <f t="shared" si="108"/>
        <v>96.891000000000005</v>
      </c>
      <c r="AV133" s="53">
        <f t="shared" si="109"/>
        <v>187.636</v>
      </c>
      <c r="AW133" s="53">
        <f t="shared" si="110"/>
        <v>246.52799999999999</v>
      </c>
      <c r="AX133" s="53">
        <f t="shared" si="111"/>
        <v>417.47800000000001</v>
      </c>
      <c r="AY133" s="53">
        <f t="shared" si="112"/>
        <v>1822.7670000000001</v>
      </c>
      <c r="AZ133" s="53">
        <f t="shared" si="113"/>
        <v>2209.0509999999999</v>
      </c>
      <c r="BA133" s="53">
        <f t="shared" si="115"/>
        <v>1211.903</v>
      </c>
      <c r="BB133" s="53">
        <f t="shared" si="114"/>
        <v>1727.6559999999999</v>
      </c>
    </row>
    <row r="134" spans="2:55" outlineLevel="2">
      <c r="B134" s="18" t="s">
        <v>165</v>
      </c>
      <c r="C134" s="1" t="s">
        <v>71</v>
      </c>
      <c r="D134" s="53"/>
      <c r="E134" s="53"/>
      <c r="F134" s="53"/>
      <c r="G134" s="53"/>
      <c r="H134" s="53">
        <v>84.095319670149294</v>
      </c>
      <c r="I134" s="53">
        <v>89.8</v>
      </c>
      <c r="J134" s="53">
        <v>85.474999999999994</v>
      </c>
      <c r="K134" s="53">
        <v>88.522999999999996</v>
      </c>
      <c r="L134" s="53">
        <v>88.704999999999998</v>
      </c>
      <c r="M134" s="53">
        <v>90.9</v>
      </c>
      <c r="N134" s="53">
        <v>87.789000000000001</v>
      </c>
      <c r="O134" s="53">
        <v>121.624</v>
      </c>
      <c r="P134" s="53">
        <v>102.05500000000001</v>
      </c>
      <c r="Q134" s="53">
        <v>120.321</v>
      </c>
      <c r="R134" s="53">
        <v>124.001</v>
      </c>
      <c r="S134" s="53">
        <v>127.505</v>
      </c>
      <c r="T134" s="53">
        <v>135.786</v>
      </c>
      <c r="U134" s="53">
        <v>134.81899999999999</v>
      </c>
      <c r="V134" s="53">
        <v>137.547</v>
      </c>
      <c r="W134" s="53">
        <v>142.22900000000001</v>
      </c>
      <c r="X134" s="53">
        <v>160.542</v>
      </c>
      <c r="Y134" s="53">
        <v>170.66900000000001</v>
      </c>
      <c r="Z134" s="53">
        <v>179.05600000000001</v>
      </c>
      <c r="AA134" s="53">
        <v>172.02500000000001</v>
      </c>
      <c r="AB134" s="53">
        <v>396.97699999999998</v>
      </c>
      <c r="AC134" s="53">
        <v>421.44099999999997</v>
      </c>
      <c r="AD134" s="53">
        <v>434.07299999999998</v>
      </c>
      <c r="AE134" s="53">
        <v>510.21199999999999</v>
      </c>
      <c r="AF134" s="53">
        <v>546.95100000000002</v>
      </c>
      <c r="AG134" s="53">
        <v>582.16300000000001</v>
      </c>
      <c r="AH134" s="53">
        <v>578.89200000000005</v>
      </c>
      <c r="AI134" s="53">
        <v>587.49299999999994</v>
      </c>
      <c r="AJ134" s="53">
        <v>584.60500000000002</v>
      </c>
      <c r="AK134" s="53">
        <v>596.11500000000001</v>
      </c>
      <c r="AL134" s="53">
        <v>611.53599999999994</v>
      </c>
      <c r="AM134" s="53">
        <v>625.58500000000004</v>
      </c>
      <c r="AN134" s="53">
        <v>629.85199999999998</v>
      </c>
      <c r="AO134" s="53">
        <v>647.50599999999997</v>
      </c>
      <c r="AP134" s="53">
        <v>658.21100000000001</v>
      </c>
      <c r="AQ134" s="53">
        <v>648.25599999999997</v>
      </c>
      <c r="AR134" s="53">
        <v>640.58799999999997</v>
      </c>
      <c r="AS134" s="37"/>
      <c r="AT134" s="53">
        <f t="shared" si="107"/>
        <v>88.522999999999996</v>
      </c>
      <c r="AU134" s="53">
        <f t="shared" si="108"/>
        <v>121.624</v>
      </c>
      <c r="AV134" s="53">
        <f t="shared" si="109"/>
        <v>127.505</v>
      </c>
      <c r="AW134" s="53">
        <f t="shared" si="110"/>
        <v>142.22900000000001</v>
      </c>
      <c r="AX134" s="53">
        <f t="shared" si="111"/>
        <v>172.02500000000001</v>
      </c>
      <c r="AY134" s="53">
        <f t="shared" si="112"/>
        <v>510.21199999999999</v>
      </c>
      <c r="AZ134" s="53">
        <f t="shared" si="113"/>
        <v>587.49299999999994</v>
      </c>
      <c r="BA134" s="53">
        <f t="shared" si="115"/>
        <v>625.58500000000004</v>
      </c>
      <c r="BB134" s="53">
        <f t="shared" si="114"/>
        <v>648.25599999999997</v>
      </c>
    </row>
    <row r="135" spans="2:55" outlineLevel="2">
      <c r="B135" s="18" t="s">
        <v>173</v>
      </c>
      <c r="C135" s="1" t="s">
        <v>71</v>
      </c>
      <c r="D135" s="53"/>
      <c r="E135" s="53"/>
      <c r="F135" s="53"/>
      <c r="G135" s="53"/>
      <c r="H135" s="53">
        <v>2.214</v>
      </c>
      <c r="I135" s="53">
        <v>3.2</v>
      </c>
      <c r="J135" s="53">
        <v>3.3660000000000001</v>
      </c>
      <c r="K135" s="53">
        <v>9.1820000000000004</v>
      </c>
      <c r="L135" s="53">
        <v>9.0120000000000005</v>
      </c>
      <c r="M135" s="53">
        <v>3.4</v>
      </c>
      <c r="N135" s="53">
        <v>3.3359999999999999</v>
      </c>
      <c r="O135" s="53">
        <v>3.3370000000000002</v>
      </c>
      <c r="P135" s="53">
        <v>3.3319999999999999</v>
      </c>
      <c r="Q135" s="53">
        <v>3.3330000000000002</v>
      </c>
      <c r="R135" s="53">
        <v>3.415</v>
      </c>
      <c r="S135" s="53">
        <v>8.1349999999999998</v>
      </c>
      <c r="T135" s="53">
        <v>3.5760000000000001</v>
      </c>
      <c r="U135" s="53">
        <v>3.4289999999999998</v>
      </c>
      <c r="V135" s="53">
        <v>3.427</v>
      </c>
      <c r="W135" s="53">
        <v>3.448</v>
      </c>
      <c r="X135" s="53">
        <v>3.4489999999999998</v>
      </c>
      <c r="Y135" s="53">
        <v>3.4609999999999999</v>
      </c>
      <c r="Z135" s="53">
        <v>3.5760000000000001</v>
      </c>
      <c r="AA135" s="53">
        <v>3.5249999999999999</v>
      </c>
      <c r="AB135" s="53">
        <v>3.67</v>
      </c>
      <c r="AC135" s="53">
        <v>3.5249999999999999</v>
      </c>
      <c r="AD135" s="53">
        <v>3.52</v>
      </c>
      <c r="AE135" s="53">
        <v>3.4980000000000002</v>
      </c>
      <c r="AF135" s="53">
        <v>3.4740000000000002</v>
      </c>
      <c r="AG135" s="53">
        <v>7.3279999999999994</v>
      </c>
      <c r="AH135" s="53">
        <v>3.4749999999999996</v>
      </c>
      <c r="AI135" s="53">
        <v>5.2190000000000003</v>
      </c>
      <c r="AJ135" s="53">
        <v>3.1709999999999998</v>
      </c>
      <c r="AK135" s="53">
        <v>3.2890000000000001</v>
      </c>
      <c r="AL135" s="53">
        <v>3.2890000000000001</v>
      </c>
      <c r="AM135" s="53">
        <v>3.246</v>
      </c>
      <c r="AN135" s="53">
        <v>3.246</v>
      </c>
      <c r="AO135" s="53">
        <v>3.2519999999999998</v>
      </c>
      <c r="AP135" s="53">
        <v>1.99</v>
      </c>
      <c r="AQ135" s="53">
        <v>1.9870000000000001</v>
      </c>
      <c r="AR135" s="53">
        <v>2.1509999999999998</v>
      </c>
      <c r="AS135" s="37"/>
      <c r="AT135" s="53">
        <f t="shared" si="107"/>
        <v>9.1820000000000004</v>
      </c>
      <c r="AU135" s="53">
        <f t="shared" si="108"/>
        <v>3.3370000000000002</v>
      </c>
      <c r="AV135" s="53">
        <f t="shared" si="109"/>
        <v>8.1349999999999998</v>
      </c>
      <c r="AW135" s="53">
        <f t="shared" si="110"/>
        <v>3.448</v>
      </c>
      <c r="AX135" s="53">
        <f t="shared" si="111"/>
        <v>3.5249999999999999</v>
      </c>
      <c r="AY135" s="53">
        <f t="shared" si="112"/>
        <v>3.4980000000000002</v>
      </c>
      <c r="AZ135" s="53">
        <f t="shared" si="113"/>
        <v>5.2190000000000003</v>
      </c>
      <c r="BA135" s="53">
        <f t="shared" si="115"/>
        <v>3.246</v>
      </c>
      <c r="BB135" s="53">
        <f t="shared" si="114"/>
        <v>1.9870000000000001</v>
      </c>
    </row>
    <row r="136" spans="2:55" outlineLevel="2">
      <c r="B136" s="18" t="s">
        <v>163</v>
      </c>
      <c r="C136" s="1" t="s">
        <v>71</v>
      </c>
      <c r="D136" s="53"/>
      <c r="E136" s="53"/>
      <c r="F136" s="53"/>
      <c r="G136" s="53"/>
      <c r="H136" s="53"/>
      <c r="I136" s="53"/>
      <c r="J136" s="53"/>
      <c r="K136" s="53"/>
      <c r="L136" s="53"/>
      <c r="M136" s="53"/>
      <c r="N136" s="53"/>
      <c r="O136" s="53"/>
      <c r="P136" s="53"/>
      <c r="Q136" s="53"/>
      <c r="R136" s="53"/>
      <c r="S136" s="53">
        <v>2</v>
      </c>
      <c r="T136" s="53">
        <v>8.8019999999999996</v>
      </c>
      <c r="U136" s="53">
        <v>10.673</v>
      </c>
      <c r="V136" s="53">
        <v>12.959</v>
      </c>
      <c r="W136" s="53">
        <v>10.959</v>
      </c>
      <c r="X136" s="53">
        <v>0</v>
      </c>
      <c r="Y136" s="53">
        <v>0</v>
      </c>
      <c r="Z136" s="53">
        <v>0</v>
      </c>
      <c r="AA136" s="53">
        <v>0</v>
      </c>
      <c r="AB136" s="53">
        <v>5.3999999999999999E-2</v>
      </c>
      <c r="AC136" s="53">
        <v>0.26600000000000001</v>
      </c>
      <c r="AD136" s="53">
        <v>8.1000000000000003E-2</v>
      </c>
      <c r="AE136" s="22">
        <v>0</v>
      </c>
      <c r="AF136" s="27">
        <v>3.73</v>
      </c>
      <c r="AG136" s="27">
        <v>0.221</v>
      </c>
      <c r="AH136" s="22">
        <v>0</v>
      </c>
      <c r="AI136" s="53">
        <v>0.77200000000000002</v>
      </c>
      <c r="AJ136" s="53">
        <v>0</v>
      </c>
      <c r="AK136" s="53">
        <v>12.154</v>
      </c>
      <c r="AL136" s="53">
        <v>0</v>
      </c>
      <c r="AM136" s="53">
        <v>12.579000000000001</v>
      </c>
      <c r="AN136" s="53">
        <v>2.56</v>
      </c>
      <c r="AO136" s="53">
        <v>0</v>
      </c>
      <c r="AP136" s="53">
        <v>0</v>
      </c>
      <c r="AQ136" s="53">
        <v>0</v>
      </c>
      <c r="AR136" s="53">
        <v>0</v>
      </c>
      <c r="AS136" s="37"/>
      <c r="AT136" s="53">
        <f t="shared" si="107"/>
        <v>0</v>
      </c>
      <c r="AU136" s="53">
        <f t="shared" si="108"/>
        <v>0</v>
      </c>
      <c r="AV136" s="53">
        <f t="shared" si="109"/>
        <v>2</v>
      </c>
      <c r="AW136" s="53">
        <f t="shared" si="110"/>
        <v>10.959</v>
      </c>
      <c r="AX136" s="53">
        <f t="shared" si="111"/>
        <v>0</v>
      </c>
      <c r="AY136" s="53">
        <f t="shared" si="112"/>
        <v>0</v>
      </c>
      <c r="AZ136" s="53">
        <f t="shared" si="113"/>
        <v>0.77200000000000002</v>
      </c>
      <c r="BA136" s="53">
        <f t="shared" si="115"/>
        <v>12.579000000000001</v>
      </c>
      <c r="BB136" s="53">
        <f t="shared" si="114"/>
        <v>0</v>
      </c>
    </row>
    <row r="137" spans="2:55" outlineLevel="2">
      <c r="B137" s="18" t="s">
        <v>166</v>
      </c>
      <c r="C137" s="1" t="s">
        <v>71</v>
      </c>
      <c r="D137" s="53"/>
      <c r="E137" s="53"/>
      <c r="F137" s="53"/>
      <c r="G137" s="53"/>
      <c r="H137" s="53">
        <v>0.14699999999999999</v>
      </c>
      <c r="I137" s="53">
        <v>0.1</v>
      </c>
      <c r="J137" s="53">
        <v>0.152</v>
      </c>
      <c r="K137" s="53">
        <v>0.14699999999999999</v>
      </c>
      <c r="L137" s="53">
        <v>0.216</v>
      </c>
      <c r="M137" s="53">
        <v>2.1</v>
      </c>
      <c r="N137" s="53">
        <v>1.7989999999999999</v>
      </c>
      <c r="O137" s="53">
        <v>37.597999999999999</v>
      </c>
      <c r="P137" s="53">
        <v>38.454000000000001</v>
      </c>
      <c r="Q137" s="53">
        <v>38.372</v>
      </c>
      <c r="R137" s="53">
        <v>38.741999999999997</v>
      </c>
      <c r="S137" s="53">
        <v>45.881</v>
      </c>
      <c r="T137" s="53">
        <v>45.887999999999998</v>
      </c>
      <c r="U137" s="53">
        <v>45.823</v>
      </c>
      <c r="V137" s="53">
        <v>44.665999999999997</v>
      </c>
      <c r="W137" s="53">
        <v>45.837000000000003</v>
      </c>
      <c r="X137" s="53">
        <v>46.853000000000002</v>
      </c>
      <c r="Y137" s="53">
        <v>59.28</v>
      </c>
      <c r="Z137" s="53">
        <v>40.119</v>
      </c>
      <c r="AA137" s="53">
        <v>56.137999999999998</v>
      </c>
      <c r="AB137" s="53">
        <v>867.84299999999996</v>
      </c>
      <c r="AC137" s="53">
        <v>134.83000000000001</v>
      </c>
      <c r="AD137" s="53">
        <v>136.411</v>
      </c>
      <c r="AE137" s="53">
        <v>113.62</v>
      </c>
      <c r="AF137" s="53">
        <v>116.82599999999999</v>
      </c>
      <c r="AG137" s="53">
        <v>124.39700000000001</v>
      </c>
      <c r="AH137" s="53">
        <v>114.083</v>
      </c>
      <c r="AI137" s="53">
        <v>77.268000000000001</v>
      </c>
      <c r="AJ137" s="53">
        <v>74.759</v>
      </c>
      <c r="AK137" s="53">
        <v>81.373999999999995</v>
      </c>
      <c r="AL137" s="53">
        <v>124.119</v>
      </c>
      <c r="AM137" s="53">
        <v>96.027000000000001</v>
      </c>
      <c r="AN137" s="53">
        <v>87.834999999999994</v>
      </c>
      <c r="AO137" s="53">
        <v>81.516999999999996</v>
      </c>
      <c r="AP137" s="53">
        <v>153.989</v>
      </c>
      <c r="AQ137" s="53">
        <v>163.125</v>
      </c>
      <c r="AR137" s="53">
        <v>181.108</v>
      </c>
      <c r="AS137" s="37"/>
      <c r="AT137" s="53">
        <f t="shared" si="107"/>
        <v>0.14699999999999999</v>
      </c>
      <c r="AU137" s="53">
        <f t="shared" si="108"/>
        <v>37.597999999999999</v>
      </c>
      <c r="AV137" s="53">
        <f t="shared" si="109"/>
        <v>45.881</v>
      </c>
      <c r="AW137" s="53">
        <f t="shared" si="110"/>
        <v>45.837000000000003</v>
      </c>
      <c r="AX137" s="53">
        <f t="shared" si="111"/>
        <v>56.137999999999998</v>
      </c>
      <c r="AY137" s="53">
        <f t="shared" si="112"/>
        <v>113.62</v>
      </c>
      <c r="AZ137" s="53">
        <f t="shared" si="113"/>
        <v>77.268000000000001</v>
      </c>
      <c r="BA137" s="53">
        <f t="shared" si="115"/>
        <v>96.027000000000001</v>
      </c>
      <c r="BB137" s="53">
        <f t="shared" si="114"/>
        <v>163.125</v>
      </c>
    </row>
    <row r="138" spans="2:55" outlineLevel="2">
      <c r="B138" s="18" t="s">
        <v>174</v>
      </c>
      <c r="C138" s="1" t="s">
        <v>71</v>
      </c>
      <c r="D138" s="53"/>
      <c r="E138" s="53"/>
      <c r="F138" s="53"/>
      <c r="G138" s="53"/>
      <c r="H138" s="53">
        <v>0</v>
      </c>
      <c r="I138" s="53">
        <v>0</v>
      </c>
      <c r="J138" s="53">
        <v>0</v>
      </c>
      <c r="K138" s="53">
        <v>0</v>
      </c>
      <c r="L138" s="53">
        <v>0</v>
      </c>
      <c r="M138" s="53">
        <v>0</v>
      </c>
      <c r="N138" s="53">
        <v>0</v>
      </c>
      <c r="O138" s="53">
        <v>0</v>
      </c>
      <c r="P138" s="53">
        <v>0</v>
      </c>
      <c r="Q138" s="53">
        <v>0</v>
      </c>
      <c r="R138" s="53">
        <v>0</v>
      </c>
      <c r="S138" s="53">
        <v>0</v>
      </c>
      <c r="T138" s="53">
        <v>0</v>
      </c>
      <c r="U138" s="53">
        <v>0</v>
      </c>
      <c r="V138" s="53">
        <v>0</v>
      </c>
      <c r="W138" s="53">
        <v>0</v>
      </c>
      <c r="X138" s="53">
        <v>0</v>
      </c>
      <c r="Y138" s="53">
        <v>0</v>
      </c>
      <c r="Z138" s="53">
        <v>0</v>
      </c>
      <c r="AA138" s="53">
        <v>0</v>
      </c>
      <c r="AB138" s="53">
        <v>7.452</v>
      </c>
      <c r="AC138" s="53">
        <v>8.0540000000000003</v>
      </c>
      <c r="AD138" s="53">
        <v>6.7859999999999996</v>
      </c>
      <c r="AE138" s="53">
        <v>6.367</v>
      </c>
      <c r="AF138" s="53">
        <v>6.3680000000000003</v>
      </c>
      <c r="AG138" s="53">
        <v>6.4139999999999997</v>
      </c>
      <c r="AH138" s="53">
        <v>6.4359999999999999</v>
      </c>
      <c r="AI138" s="53">
        <v>5.5179999999999998</v>
      </c>
      <c r="AJ138" s="53">
        <v>7.7350000000000003</v>
      </c>
      <c r="AK138" s="53">
        <v>4.7279999999999998</v>
      </c>
      <c r="AL138" s="53">
        <v>4.9409999999999998</v>
      </c>
      <c r="AM138" s="53">
        <v>5.7960000000000003</v>
      </c>
      <c r="AN138" s="53">
        <v>5.952</v>
      </c>
      <c r="AO138" s="53">
        <v>5.952</v>
      </c>
      <c r="AP138" s="53">
        <v>5.9530000000000003</v>
      </c>
      <c r="AQ138" s="53">
        <v>5.9530000000000003</v>
      </c>
      <c r="AR138" s="53">
        <v>5.9560000000000004</v>
      </c>
      <c r="AS138" s="37"/>
      <c r="AT138" s="53">
        <f t="shared" si="107"/>
        <v>0</v>
      </c>
      <c r="AU138" s="53">
        <f t="shared" si="108"/>
        <v>0</v>
      </c>
      <c r="AV138" s="53">
        <f t="shared" si="109"/>
        <v>0</v>
      </c>
      <c r="AW138" s="53">
        <f t="shared" si="110"/>
        <v>0</v>
      </c>
      <c r="AX138" s="53">
        <f t="shared" si="111"/>
        <v>0</v>
      </c>
      <c r="AY138" s="53">
        <f t="shared" si="112"/>
        <v>6.367</v>
      </c>
      <c r="AZ138" s="53">
        <f t="shared" si="113"/>
        <v>5.5179999999999998</v>
      </c>
      <c r="BA138" s="53">
        <f t="shared" si="115"/>
        <v>5.7960000000000003</v>
      </c>
      <c r="BB138" s="53">
        <f t="shared" si="114"/>
        <v>5.9530000000000003</v>
      </c>
    </row>
    <row r="139" spans="2:55" outlineLevel="2">
      <c r="B139" s="18" t="s">
        <v>175</v>
      </c>
      <c r="C139" s="1" t="s">
        <v>71</v>
      </c>
      <c r="D139" s="53"/>
      <c r="E139" s="53"/>
      <c r="F139" s="53"/>
      <c r="G139" s="53"/>
      <c r="H139" s="53">
        <v>235.16</v>
      </c>
      <c r="I139" s="53">
        <v>261.5</v>
      </c>
      <c r="J139" s="53">
        <v>283.113</v>
      </c>
      <c r="K139" s="53">
        <v>290.62200000000001</v>
      </c>
      <c r="L139" s="53">
        <v>331.18599999999998</v>
      </c>
      <c r="M139" s="53">
        <v>361.6</v>
      </c>
      <c r="N139" s="53">
        <v>395.66800000000001</v>
      </c>
      <c r="O139" s="53">
        <v>414.52800000000002</v>
      </c>
      <c r="P139" s="53">
        <v>1256.855</v>
      </c>
      <c r="Q139" s="53">
        <v>1344.3030000000001</v>
      </c>
      <c r="R139" s="53">
        <v>1382.0340000000001</v>
      </c>
      <c r="S139" s="53">
        <v>1987.5550000000001</v>
      </c>
      <c r="T139" s="53">
        <v>2107.1610000000001</v>
      </c>
      <c r="U139" s="53">
        <v>2146.5169999999998</v>
      </c>
      <c r="V139" s="53">
        <v>2195.0839999999998</v>
      </c>
      <c r="W139" s="53">
        <v>2249.7150000000001</v>
      </c>
      <c r="X139" s="53">
        <v>2280.511</v>
      </c>
      <c r="Y139" s="53">
        <v>2449.7289999999998</v>
      </c>
      <c r="Z139" s="53">
        <v>2603.5320000000002</v>
      </c>
      <c r="AA139" s="53">
        <v>3010.9349999999999</v>
      </c>
      <c r="AB139" s="53">
        <v>6699.366</v>
      </c>
      <c r="AC139" s="53">
        <v>6771.51</v>
      </c>
      <c r="AD139" s="53">
        <v>6789.1809999999996</v>
      </c>
      <c r="AE139" s="53">
        <v>7304.7349999999997</v>
      </c>
      <c r="AF139" s="53">
        <v>7330.7219999999998</v>
      </c>
      <c r="AG139" s="53">
        <v>6783.7430000000004</v>
      </c>
      <c r="AH139" s="53">
        <v>7020.067</v>
      </c>
      <c r="AI139" s="53">
        <v>6882.558</v>
      </c>
      <c r="AJ139" s="53">
        <v>6501.0780000000004</v>
      </c>
      <c r="AK139" s="53">
        <v>6756.8770000000004</v>
      </c>
      <c r="AL139" s="53">
        <v>6605.8450000000003</v>
      </c>
      <c r="AM139" s="53">
        <v>7388.7920000000004</v>
      </c>
      <c r="AN139" s="53">
        <v>7085.2219999999998</v>
      </c>
      <c r="AO139" s="53">
        <v>7019.7879999999996</v>
      </c>
      <c r="AP139" s="53">
        <v>7132.393</v>
      </c>
      <c r="AQ139" s="53">
        <v>6481.6859999999997</v>
      </c>
      <c r="AR139" s="53">
        <v>6501.049</v>
      </c>
      <c r="AS139" s="37"/>
      <c r="AT139" s="53">
        <f t="shared" si="107"/>
        <v>290.62200000000001</v>
      </c>
      <c r="AU139" s="53">
        <f t="shared" si="108"/>
        <v>414.52800000000002</v>
      </c>
      <c r="AV139" s="53">
        <f t="shared" si="109"/>
        <v>1987.5550000000001</v>
      </c>
      <c r="AW139" s="53">
        <f t="shared" si="110"/>
        <v>2249.7150000000001</v>
      </c>
      <c r="AX139" s="53">
        <f t="shared" si="111"/>
        <v>3010.9349999999999</v>
      </c>
      <c r="AY139" s="53">
        <f t="shared" si="112"/>
        <v>7304.7349999999997</v>
      </c>
      <c r="AZ139" s="53">
        <f t="shared" si="113"/>
        <v>6882.558</v>
      </c>
      <c r="BA139" s="53">
        <f t="shared" si="115"/>
        <v>7388.7920000000004</v>
      </c>
      <c r="BB139" s="53">
        <f t="shared" si="114"/>
        <v>6481.6859999999997</v>
      </c>
      <c r="BC139" s="77"/>
    </row>
    <row r="140" spans="2:55" outlineLevel="2">
      <c r="B140" s="18" t="s">
        <v>176</v>
      </c>
      <c r="C140" s="1" t="s">
        <v>71</v>
      </c>
      <c r="D140" s="53"/>
      <c r="E140" s="53"/>
      <c r="F140" s="53"/>
      <c r="G140" s="53"/>
      <c r="H140" s="53">
        <v>20.907</v>
      </c>
      <c r="I140" s="53">
        <v>22.9</v>
      </c>
      <c r="J140" s="53">
        <v>42.34</v>
      </c>
      <c r="K140" s="53">
        <v>45.957999999999998</v>
      </c>
      <c r="L140" s="53">
        <v>48.662999999999997</v>
      </c>
      <c r="M140" s="53">
        <v>85.2</v>
      </c>
      <c r="N140" s="53">
        <v>95.549000000000007</v>
      </c>
      <c r="O140" s="53">
        <v>115.09399999999999</v>
      </c>
      <c r="P140" s="53">
        <v>140.92699999999999</v>
      </c>
      <c r="Q140" s="53">
        <v>135.232</v>
      </c>
      <c r="R140" s="53">
        <v>178.566</v>
      </c>
      <c r="S140" s="53">
        <v>5333.7120000000004</v>
      </c>
      <c r="T140" s="53">
        <v>5290.1180000000004</v>
      </c>
      <c r="U140" s="53">
        <v>5184.6049999999996</v>
      </c>
      <c r="V140" s="53">
        <v>4996.616</v>
      </c>
      <c r="W140" s="53">
        <v>5513.3789999999999</v>
      </c>
      <c r="X140" s="53">
        <v>5426.6059999999998</v>
      </c>
      <c r="Y140" s="53">
        <v>7292.7470000000003</v>
      </c>
      <c r="Z140" s="53">
        <v>7414.9269999999997</v>
      </c>
      <c r="AA140" s="53">
        <v>7556.509</v>
      </c>
      <c r="AB140" s="53">
        <v>52463.94</v>
      </c>
      <c r="AC140" s="53">
        <v>52273.946000000004</v>
      </c>
      <c r="AD140" s="53">
        <v>51909.87</v>
      </c>
      <c r="AE140" s="53">
        <v>51750.745999999999</v>
      </c>
      <c r="AF140" s="53">
        <v>52038.146000000001</v>
      </c>
      <c r="AG140" s="53">
        <v>51681.798999999999</v>
      </c>
      <c r="AH140" s="53">
        <v>51182.332999999999</v>
      </c>
      <c r="AI140" s="53">
        <v>50833.995000000003</v>
      </c>
      <c r="AJ140" s="53">
        <v>50492.745000000003</v>
      </c>
      <c r="AK140" s="53">
        <v>50228.213000000003</v>
      </c>
      <c r="AL140" s="53">
        <v>49915.474999999999</v>
      </c>
      <c r="AM140" s="53">
        <v>49522.156999999999</v>
      </c>
      <c r="AN140" s="53">
        <v>49229.038</v>
      </c>
      <c r="AO140" s="53">
        <v>48903.491999999998</v>
      </c>
      <c r="AP140" s="53">
        <v>48520.66</v>
      </c>
      <c r="AQ140" s="53">
        <v>48339.07</v>
      </c>
      <c r="AR140" s="53">
        <v>48137.741999999998</v>
      </c>
      <c r="AS140" s="37"/>
      <c r="AT140" s="53">
        <f t="shared" si="107"/>
        <v>45.957999999999998</v>
      </c>
      <c r="AU140" s="53">
        <f t="shared" si="108"/>
        <v>115.09399999999999</v>
      </c>
      <c r="AV140" s="53">
        <f t="shared" si="109"/>
        <v>5333.7120000000004</v>
      </c>
      <c r="AW140" s="53">
        <f t="shared" si="110"/>
        <v>5513.3789999999999</v>
      </c>
      <c r="AX140" s="53">
        <f t="shared" si="111"/>
        <v>7556.509</v>
      </c>
      <c r="AY140" s="53">
        <f t="shared" si="112"/>
        <v>51750.745999999999</v>
      </c>
      <c r="AZ140" s="53">
        <f t="shared" si="113"/>
        <v>50833.995000000003</v>
      </c>
      <c r="BA140" s="53">
        <f t="shared" si="115"/>
        <v>49522.156999999999</v>
      </c>
      <c r="BB140" s="53">
        <f t="shared" si="114"/>
        <v>48339.07</v>
      </c>
    </row>
    <row r="141" spans="2:55" ht="13.5" outlineLevel="1">
      <c r="B141" s="10" t="s">
        <v>177</v>
      </c>
      <c r="C141" s="10" t="s">
        <v>71</v>
      </c>
      <c r="D141" s="57"/>
      <c r="E141" s="57"/>
      <c r="F141" s="57"/>
      <c r="G141" s="57"/>
      <c r="H141" s="57">
        <f t="shared" ref="H141:AA141" si="116">SUM(H142,H155,H167)</f>
        <v>1881.5553196701494</v>
      </c>
      <c r="I141" s="57">
        <f t="shared" si="116"/>
        <v>1950.5000000000005</v>
      </c>
      <c r="J141" s="57">
        <f t="shared" si="116"/>
        <v>2143.02</v>
      </c>
      <c r="K141" s="57">
        <f t="shared" si="116"/>
        <v>2336.1480000000001</v>
      </c>
      <c r="L141" s="57">
        <f t="shared" si="116"/>
        <v>2450.491</v>
      </c>
      <c r="M141" s="57">
        <f t="shared" si="116"/>
        <v>4758.8999999999996</v>
      </c>
      <c r="N141" s="57">
        <f t="shared" si="116"/>
        <v>4635.777</v>
      </c>
      <c r="O141" s="57">
        <f t="shared" si="116"/>
        <v>4876.6735352100004</v>
      </c>
      <c r="P141" s="57">
        <f t="shared" si="116"/>
        <v>5978.7510000000002</v>
      </c>
      <c r="Q141" s="57">
        <f t="shared" si="116"/>
        <v>6087.9419999999991</v>
      </c>
      <c r="R141" s="57">
        <f t="shared" si="116"/>
        <v>10896.093999999999</v>
      </c>
      <c r="S141" s="57">
        <f t="shared" si="116"/>
        <v>12425.23</v>
      </c>
      <c r="T141" s="57">
        <f t="shared" si="116"/>
        <v>12798.02</v>
      </c>
      <c r="U141" s="57">
        <f t="shared" si="116"/>
        <v>13248.764999999999</v>
      </c>
      <c r="V141" s="57">
        <f t="shared" si="116"/>
        <v>13152.760999999999</v>
      </c>
      <c r="W141" s="57">
        <f t="shared" si="116"/>
        <v>13518.976999999999</v>
      </c>
      <c r="X141" s="57">
        <f t="shared" si="116"/>
        <v>13794.698</v>
      </c>
      <c r="Y141" s="57">
        <f t="shared" si="116"/>
        <v>17305.813999999998</v>
      </c>
      <c r="Z141" s="57">
        <f t="shared" si="116"/>
        <v>17404.288</v>
      </c>
      <c r="AA141" s="57">
        <f t="shared" si="116"/>
        <v>21360.055</v>
      </c>
      <c r="AB141" s="57">
        <f t="shared" ref="AB141:AQ141" si="117">SUM(AB142,AB155,AB167)</f>
        <v>72662.411000000007</v>
      </c>
      <c r="AC141" s="57">
        <f t="shared" si="117"/>
        <v>71950.628999999986</v>
      </c>
      <c r="AD141" s="57">
        <f t="shared" si="117"/>
        <v>71127.962</v>
      </c>
      <c r="AE141" s="57">
        <f t="shared" si="117"/>
        <v>73213.73</v>
      </c>
      <c r="AF141" s="57">
        <f t="shared" si="117"/>
        <v>73393.976999999984</v>
      </c>
      <c r="AG141" s="57">
        <f t="shared" si="117"/>
        <v>75034.387000000002</v>
      </c>
      <c r="AH141" s="57">
        <f t="shared" si="117"/>
        <v>74771.862999999998</v>
      </c>
      <c r="AI141" s="57">
        <f t="shared" si="117"/>
        <v>75146.370999999985</v>
      </c>
      <c r="AJ141" s="57">
        <f t="shared" si="117"/>
        <v>74660.250999999989</v>
      </c>
      <c r="AK141" s="57">
        <f t="shared" si="117"/>
        <v>75740.251999999993</v>
      </c>
      <c r="AL141" s="57">
        <f t="shared" si="117"/>
        <v>75251.782999999996</v>
      </c>
      <c r="AM141" s="57">
        <f t="shared" si="117"/>
        <v>75475.188999999984</v>
      </c>
      <c r="AN141" s="57">
        <f t="shared" si="117"/>
        <v>76306.421999999991</v>
      </c>
      <c r="AO141" s="57">
        <f t="shared" si="117"/>
        <v>76306.186999999991</v>
      </c>
      <c r="AP141" s="57">
        <f t="shared" si="117"/>
        <v>76403.558000000005</v>
      </c>
      <c r="AQ141" s="57">
        <f t="shared" si="117"/>
        <v>74101.673999999985</v>
      </c>
      <c r="AR141" s="57">
        <f>SUM(AR142,AR155,AR167)</f>
        <v>74807.005999999994</v>
      </c>
      <c r="AS141" s="37"/>
      <c r="AT141" s="57">
        <f t="shared" ref="AT141:AY141" si="118">SUM(AT142,AT155,AT167)</f>
        <v>2336.1480000000001</v>
      </c>
      <c r="AU141" s="57">
        <f t="shared" si="118"/>
        <v>4876.6735352100004</v>
      </c>
      <c r="AV141" s="57">
        <f t="shared" si="118"/>
        <v>12425.23</v>
      </c>
      <c r="AW141" s="57">
        <f t="shared" si="118"/>
        <v>13518.976999999999</v>
      </c>
      <c r="AX141" s="57">
        <f t="shared" si="118"/>
        <v>21360.055</v>
      </c>
      <c r="AY141" s="57">
        <f t="shared" si="118"/>
        <v>73213.73</v>
      </c>
      <c r="AZ141" s="57">
        <f>SUM(AZ142,AZ155,AZ167)</f>
        <v>75146.370999999985</v>
      </c>
      <c r="BA141" s="57">
        <f>SUM(BA142,BA155,BA167)</f>
        <v>75475.188999999984</v>
      </c>
      <c r="BB141" s="57">
        <f>SUM(BB142,BB155,BB167)</f>
        <v>74101.673999999985</v>
      </c>
      <c r="BC141" s="37"/>
    </row>
    <row r="142" spans="2:55" ht="13.5" outlineLevel="1">
      <c r="B142" s="56" t="s">
        <v>178</v>
      </c>
      <c r="C142" s="10" t="s">
        <v>71</v>
      </c>
      <c r="D142" s="57"/>
      <c r="E142" s="57"/>
      <c r="F142" s="57"/>
      <c r="G142" s="57"/>
      <c r="H142" s="57">
        <f t="shared" ref="H142:M142" si="119">SUM(H143:H154)</f>
        <v>899.38431967014947</v>
      </c>
      <c r="I142" s="57">
        <f t="shared" si="119"/>
        <v>814.50400000000036</v>
      </c>
      <c r="J142" s="57">
        <f t="shared" si="119"/>
        <v>862.5</v>
      </c>
      <c r="K142" s="57">
        <f t="shared" si="119"/>
        <v>1539.9960000000001</v>
      </c>
      <c r="L142" s="57">
        <f t="shared" si="119"/>
        <v>1451.5819999999999</v>
      </c>
      <c r="M142" s="57">
        <f t="shared" si="119"/>
        <v>1085.6000000000001</v>
      </c>
      <c r="N142" s="57">
        <f t="shared" ref="N142:W142" si="120">SUM(N143:N154)</f>
        <v>760.67199999999991</v>
      </c>
      <c r="O142" s="57">
        <f t="shared" si="120"/>
        <v>987.49600000000009</v>
      </c>
      <c r="P142" s="57">
        <f t="shared" si="120"/>
        <v>1088.827</v>
      </c>
      <c r="Q142" s="57">
        <f t="shared" si="120"/>
        <v>1024.576</v>
      </c>
      <c r="R142" s="57">
        <f t="shared" si="120"/>
        <v>1039.2040000000002</v>
      </c>
      <c r="S142" s="57">
        <f t="shared" si="120"/>
        <v>1745.4229999999998</v>
      </c>
      <c r="T142" s="57">
        <f t="shared" si="120"/>
        <v>1931.1559999999999</v>
      </c>
      <c r="U142" s="57">
        <f t="shared" si="120"/>
        <v>2111.0990000000002</v>
      </c>
      <c r="V142" s="57">
        <f t="shared" si="120"/>
        <v>1887.848</v>
      </c>
      <c r="W142" s="57">
        <f t="shared" si="120"/>
        <v>2120.6130000000003</v>
      </c>
      <c r="X142" s="57">
        <f>SUM(X143:X154)</f>
        <v>2303.0039999999999</v>
      </c>
      <c r="Y142" s="57">
        <f t="shared" ref="Y142:AD142" si="121">SUM(Y143:Y154)</f>
        <v>2653.8039999999996</v>
      </c>
      <c r="Z142" s="57">
        <f t="shared" si="121"/>
        <v>3267.0990000000002</v>
      </c>
      <c r="AA142" s="57">
        <f t="shared" si="121"/>
        <v>3184.4519999999998</v>
      </c>
      <c r="AB142" s="57">
        <f t="shared" si="121"/>
        <v>7342.7209999999986</v>
      </c>
      <c r="AC142" s="57">
        <f t="shared" si="121"/>
        <v>6745.7860000000001</v>
      </c>
      <c r="AD142" s="57">
        <f t="shared" si="121"/>
        <v>6676.9649999999992</v>
      </c>
      <c r="AE142" s="57">
        <f t="shared" ref="AE142:AQ142" si="122">SUM(AE143:AE154)</f>
        <v>7682.34</v>
      </c>
      <c r="AF142" s="57">
        <f t="shared" si="122"/>
        <v>8152.4069999999992</v>
      </c>
      <c r="AG142" s="57">
        <f t="shared" si="122"/>
        <v>7959.1209999999992</v>
      </c>
      <c r="AH142" s="57">
        <f t="shared" si="122"/>
        <v>8485.482</v>
      </c>
      <c r="AI142" s="57">
        <f t="shared" si="122"/>
        <v>8757.8309999999983</v>
      </c>
      <c r="AJ142" s="57">
        <f t="shared" si="122"/>
        <v>8021.6119999999983</v>
      </c>
      <c r="AK142" s="57">
        <f t="shared" si="122"/>
        <v>7984.9920000000002</v>
      </c>
      <c r="AL142" s="57">
        <f t="shared" si="122"/>
        <v>7444.8250000000007</v>
      </c>
      <c r="AM142" s="57">
        <f t="shared" si="122"/>
        <v>7162.9610000000011</v>
      </c>
      <c r="AN142" s="57">
        <f t="shared" si="122"/>
        <v>7761.4179999999997</v>
      </c>
      <c r="AO142" s="57">
        <f t="shared" si="122"/>
        <v>7508.8</v>
      </c>
      <c r="AP142" s="57">
        <f t="shared" si="122"/>
        <v>7594.7689999999993</v>
      </c>
      <c r="AQ142" s="57">
        <f t="shared" si="122"/>
        <v>6975.6660000000011</v>
      </c>
      <c r="AR142" s="57">
        <f t="shared" ref="AR142" si="123">SUM(AR143:AR154)</f>
        <v>7816.8279999999995</v>
      </c>
      <c r="AS142" s="37"/>
      <c r="AT142" s="57">
        <f t="shared" ref="AT142:BB142" si="124">SUM(AT143:AT154)</f>
        <v>1539.9960000000001</v>
      </c>
      <c r="AU142" s="57">
        <f t="shared" si="124"/>
        <v>987.49600000000009</v>
      </c>
      <c r="AV142" s="57">
        <f t="shared" si="124"/>
        <v>1745.4229999999998</v>
      </c>
      <c r="AW142" s="57">
        <f t="shared" si="124"/>
        <v>2120.6130000000003</v>
      </c>
      <c r="AX142" s="57">
        <f t="shared" si="124"/>
        <v>3184.4519999999998</v>
      </c>
      <c r="AY142" s="57">
        <f t="shared" si="124"/>
        <v>7682.34</v>
      </c>
      <c r="AZ142" s="57">
        <f t="shared" si="124"/>
        <v>8757.8309999999983</v>
      </c>
      <c r="BA142" s="57">
        <f t="shared" si="124"/>
        <v>7162.9610000000011</v>
      </c>
      <c r="BB142" s="57">
        <f t="shared" si="124"/>
        <v>6975.6660000000011</v>
      </c>
    </row>
    <row r="143" spans="2:55" outlineLevel="2">
      <c r="B143" s="18" t="s">
        <v>179</v>
      </c>
      <c r="C143" s="1" t="s">
        <v>71</v>
      </c>
      <c r="D143" s="53"/>
      <c r="E143" s="53"/>
      <c r="F143" s="53"/>
      <c r="G143" s="53"/>
      <c r="H143" s="53">
        <v>0</v>
      </c>
      <c r="I143" s="53">
        <v>0</v>
      </c>
      <c r="J143" s="53">
        <v>0</v>
      </c>
      <c r="K143" s="53">
        <v>0</v>
      </c>
      <c r="L143" s="53">
        <v>0</v>
      </c>
      <c r="M143" s="53">
        <v>6.1</v>
      </c>
      <c r="N143" s="53">
        <v>4.1130000000000004</v>
      </c>
      <c r="O143" s="53">
        <v>0</v>
      </c>
      <c r="P143" s="53">
        <v>0</v>
      </c>
      <c r="Q143" s="53">
        <v>0</v>
      </c>
      <c r="R143" s="53">
        <v>21.006</v>
      </c>
      <c r="S143" s="53">
        <v>75.037999999999997</v>
      </c>
      <c r="T143" s="53">
        <v>42.23</v>
      </c>
      <c r="U143" s="53">
        <v>56.963999999999999</v>
      </c>
      <c r="V143" s="53">
        <v>30.100999999999999</v>
      </c>
      <c r="W143" s="53">
        <v>42.914999999999999</v>
      </c>
      <c r="X143" s="53">
        <v>40.722000000000001</v>
      </c>
      <c r="Y143" s="53">
        <v>93.563000000000002</v>
      </c>
      <c r="Z143" s="53">
        <v>649.85199999999998</v>
      </c>
      <c r="AA143" s="53">
        <v>713.25</v>
      </c>
      <c r="AB143" s="53">
        <v>1310.664</v>
      </c>
      <c r="AC143" s="53">
        <v>1268.9639999999999</v>
      </c>
      <c r="AD143" s="53">
        <v>1191.721</v>
      </c>
      <c r="AE143" s="53">
        <v>1726.508</v>
      </c>
      <c r="AF143" s="53">
        <v>2172.2959999999998</v>
      </c>
      <c r="AG143" s="53">
        <v>1929.62</v>
      </c>
      <c r="AH143" s="53">
        <v>2182.4839999999999</v>
      </c>
      <c r="AI143" s="53">
        <v>2109.9409999999998</v>
      </c>
      <c r="AJ143" s="53">
        <v>1480.8140000000001</v>
      </c>
      <c r="AK143" s="53">
        <v>1274.3409999999999</v>
      </c>
      <c r="AL143" s="53">
        <v>602.56200000000001</v>
      </c>
      <c r="AM143" s="53">
        <v>950.84299999999996</v>
      </c>
      <c r="AN143" s="53">
        <v>1326.681</v>
      </c>
      <c r="AO143" s="53">
        <v>1013.942</v>
      </c>
      <c r="AP143" s="53">
        <v>1420.318</v>
      </c>
      <c r="AQ143" s="53">
        <v>847.16899999999998</v>
      </c>
      <c r="AR143" s="53">
        <v>1271.672</v>
      </c>
      <c r="AS143" s="37"/>
      <c r="AT143" s="53">
        <f t="shared" ref="AT143:AT151" si="125">K143</f>
        <v>0</v>
      </c>
      <c r="AU143" s="53">
        <f t="shared" ref="AU143:AU151" si="126">O143</f>
        <v>0</v>
      </c>
      <c r="AV143" s="53">
        <f t="shared" ref="AV143:AV151" si="127">S143</f>
        <v>75.037999999999997</v>
      </c>
      <c r="AW143" s="53">
        <f t="shared" ref="AW143:AW151" si="128">W143</f>
        <v>42.914999999999999</v>
      </c>
      <c r="AX143" s="53">
        <f t="shared" ref="AX143:AX151" si="129">AA143</f>
        <v>713.25</v>
      </c>
      <c r="AY143" s="53">
        <f t="shared" ref="AY143:AY154" si="130">AE143</f>
        <v>1726.508</v>
      </c>
      <c r="AZ143" s="53">
        <f t="shared" ref="AZ143:AZ154" si="131">AI143</f>
        <v>2109.9409999999998</v>
      </c>
      <c r="BA143" s="53">
        <f t="shared" ref="BA143:BA175" si="132">AM143</f>
        <v>950.84299999999996</v>
      </c>
      <c r="BB143" s="53">
        <f t="shared" ref="BB143:BB154" si="133">AQ143</f>
        <v>847.16899999999998</v>
      </c>
    </row>
    <row r="144" spans="2:55" outlineLevel="2">
      <c r="B144" s="18" t="s">
        <v>180</v>
      </c>
      <c r="C144" s="1" t="s">
        <v>71</v>
      </c>
      <c r="D144" s="53"/>
      <c r="E144" s="53"/>
      <c r="F144" s="53"/>
      <c r="G144" s="53"/>
      <c r="H144" s="53">
        <v>40.052</v>
      </c>
      <c r="I144" s="53">
        <v>47.3</v>
      </c>
      <c r="J144" s="53">
        <v>50.887</v>
      </c>
      <c r="K144" s="53">
        <v>56.139000000000003</v>
      </c>
      <c r="L144" s="53">
        <v>61.625999999999998</v>
      </c>
      <c r="M144" s="53">
        <v>63.5</v>
      </c>
      <c r="N144" s="53">
        <v>58.343000000000004</v>
      </c>
      <c r="O144" s="53">
        <v>61.381</v>
      </c>
      <c r="P144" s="53">
        <v>62.505000000000003</v>
      </c>
      <c r="Q144" s="53">
        <v>45.302</v>
      </c>
      <c r="R144" s="53">
        <v>40.198</v>
      </c>
      <c r="S144" s="53">
        <v>95.031999999999996</v>
      </c>
      <c r="T144" s="53">
        <v>112.512</v>
      </c>
      <c r="U144" s="53">
        <v>115.91500000000001</v>
      </c>
      <c r="V144" s="53">
        <v>116.367</v>
      </c>
      <c r="W144" s="53">
        <v>120.828</v>
      </c>
      <c r="X144" s="53">
        <v>182.70699999999999</v>
      </c>
      <c r="Y144" s="53">
        <v>186.792</v>
      </c>
      <c r="Z144" s="53">
        <v>177.61500000000001</v>
      </c>
      <c r="AA144" s="53">
        <v>173.441</v>
      </c>
      <c r="AB144" s="53">
        <v>372.41300000000001</v>
      </c>
      <c r="AC144" s="53">
        <v>414.68099999999998</v>
      </c>
      <c r="AD144" s="53">
        <v>352.39</v>
      </c>
      <c r="AE144" s="53">
        <v>414.70299999999997</v>
      </c>
      <c r="AF144" s="53">
        <v>350.70699999999999</v>
      </c>
      <c r="AG144" s="53">
        <v>340.35500000000002</v>
      </c>
      <c r="AH144" s="53">
        <v>357.96199999999999</v>
      </c>
      <c r="AI144" s="53">
        <v>293.79499999999996</v>
      </c>
      <c r="AJ144" s="53">
        <v>279.45</v>
      </c>
      <c r="AK144" s="53">
        <v>281.63400000000001</v>
      </c>
      <c r="AL144" s="53">
        <v>238.24699999999999</v>
      </c>
      <c r="AM144" s="53">
        <v>294.41699999999997</v>
      </c>
      <c r="AN144" s="53">
        <v>307.08999999999997</v>
      </c>
      <c r="AO144" s="53">
        <v>293.44499999999999</v>
      </c>
      <c r="AP144" s="53">
        <v>257.24099999999999</v>
      </c>
      <c r="AQ144" s="53">
        <v>251.96600000000001</v>
      </c>
      <c r="AR144" s="53">
        <v>310.36099999999999</v>
      </c>
      <c r="AS144" s="37"/>
      <c r="AT144" s="53">
        <f t="shared" si="125"/>
        <v>56.139000000000003</v>
      </c>
      <c r="AU144" s="53">
        <f t="shared" si="126"/>
        <v>61.381</v>
      </c>
      <c r="AV144" s="53">
        <f t="shared" si="127"/>
        <v>95.031999999999996</v>
      </c>
      <c r="AW144" s="53">
        <f t="shared" si="128"/>
        <v>120.828</v>
      </c>
      <c r="AX144" s="53">
        <f t="shared" si="129"/>
        <v>173.441</v>
      </c>
      <c r="AY144" s="53">
        <f t="shared" si="130"/>
        <v>414.70299999999997</v>
      </c>
      <c r="AZ144" s="53">
        <f t="shared" si="131"/>
        <v>293.79499999999996</v>
      </c>
      <c r="BA144" s="53">
        <f t="shared" si="132"/>
        <v>294.41699999999997</v>
      </c>
      <c r="BB144" s="53">
        <f t="shared" si="133"/>
        <v>251.96600000000001</v>
      </c>
    </row>
    <row r="145" spans="2:54" outlineLevel="2">
      <c r="B145" s="18" t="s">
        <v>181</v>
      </c>
      <c r="C145" s="1" t="s">
        <v>71</v>
      </c>
      <c r="D145" s="53"/>
      <c r="E145" s="53"/>
      <c r="F145" s="53"/>
      <c r="G145" s="53"/>
      <c r="H145" s="53">
        <v>314.81299999999999</v>
      </c>
      <c r="I145" s="53">
        <v>334.7</v>
      </c>
      <c r="J145" s="53">
        <f>356.6-0.19</f>
        <v>356.41</v>
      </c>
      <c r="K145" s="53">
        <v>359.47</v>
      </c>
      <c r="L145" s="53">
        <f>350.4+0.02</f>
        <v>350.41999999999996</v>
      </c>
      <c r="M145" s="53">
        <f>374.6-0.1</f>
        <v>374.5</v>
      </c>
      <c r="N145" s="53">
        <f>399.9-0.07</f>
        <v>399.83</v>
      </c>
      <c r="O145" s="53">
        <v>408.125</v>
      </c>
      <c r="P145" s="53">
        <v>414.30200000000002</v>
      </c>
      <c r="Q145" s="53">
        <v>417.99700000000001</v>
      </c>
      <c r="R145" s="53">
        <v>512.18100000000004</v>
      </c>
      <c r="S145" s="53">
        <v>858.14300000000003</v>
      </c>
      <c r="T145" s="53">
        <v>990.78399999999999</v>
      </c>
      <c r="U145" s="53">
        <v>984.57899999999995</v>
      </c>
      <c r="V145" s="53">
        <v>1009.31</v>
      </c>
      <c r="W145" s="53">
        <v>1129.1089999999999</v>
      </c>
      <c r="X145" s="53">
        <v>1209.8889999999999</v>
      </c>
      <c r="Y145" s="53">
        <v>1491.077</v>
      </c>
      <c r="Z145" s="53">
        <v>1600.836</v>
      </c>
      <c r="AA145" s="53">
        <v>1549.059</v>
      </c>
      <c r="AB145" s="53">
        <v>3358.1590000000001</v>
      </c>
      <c r="AC145" s="53">
        <v>3380.6190000000001</v>
      </c>
      <c r="AD145" s="53">
        <v>3358.8069999999998</v>
      </c>
      <c r="AE145" s="53">
        <v>3636.7950000000001</v>
      </c>
      <c r="AF145" s="53">
        <v>3735.5619999999999</v>
      </c>
      <c r="AG145" s="53">
        <v>3863.567</v>
      </c>
      <c r="AH145" s="53">
        <v>3910.194</v>
      </c>
      <c r="AI145" s="53">
        <v>4154.1719999999996</v>
      </c>
      <c r="AJ145" s="53">
        <v>3919.431</v>
      </c>
      <c r="AK145" s="53">
        <v>3876.0440000000003</v>
      </c>
      <c r="AL145" s="53">
        <v>3998.614</v>
      </c>
      <c r="AM145" s="53">
        <v>3319.165</v>
      </c>
      <c r="AN145" s="53">
        <v>3598.7669999999998</v>
      </c>
      <c r="AO145" s="53">
        <v>3676.8249999999998</v>
      </c>
      <c r="AP145" s="53">
        <v>3460.1419999999998</v>
      </c>
      <c r="AQ145" s="53">
        <v>3599.174</v>
      </c>
      <c r="AR145" s="53">
        <v>3623.4430000000002</v>
      </c>
      <c r="AS145" s="37"/>
      <c r="AT145" s="53">
        <f t="shared" si="125"/>
        <v>359.47</v>
      </c>
      <c r="AU145" s="53">
        <f t="shared" si="126"/>
        <v>408.125</v>
      </c>
      <c r="AV145" s="53">
        <f t="shared" si="127"/>
        <v>858.14300000000003</v>
      </c>
      <c r="AW145" s="53">
        <f t="shared" si="128"/>
        <v>1129.1089999999999</v>
      </c>
      <c r="AX145" s="53">
        <f t="shared" si="129"/>
        <v>1549.059</v>
      </c>
      <c r="AY145" s="53">
        <f t="shared" si="130"/>
        <v>3636.7950000000001</v>
      </c>
      <c r="AZ145" s="53">
        <f t="shared" si="131"/>
        <v>4154.1719999999996</v>
      </c>
      <c r="BA145" s="53">
        <f t="shared" si="132"/>
        <v>3319.165</v>
      </c>
      <c r="BB145" s="53">
        <f t="shared" si="133"/>
        <v>3599.174</v>
      </c>
    </row>
    <row r="146" spans="2:54" outlineLevel="2">
      <c r="B146" s="18" t="s">
        <v>182</v>
      </c>
      <c r="C146" s="1" t="s">
        <v>71</v>
      </c>
      <c r="D146" s="53"/>
      <c r="E146" s="53"/>
      <c r="F146" s="53"/>
      <c r="G146" s="53"/>
      <c r="H146" s="53">
        <v>54.494999999999997</v>
      </c>
      <c r="I146" s="53">
        <v>58.7</v>
      </c>
      <c r="J146" s="53">
        <v>54.283000000000001</v>
      </c>
      <c r="K146" s="53">
        <v>55.155999999999999</v>
      </c>
      <c r="L146" s="53">
        <v>54.723999999999997</v>
      </c>
      <c r="M146" s="53">
        <v>62.3</v>
      </c>
      <c r="N146" s="53">
        <v>60.304000000000002</v>
      </c>
      <c r="O146" s="53">
        <v>65.180999999999997</v>
      </c>
      <c r="P146" s="53">
        <v>62.664000000000001</v>
      </c>
      <c r="Q146" s="53">
        <v>66.268000000000001</v>
      </c>
      <c r="R146" s="53">
        <v>2.0750000000000002</v>
      </c>
      <c r="S146" s="53">
        <v>8.8079999999999998</v>
      </c>
      <c r="T146" s="53">
        <v>5.7290000000000001</v>
      </c>
      <c r="U146" s="53">
        <v>7.2119999999999997</v>
      </c>
      <c r="V146" s="53">
        <v>3.5379999999999998</v>
      </c>
      <c r="W146" s="53">
        <v>5.0460000000000003</v>
      </c>
      <c r="X146" s="53">
        <v>10.993</v>
      </c>
      <c r="Y146" s="53">
        <v>17.106999999999999</v>
      </c>
      <c r="Z146" s="53">
        <v>22.571999999999999</v>
      </c>
      <c r="AA146" s="53">
        <v>11.83</v>
      </c>
      <c r="AB146" s="53">
        <v>14.907999999999999</v>
      </c>
      <c r="AC146" s="53">
        <v>13.688000000000001</v>
      </c>
      <c r="AD146" s="53">
        <v>14.847</v>
      </c>
      <c r="AE146" s="53">
        <v>13.24</v>
      </c>
      <c r="AF146" s="53">
        <v>15.787000000000001</v>
      </c>
      <c r="AG146" s="53">
        <v>41.228000000000002</v>
      </c>
      <c r="AH146" s="53">
        <v>92.144999999999996</v>
      </c>
      <c r="AI146" s="53">
        <v>58.037999999999997</v>
      </c>
      <c r="AJ146" s="53">
        <v>59.698999999999998</v>
      </c>
      <c r="AK146" s="53">
        <v>68.930999999999997</v>
      </c>
      <c r="AL146" s="53">
        <v>67.472999999999999</v>
      </c>
      <c r="AM146" s="53">
        <v>99.57</v>
      </c>
      <c r="AN146" s="53">
        <v>56.082000000000001</v>
      </c>
      <c r="AO146" s="53">
        <v>54.067999999999998</v>
      </c>
      <c r="AP146" s="53">
        <v>62.548000000000002</v>
      </c>
      <c r="AQ146" s="53">
        <v>56.841999999999999</v>
      </c>
      <c r="AR146" s="53">
        <v>67.188000000000002</v>
      </c>
      <c r="AS146" s="37"/>
      <c r="AT146" s="53">
        <f t="shared" si="125"/>
        <v>55.155999999999999</v>
      </c>
      <c r="AU146" s="53">
        <f t="shared" si="126"/>
        <v>65.180999999999997</v>
      </c>
      <c r="AV146" s="53">
        <f t="shared" si="127"/>
        <v>8.8079999999999998</v>
      </c>
      <c r="AW146" s="53">
        <f t="shared" si="128"/>
        <v>5.0460000000000003</v>
      </c>
      <c r="AX146" s="53">
        <f t="shared" si="129"/>
        <v>11.83</v>
      </c>
      <c r="AY146" s="53">
        <f t="shared" si="130"/>
        <v>13.24</v>
      </c>
      <c r="AZ146" s="53">
        <f t="shared" si="131"/>
        <v>58.037999999999997</v>
      </c>
      <c r="BA146" s="53">
        <f t="shared" si="132"/>
        <v>99.57</v>
      </c>
      <c r="BB146" s="53">
        <f t="shared" si="133"/>
        <v>56.841999999999999</v>
      </c>
    </row>
    <row r="147" spans="2:54" outlineLevel="2">
      <c r="B147" s="18" t="s">
        <v>183</v>
      </c>
      <c r="C147" s="1" t="s">
        <v>71</v>
      </c>
      <c r="D147" s="53"/>
      <c r="E147" s="53"/>
      <c r="F147" s="53"/>
      <c r="G147" s="53"/>
      <c r="H147" s="53">
        <v>71.882000000000005</v>
      </c>
      <c r="I147" s="53">
        <v>84.8</v>
      </c>
      <c r="J147" s="53">
        <v>99.662999999999997</v>
      </c>
      <c r="K147" s="53">
        <v>96.197999999999993</v>
      </c>
      <c r="L147" s="53">
        <v>88.738</v>
      </c>
      <c r="M147" s="53">
        <v>105.4</v>
      </c>
      <c r="N147" s="53">
        <v>118.083</v>
      </c>
      <c r="O147" s="53">
        <v>112.947</v>
      </c>
      <c r="P147" s="53">
        <v>110.321</v>
      </c>
      <c r="Q147" s="53">
        <v>125.661</v>
      </c>
      <c r="R147" s="53">
        <v>142.70500000000001</v>
      </c>
      <c r="S147" s="53">
        <v>172.47399999999999</v>
      </c>
      <c r="T147" s="53">
        <v>189.44399999999999</v>
      </c>
      <c r="U147" s="53">
        <v>218.37299999999999</v>
      </c>
      <c r="V147" s="53">
        <v>235.72399999999999</v>
      </c>
      <c r="W147" s="53">
        <v>195.441</v>
      </c>
      <c r="X147" s="53">
        <v>230.77799999999999</v>
      </c>
      <c r="Y147" s="53">
        <v>282.07799999999997</v>
      </c>
      <c r="Z147" s="53">
        <v>323.26900000000001</v>
      </c>
      <c r="AA147" s="53">
        <v>270.56099999999998</v>
      </c>
      <c r="AB147" s="53">
        <v>600.26300000000003</v>
      </c>
      <c r="AC147" s="53">
        <v>656.87800000000004</v>
      </c>
      <c r="AD147" s="53">
        <v>765.55200000000002</v>
      </c>
      <c r="AE147" s="53">
        <v>647.75300000000004</v>
      </c>
      <c r="AF147" s="53">
        <v>681.40599999999995</v>
      </c>
      <c r="AG147" s="53">
        <v>730.79600000000005</v>
      </c>
      <c r="AH147" s="53">
        <v>844.41200000000003</v>
      </c>
      <c r="AI147" s="53">
        <v>657.64</v>
      </c>
      <c r="AJ147" s="53">
        <v>718.8</v>
      </c>
      <c r="AK147" s="53">
        <v>909.28899999999999</v>
      </c>
      <c r="AL147" s="53">
        <v>1001.872</v>
      </c>
      <c r="AM147" s="53">
        <v>832.81799999999998</v>
      </c>
      <c r="AN147" s="53">
        <v>826.97</v>
      </c>
      <c r="AO147" s="53">
        <v>935.41700000000003</v>
      </c>
      <c r="AP147" s="53">
        <v>964.35599999999999</v>
      </c>
      <c r="AQ147" s="53">
        <v>766.17600000000004</v>
      </c>
      <c r="AR147" s="53">
        <v>897.76599999999996</v>
      </c>
      <c r="AS147" s="37"/>
      <c r="AT147" s="53">
        <f t="shared" si="125"/>
        <v>96.197999999999993</v>
      </c>
      <c r="AU147" s="53">
        <f t="shared" si="126"/>
        <v>112.947</v>
      </c>
      <c r="AV147" s="53">
        <f t="shared" si="127"/>
        <v>172.47399999999999</v>
      </c>
      <c r="AW147" s="53">
        <f t="shared" si="128"/>
        <v>195.441</v>
      </c>
      <c r="AX147" s="53">
        <f t="shared" si="129"/>
        <v>270.56099999999998</v>
      </c>
      <c r="AY147" s="53">
        <f t="shared" si="130"/>
        <v>647.75300000000004</v>
      </c>
      <c r="AZ147" s="53">
        <f t="shared" si="131"/>
        <v>657.64</v>
      </c>
      <c r="BA147" s="53">
        <f t="shared" si="132"/>
        <v>832.81799999999998</v>
      </c>
      <c r="BB147" s="53">
        <f t="shared" si="133"/>
        <v>766.17600000000004</v>
      </c>
    </row>
    <row r="148" spans="2:54" outlineLevel="2">
      <c r="B148" s="18" t="s">
        <v>184</v>
      </c>
      <c r="C148" s="1" t="s">
        <v>71</v>
      </c>
      <c r="D148" s="53"/>
      <c r="E148" s="53"/>
      <c r="F148" s="53"/>
      <c r="G148" s="53"/>
      <c r="H148" s="53">
        <v>35.229999999999997</v>
      </c>
      <c r="I148" s="53">
        <v>35.5</v>
      </c>
      <c r="J148" s="53">
        <v>53.506999999999998</v>
      </c>
      <c r="K148" s="53">
        <v>59.249000000000002</v>
      </c>
      <c r="L148" s="53">
        <v>45.847999999999999</v>
      </c>
      <c r="M148" s="53">
        <v>50.8</v>
      </c>
      <c r="N148" s="53">
        <v>58.235999999999997</v>
      </c>
      <c r="O148" s="53">
        <v>55.89</v>
      </c>
      <c r="P148" s="53">
        <v>63.350999999999999</v>
      </c>
      <c r="Q148" s="53">
        <v>74.397999999999996</v>
      </c>
      <c r="R148" s="53">
        <v>69.331000000000003</v>
      </c>
      <c r="S148" s="53">
        <v>152.43199999999999</v>
      </c>
      <c r="T148" s="53">
        <v>119.286</v>
      </c>
      <c r="U148" s="53">
        <v>234.333</v>
      </c>
      <c r="V148" s="53">
        <v>178.52500000000001</v>
      </c>
      <c r="W148" s="53">
        <v>159.73599999999999</v>
      </c>
      <c r="X148" s="53">
        <v>127.093</v>
      </c>
      <c r="Y148" s="53">
        <v>202.45699999999999</v>
      </c>
      <c r="Z148" s="53">
        <v>197.565</v>
      </c>
      <c r="AA148" s="53">
        <v>207.33199999999999</v>
      </c>
      <c r="AB148" s="53">
        <v>946.48099999999999</v>
      </c>
      <c r="AC148" s="53">
        <v>399.49799999999999</v>
      </c>
      <c r="AD148" s="53">
        <v>415.02699999999999</v>
      </c>
      <c r="AE148" s="53">
        <v>436.35</v>
      </c>
      <c r="AF148" s="53">
        <v>423.32299999999998</v>
      </c>
      <c r="AG148" s="53">
        <v>435.89800000000002</v>
      </c>
      <c r="AH148" s="53">
        <v>489.12</v>
      </c>
      <c r="AI148" s="53">
        <v>543.33899999999994</v>
      </c>
      <c r="AJ148" s="53">
        <v>532.12900000000002</v>
      </c>
      <c r="AK148" s="53">
        <v>474.84000000000003</v>
      </c>
      <c r="AL148" s="53">
        <v>472.322</v>
      </c>
      <c r="AM148" s="53">
        <v>506.63</v>
      </c>
      <c r="AN148" s="53">
        <v>596.58399999999995</v>
      </c>
      <c r="AO148" s="53">
        <v>459.91300000000001</v>
      </c>
      <c r="AP148" s="53">
        <v>384.089</v>
      </c>
      <c r="AQ148" s="53">
        <v>407.60300000000001</v>
      </c>
      <c r="AR148" s="53">
        <v>473.87099999999998</v>
      </c>
      <c r="AS148" s="37"/>
      <c r="AT148" s="53">
        <f t="shared" si="125"/>
        <v>59.249000000000002</v>
      </c>
      <c r="AU148" s="53">
        <f t="shared" si="126"/>
        <v>55.89</v>
      </c>
      <c r="AV148" s="53">
        <f t="shared" si="127"/>
        <v>152.43199999999999</v>
      </c>
      <c r="AW148" s="53">
        <f t="shared" si="128"/>
        <v>159.73599999999999</v>
      </c>
      <c r="AX148" s="53">
        <f t="shared" si="129"/>
        <v>207.33199999999999</v>
      </c>
      <c r="AY148" s="53">
        <f t="shared" si="130"/>
        <v>436.35</v>
      </c>
      <c r="AZ148" s="53">
        <f t="shared" si="131"/>
        <v>543.33899999999994</v>
      </c>
      <c r="BA148" s="53">
        <f t="shared" si="132"/>
        <v>506.63</v>
      </c>
      <c r="BB148" s="53">
        <f t="shared" si="133"/>
        <v>407.60300000000001</v>
      </c>
    </row>
    <row r="149" spans="2:54" outlineLevel="2">
      <c r="B149" s="18" t="s">
        <v>185</v>
      </c>
      <c r="C149" s="1" t="s">
        <v>71</v>
      </c>
      <c r="D149" s="53"/>
      <c r="E149" s="53"/>
      <c r="F149" s="53"/>
      <c r="G149" s="53"/>
      <c r="H149" s="53">
        <v>67.759</v>
      </c>
      <c r="I149" s="53">
        <v>50.2</v>
      </c>
      <c r="J149" s="53">
        <v>48.152999999999999</v>
      </c>
      <c r="K149" s="53">
        <v>54.478999999999999</v>
      </c>
      <c r="L149" s="53">
        <v>69.415000000000006</v>
      </c>
      <c r="M149" s="53">
        <v>43.7</v>
      </c>
      <c r="N149" s="53">
        <v>34.963000000000001</v>
      </c>
      <c r="O149" s="53">
        <v>33.86</v>
      </c>
      <c r="P149" s="53">
        <v>90.162999999999997</v>
      </c>
      <c r="Q149" s="53">
        <v>90.375</v>
      </c>
      <c r="R149" s="53">
        <v>73.744</v>
      </c>
      <c r="S149" s="53">
        <v>61.981999999999999</v>
      </c>
      <c r="T149" s="53">
        <v>111.64700000000001</v>
      </c>
      <c r="U149" s="53">
        <v>187.82400000000001</v>
      </c>
      <c r="V149" s="53">
        <v>133.88900000000001</v>
      </c>
      <c r="W149" s="53">
        <v>85.141000000000005</v>
      </c>
      <c r="X149" s="53">
        <v>101.286</v>
      </c>
      <c r="Y149" s="53">
        <v>100.13800000000001</v>
      </c>
      <c r="Z149" s="53">
        <v>93.608000000000004</v>
      </c>
      <c r="AA149" s="53">
        <v>58.645000000000003</v>
      </c>
      <c r="AB149" s="53">
        <v>88.159000000000006</v>
      </c>
      <c r="AC149" s="53">
        <v>75.712000000000003</v>
      </c>
      <c r="AD149" s="53">
        <v>61.329000000000001</v>
      </c>
      <c r="AE149" s="53">
        <v>31.797999999999998</v>
      </c>
      <c r="AF149" s="53">
        <v>69.616</v>
      </c>
      <c r="AG149" s="53">
        <v>98.864999999999995</v>
      </c>
      <c r="AH149" s="53">
        <v>60.316000000000003</v>
      </c>
      <c r="AI149" s="53">
        <v>28.260999999999999</v>
      </c>
      <c r="AJ149" s="53">
        <v>41.430999999999997</v>
      </c>
      <c r="AK149" s="53">
        <v>60.569000000000003</v>
      </c>
      <c r="AL149" s="53">
        <v>151.65199999999999</v>
      </c>
      <c r="AM149" s="53">
        <v>30.3</v>
      </c>
      <c r="AN149" s="53">
        <v>86.659000000000006</v>
      </c>
      <c r="AO149" s="53">
        <v>130.68600000000001</v>
      </c>
      <c r="AP149" s="53">
        <v>54.94</v>
      </c>
      <c r="AQ149" s="53">
        <v>31.067</v>
      </c>
      <c r="AR149" s="53">
        <v>32.329000000000001</v>
      </c>
      <c r="AS149" s="37"/>
      <c r="AT149" s="53">
        <f t="shared" si="125"/>
        <v>54.478999999999999</v>
      </c>
      <c r="AU149" s="53">
        <f t="shared" si="126"/>
        <v>33.86</v>
      </c>
      <c r="AV149" s="53">
        <f t="shared" si="127"/>
        <v>61.981999999999999</v>
      </c>
      <c r="AW149" s="53">
        <f t="shared" si="128"/>
        <v>85.141000000000005</v>
      </c>
      <c r="AX149" s="53">
        <f t="shared" si="129"/>
        <v>58.645000000000003</v>
      </c>
      <c r="AY149" s="53">
        <f t="shared" si="130"/>
        <v>31.797999999999998</v>
      </c>
      <c r="AZ149" s="53">
        <f t="shared" si="131"/>
        <v>28.260999999999999</v>
      </c>
      <c r="BA149" s="53">
        <f t="shared" si="132"/>
        <v>30.3</v>
      </c>
      <c r="BB149" s="53">
        <f t="shared" si="133"/>
        <v>31.067</v>
      </c>
    </row>
    <row r="150" spans="2:54" outlineLevel="2">
      <c r="B150" s="18" t="s">
        <v>186</v>
      </c>
      <c r="C150" s="1" t="s">
        <v>71</v>
      </c>
      <c r="D150" s="53"/>
      <c r="E150" s="53"/>
      <c r="F150" s="53"/>
      <c r="G150" s="53"/>
      <c r="H150" s="53">
        <v>302.94900000000001</v>
      </c>
      <c r="I150" s="53">
        <v>191.5</v>
      </c>
      <c r="J150" s="53">
        <v>178.97</v>
      </c>
      <c r="K150" s="53">
        <v>836.33799999999997</v>
      </c>
      <c r="L150" s="53">
        <v>766.21900000000005</v>
      </c>
      <c r="M150" s="53">
        <v>367.3</v>
      </c>
      <c r="N150" s="53">
        <v>14.563000000000001</v>
      </c>
      <c r="O150" s="53">
        <v>184.51300000000001</v>
      </c>
      <c r="P150" s="53">
        <v>184.51300000000001</v>
      </c>
      <c r="Q150" s="53">
        <v>104.556</v>
      </c>
      <c r="R150" s="53">
        <v>102.104</v>
      </c>
      <c r="S150" s="53">
        <v>220.02</v>
      </c>
      <c r="T150" s="53">
        <v>220.02</v>
      </c>
      <c r="U150" s="53">
        <v>220.02</v>
      </c>
      <c r="V150" s="53">
        <v>111.10599999999999</v>
      </c>
      <c r="W150" s="53">
        <v>201.441</v>
      </c>
      <c r="X150" s="53">
        <v>201.441</v>
      </c>
      <c r="Y150" s="53">
        <v>75.174000000000007</v>
      </c>
      <c r="Z150" s="53">
        <v>53.225999999999999</v>
      </c>
      <c r="AA150" s="53">
        <v>31.859000000000002</v>
      </c>
      <c r="AB150" s="53">
        <v>16.207999999999998</v>
      </c>
      <c r="AC150" s="53">
        <v>16.010999999999999</v>
      </c>
      <c r="AD150" s="53">
        <v>13.260999999999999</v>
      </c>
      <c r="AE150" s="53">
        <v>13.603999999999999</v>
      </c>
      <c r="AF150" s="53">
        <v>13.603999999999999</v>
      </c>
      <c r="AG150" s="53">
        <v>13.603999999999999</v>
      </c>
      <c r="AH150" s="53">
        <v>13.603999999999999</v>
      </c>
      <c r="AI150" s="53">
        <v>0.60500000000000043</v>
      </c>
      <c r="AJ150" s="53">
        <v>0.60500000000000043</v>
      </c>
      <c r="AK150" s="53">
        <v>0.60500000000000043</v>
      </c>
      <c r="AL150" s="53">
        <v>0.60500000000000043</v>
      </c>
      <c r="AM150" s="53">
        <v>0.60499999999999998</v>
      </c>
      <c r="AN150" s="53">
        <v>0.60499999999999998</v>
      </c>
      <c r="AO150" s="53">
        <v>0.59799999999999998</v>
      </c>
      <c r="AP150" s="53">
        <v>0.59799999999999998</v>
      </c>
      <c r="AQ150" s="53">
        <v>0.59799999999999998</v>
      </c>
      <c r="AR150" s="53">
        <v>0.753</v>
      </c>
      <c r="AS150" s="37"/>
      <c r="AT150" s="53">
        <f t="shared" si="125"/>
        <v>836.33799999999997</v>
      </c>
      <c r="AU150" s="53">
        <f t="shared" si="126"/>
        <v>184.51300000000001</v>
      </c>
      <c r="AV150" s="53">
        <f t="shared" si="127"/>
        <v>220.02</v>
      </c>
      <c r="AW150" s="53">
        <f t="shared" si="128"/>
        <v>201.441</v>
      </c>
      <c r="AX150" s="53">
        <f t="shared" si="129"/>
        <v>31.859000000000002</v>
      </c>
      <c r="AY150" s="53">
        <f t="shared" si="130"/>
        <v>13.603999999999999</v>
      </c>
      <c r="AZ150" s="53">
        <f t="shared" si="131"/>
        <v>0.60500000000000043</v>
      </c>
      <c r="BA150" s="53">
        <f t="shared" si="132"/>
        <v>0.60499999999999998</v>
      </c>
      <c r="BB150" s="53">
        <f t="shared" si="133"/>
        <v>0.59799999999999998</v>
      </c>
    </row>
    <row r="151" spans="2:54" outlineLevel="2">
      <c r="B151" s="18" t="s">
        <v>187</v>
      </c>
      <c r="C151" s="1" t="s">
        <v>71</v>
      </c>
      <c r="D151" s="53"/>
      <c r="E151" s="53"/>
      <c r="F151" s="53"/>
      <c r="G151" s="53"/>
      <c r="H151" s="53">
        <v>0</v>
      </c>
      <c r="I151" s="53">
        <v>0</v>
      </c>
      <c r="J151" s="53">
        <v>0</v>
      </c>
      <c r="K151" s="53">
        <v>0</v>
      </c>
      <c r="L151" s="53">
        <v>0</v>
      </c>
      <c r="M151" s="53">
        <v>0</v>
      </c>
      <c r="N151" s="53">
        <v>0</v>
      </c>
      <c r="O151" s="53">
        <v>0</v>
      </c>
      <c r="P151" s="53">
        <v>28.744</v>
      </c>
      <c r="Q151" s="53">
        <v>31.068999999999999</v>
      </c>
      <c r="R151" s="53">
        <v>32.206000000000003</v>
      </c>
      <c r="S151" s="53">
        <v>36.866</v>
      </c>
      <c r="T151" s="53">
        <v>36.487000000000002</v>
      </c>
      <c r="U151" s="53">
        <v>36.200000000000003</v>
      </c>
      <c r="V151" s="53">
        <v>35.570999999999998</v>
      </c>
      <c r="W151" s="53">
        <v>42.95</v>
      </c>
      <c r="X151" s="53">
        <v>39.564</v>
      </c>
      <c r="Y151" s="53">
        <v>41.634</v>
      </c>
      <c r="Z151" s="53">
        <v>53.911999999999999</v>
      </c>
      <c r="AA151" s="53">
        <v>57.034999999999997</v>
      </c>
      <c r="AB151" s="53">
        <v>116.232</v>
      </c>
      <c r="AC151" s="53">
        <v>117.718</v>
      </c>
      <c r="AD151" s="53">
        <v>116.36499999999999</v>
      </c>
      <c r="AE151" s="53">
        <v>351.286</v>
      </c>
      <c r="AF151" s="53">
        <v>132.017</v>
      </c>
      <c r="AG151" s="53">
        <v>136.54300000000001</v>
      </c>
      <c r="AH151" s="53">
        <v>151.43199999999999</v>
      </c>
      <c r="AI151" s="53">
        <v>475.17899999999997</v>
      </c>
      <c r="AJ151" s="53">
        <v>443.44499999999999</v>
      </c>
      <c r="AK151" s="53">
        <v>480.61599999999999</v>
      </c>
      <c r="AL151" s="53">
        <v>481.185</v>
      </c>
      <c r="AM151" s="53">
        <v>522.70699999999999</v>
      </c>
      <c r="AN151" s="53">
        <v>550.29300000000001</v>
      </c>
      <c r="AO151" s="53">
        <v>548.23500000000001</v>
      </c>
      <c r="AP151" s="53">
        <v>555.41399999999999</v>
      </c>
      <c r="AQ151" s="53">
        <v>566.81399999999996</v>
      </c>
      <c r="AR151" s="53">
        <v>573.56200000000001</v>
      </c>
      <c r="AS151" s="37"/>
      <c r="AT151" s="53">
        <f t="shared" si="125"/>
        <v>0</v>
      </c>
      <c r="AU151" s="53">
        <f t="shared" si="126"/>
        <v>0</v>
      </c>
      <c r="AV151" s="53">
        <f t="shared" si="127"/>
        <v>36.866</v>
      </c>
      <c r="AW151" s="53">
        <f t="shared" si="128"/>
        <v>42.95</v>
      </c>
      <c r="AX151" s="53">
        <f t="shared" si="129"/>
        <v>57.034999999999997</v>
      </c>
      <c r="AY151" s="53">
        <f t="shared" si="130"/>
        <v>351.286</v>
      </c>
      <c r="AZ151" s="53">
        <f t="shared" si="131"/>
        <v>475.17899999999997</v>
      </c>
      <c r="BA151" s="53">
        <f t="shared" si="132"/>
        <v>522.70699999999999</v>
      </c>
      <c r="BB151" s="53">
        <f t="shared" si="133"/>
        <v>566.81399999999996</v>
      </c>
    </row>
    <row r="152" spans="2:54" outlineLevel="2">
      <c r="B152" s="18" t="s">
        <v>163</v>
      </c>
      <c r="C152" s="1" t="s">
        <v>71</v>
      </c>
      <c r="D152" s="53"/>
      <c r="E152" s="53"/>
      <c r="F152" s="53"/>
      <c r="G152" s="53"/>
      <c r="H152" s="53">
        <v>0</v>
      </c>
      <c r="I152" s="53">
        <v>0</v>
      </c>
      <c r="J152" s="53">
        <v>0</v>
      </c>
      <c r="K152" s="53">
        <v>0</v>
      </c>
      <c r="L152" s="53">
        <v>0</v>
      </c>
      <c r="M152" s="53">
        <v>0</v>
      </c>
      <c r="N152" s="53">
        <v>0</v>
      </c>
      <c r="O152" s="53">
        <v>0</v>
      </c>
      <c r="P152" s="53">
        <v>0</v>
      </c>
      <c r="Q152" s="53">
        <v>0</v>
      </c>
      <c r="R152" s="53">
        <v>0</v>
      </c>
      <c r="S152" s="53">
        <v>0</v>
      </c>
      <c r="T152" s="53">
        <v>0</v>
      </c>
      <c r="U152" s="53">
        <v>0</v>
      </c>
      <c r="V152" s="53">
        <v>0</v>
      </c>
      <c r="W152" s="53">
        <v>0</v>
      </c>
      <c r="X152" s="53">
        <v>0</v>
      </c>
      <c r="Y152" s="53">
        <v>0</v>
      </c>
      <c r="Z152" s="53">
        <v>0</v>
      </c>
      <c r="AA152" s="53">
        <v>0</v>
      </c>
      <c r="AB152" s="53">
        <v>0</v>
      </c>
      <c r="AC152" s="53">
        <v>12.081</v>
      </c>
      <c r="AD152" s="53">
        <v>0</v>
      </c>
      <c r="AE152" s="53">
        <v>18.468</v>
      </c>
      <c r="AF152" s="53">
        <v>37.579000000000001</v>
      </c>
      <c r="AG152" s="53">
        <v>0</v>
      </c>
      <c r="AH152" s="53">
        <v>0</v>
      </c>
      <c r="AI152" s="53">
        <v>25.088000000000001</v>
      </c>
      <c r="AJ152" s="53">
        <v>59.189</v>
      </c>
      <c r="AK152" s="53">
        <v>114.898</v>
      </c>
      <c r="AL152" s="53">
        <v>123.569</v>
      </c>
      <c r="AM152" s="53">
        <v>201.22900000000001</v>
      </c>
      <c r="AN152" s="53">
        <v>201.63499999999999</v>
      </c>
      <c r="AO152" s="53">
        <v>183.636</v>
      </c>
      <c r="AP152" s="53">
        <v>226.01400000000001</v>
      </c>
      <c r="AQ152" s="53">
        <v>234.60599999999999</v>
      </c>
      <c r="AR152" s="53">
        <v>247.34700000000001</v>
      </c>
      <c r="AS152" s="37"/>
      <c r="AT152" s="53">
        <f>K152</f>
        <v>0</v>
      </c>
      <c r="AU152" s="53">
        <f>L152</f>
        <v>0</v>
      </c>
      <c r="AV152" s="53">
        <f>M152</f>
        <v>0</v>
      </c>
      <c r="AW152" s="53">
        <f>N152</f>
        <v>0</v>
      </c>
      <c r="AX152" s="53">
        <f>O152</f>
        <v>0</v>
      </c>
      <c r="AY152" s="53">
        <f t="shared" si="130"/>
        <v>18.468</v>
      </c>
      <c r="AZ152" s="53">
        <f t="shared" si="131"/>
        <v>25.088000000000001</v>
      </c>
      <c r="BA152" s="53">
        <f t="shared" si="132"/>
        <v>201.22900000000001</v>
      </c>
      <c r="BB152" s="53">
        <f t="shared" si="133"/>
        <v>234.60599999999999</v>
      </c>
    </row>
    <row r="153" spans="2:54" outlineLevel="2">
      <c r="B153" s="18" t="s">
        <v>188</v>
      </c>
      <c r="C153" s="1" t="s">
        <v>71</v>
      </c>
      <c r="D153" s="53"/>
      <c r="E153" s="53"/>
      <c r="F153" s="53"/>
      <c r="G153" s="53"/>
      <c r="H153" s="53">
        <v>0</v>
      </c>
      <c r="I153" s="53">
        <v>0</v>
      </c>
      <c r="J153" s="53">
        <v>0</v>
      </c>
      <c r="K153" s="53">
        <v>0</v>
      </c>
      <c r="L153" s="53">
        <v>0</v>
      </c>
      <c r="M153" s="53">
        <v>0</v>
      </c>
      <c r="N153" s="53">
        <v>0</v>
      </c>
      <c r="O153" s="53">
        <v>42.656999999999996</v>
      </c>
      <c r="P153" s="53">
        <v>42.656999999999996</v>
      </c>
      <c r="Q153" s="53">
        <v>42.667000000000002</v>
      </c>
      <c r="R153" s="53">
        <v>4.0380000000000003</v>
      </c>
      <c r="S153" s="53">
        <v>4.04</v>
      </c>
      <c r="T153" s="53">
        <v>4.1870000000000003</v>
      </c>
      <c r="U153" s="53">
        <v>4.0679999999999996</v>
      </c>
      <c r="V153" s="53">
        <v>3.9929999999999999</v>
      </c>
      <c r="W153" s="53">
        <v>3.996</v>
      </c>
      <c r="X153" s="53">
        <v>3.9969999999999999</v>
      </c>
      <c r="Y153" s="53">
        <v>4.008</v>
      </c>
      <c r="Z153" s="53">
        <v>3.9969999999999999</v>
      </c>
      <c r="AA153" s="53">
        <v>13.208</v>
      </c>
      <c r="AB153" s="53">
        <v>3.9980000000000002</v>
      </c>
      <c r="AC153" s="53">
        <v>3.9980000000000002</v>
      </c>
      <c r="AD153" s="53">
        <v>3.996</v>
      </c>
      <c r="AE153" s="53">
        <v>3.9980000000000002</v>
      </c>
      <c r="AF153" s="53">
        <v>3.9989999999999997</v>
      </c>
      <c r="AG153" s="53">
        <v>3.9989999999999997</v>
      </c>
      <c r="AH153" s="53">
        <v>4.0010000000000003</v>
      </c>
      <c r="AI153" s="53">
        <v>5.7370000000000001</v>
      </c>
      <c r="AJ153" s="53">
        <v>3.96</v>
      </c>
      <c r="AK153" s="53">
        <v>4.0179999999999998</v>
      </c>
      <c r="AL153" s="53">
        <v>3.9740000000000002</v>
      </c>
      <c r="AM153" s="53">
        <v>3.9969999999999999</v>
      </c>
      <c r="AN153" s="53">
        <v>3.9609999999999999</v>
      </c>
      <c r="AO153" s="53">
        <v>3.9609999999999999</v>
      </c>
      <c r="AP153" s="53">
        <v>3.9609999999999999</v>
      </c>
      <c r="AQ153" s="53">
        <v>3.9620000000000002</v>
      </c>
      <c r="AR153" s="53">
        <v>1.6020000000000001</v>
      </c>
      <c r="AS153" s="37"/>
      <c r="AT153" s="53">
        <f>K153</f>
        <v>0</v>
      </c>
      <c r="AU153" s="53">
        <f>O153</f>
        <v>42.656999999999996</v>
      </c>
      <c r="AV153" s="53">
        <f>S153</f>
        <v>4.04</v>
      </c>
      <c r="AW153" s="53">
        <f>W153</f>
        <v>3.996</v>
      </c>
      <c r="AX153" s="53">
        <f>AA153</f>
        <v>13.208</v>
      </c>
      <c r="AY153" s="53">
        <f t="shared" si="130"/>
        <v>3.9980000000000002</v>
      </c>
      <c r="AZ153" s="53">
        <f t="shared" si="131"/>
        <v>5.7370000000000001</v>
      </c>
      <c r="BA153" s="53">
        <f t="shared" si="132"/>
        <v>3.9969999999999999</v>
      </c>
      <c r="BB153" s="53">
        <f t="shared" si="133"/>
        <v>3.9620000000000002</v>
      </c>
    </row>
    <row r="154" spans="2:54" outlineLevel="1">
      <c r="B154" s="18" t="s">
        <v>189</v>
      </c>
      <c r="C154" s="1" t="s">
        <v>71</v>
      </c>
      <c r="D154" s="53"/>
      <c r="E154" s="53"/>
      <c r="F154" s="53"/>
      <c r="G154" s="53"/>
      <c r="H154" s="53">
        <v>12.204319670149362</v>
      </c>
      <c r="I154" s="53">
        <v>11.804000000000361</v>
      </c>
      <c r="J154" s="53">
        <v>20.626999999999999</v>
      </c>
      <c r="K154" s="53">
        <v>22.966999999999999</v>
      </c>
      <c r="L154" s="53">
        <v>14.592000000000001</v>
      </c>
      <c r="M154" s="53">
        <v>12</v>
      </c>
      <c r="N154" s="53">
        <v>12.237</v>
      </c>
      <c r="O154" s="53">
        <v>22.942</v>
      </c>
      <c r="P154" s="53">
        <v>29.606999999999999</v>
      </c>
      <c r="Q154" s="53">
        <v>26.283000000000001</v>
      </c>
      <c r="R154" s="53">
        <v>39.616</v>
      </c>
      <c r="S154" s="53">
        <v>60.588000000000001</v>
      </c>
      <c r="T154" s="53">
        <v>98.83</v>
      </c>
      <c r="U154" s="53">
        <v>45.610999999999997</v>
      </c>
      <c r="V154" s="53">
        <v>29.724</v>
      </c>
      <c r="W154" s="53">
        <v>134.01</v>
      </c>
      <c r="X154" s="53">
        <v>154.53399999999999</v>
      </c>
      <c r="Y154" s="53">
        <v>159.77600000000001</v>
      </c>
      <c r="Z154" s="53">
        <v>90.647000000000006</v>
      </c>
      <c r="AA154" s="53">
        <v>98.231999999999999</v>
      </c>
      <c r="AB154" s="53">
        <v>515.23599999999999</v>
      </c>
      <c r="AC154" s="53">
        <v>385.93799999999999</v>
      </c>
      <c r="AD154" s="53">
        <v>383.67</v>
      </c>
      <c r="AE154" s="53">
        <v>387.83699999999999</v>
      </c>
      <c r="AF154" s="53">
        <v>516.51099999999997</v>
      </c>
      <c r="AG154" s="53">
        <v>364.64600000000002</v>
      </c>
      <c r="AH154" s="53">
        <v>379.81200000000001</v>
      </c>
      <c r="AI154" s="53">
        <v>406.036</v>
      </c>
      <c r="AJ154" s="53">
        <v>482.65899999999999</v>
      </c>
      <c r="AK154" s="53">
        <v>439.20699999999999</v>
      </c>
      <c r="AL154" s="53">
        <v>302.75</v>
      </c>
      <c r="AM154" s="53">
        <v>400.68</v>
      </c>
      <c r="AN154" s="53">
        <v>206.09100000000001</v>
      </c>
      <c r="AO154" s="53">
        <v>208.07400000000001</v>
      </c>
      <c r="AP154" s="53">
        <v>205.148</v>
      </c>
      <c r="AQ154" s="53">
        <v>209.68899999999999</v>
      </c>
      <c r="AR154" s="53">
        <v>316.93400000000003</v>
      </c>
      <c r="AS154" s="37"/>
      <c r="AT154" s="53">
        <f>K154</f>
        <v>22.966999999999999</v>
      </c>
      <c r="AU154" s="53">
        <f>O154</f>
        <v>22.942</v>
      </c>
      <c r="AV154" s="53">
        <f>S154</f>
        <v>60.588000000000001</v>
      </c>
      <c r="AW154" s="53">
        <f>W154</f>
        <v>134.01</v>
      </c>
      <c r="AX154" s="53">
        <f>AA154</f>
        <v>98.231999999999999</v>
      </c>
      <c r="AY154" s="53">
        <f t="shared" si="130"/>
        <v>387.83699999999999</v>
      </c>
      <c r="AZ154" s="53">
        <f t="shared" si="131"/>
        <v>406.036</v>
      </c>
      <c r="BA154" s="53">
        <f t="shared" si="132"/>
        <v>400.68</v>
      </c>
      <c r="BB154" s="53">
        <f t="shared" si="133"/>
        <v>209.68899999999999</v>
      </c>
    </row>
    <row r="155" spans="2:54" ht="13.5" outlineLevel="2">
      <c r="B155" s="56" t="s">
        <v>190</v>
      </c>
      <c r="C155" s="10" t="s">
        <v>71</v>
      </c>
      <c r="D155" s="57"/>
      <c r="E155" s="57"/>
      <c r="F155" s="57"/>
      <c r="G155" s="57"/>
      <c r="H155" s="57">
        <f t="shared" ref="H155:AA155" si="134">SUM(H156:H166)</f>
        <v>317.83499999999998</v>
      </c>
      <c r="I155" s="57">
        <f t="shared" si="134"/>
        <v>322.5</v>
      </c>
      <c r="J155" s="57">
        <f t="shared" si="134"/>
        <v>320.11499999999995</v>
      </c>
      <c r="K155" s="57">
        <f t="shared" si="134"/>
        <v>324.14900000000006</v>
      </c>
      <c r="L155" s="57">
        <f t="shared" si="134"/>
        <v>313.25400000000002</v>
      </c>
      <c r="M155" s="57">
        <f t="shared" si="134"/>
        <v>307.8</v>
      </c>
      <c r="N155" s="57">
        <f t="shared" si="134"/>
        <v>319.25399999999996</v>
      </c>
      <c r="O155" s="57">
        <f t="shared" si="134"/>
        <v>283.32253521000001</v>
      </c>
      <c r="P155" s="57">
        <f t="shared" si="134"/>
        <v>1069.6750000000002</v>
      </c>
      <c r="Q155" s="57">
        <f t="shared" si="134"/>
        <v>1134.183</v>
      </c>
      <c r="R155" s="57">
        <f t="shared" si="134"/>
        <v>3149.357</v>
      </c>
      <c r="S155" s="57">
        <f t="shared" si="134"/>
        <v>3417.922</v>
      </c>
      <c r="T155" s="57">
        <f t="shared" si="134"/>
        <v>3440.4270000000006</v>
      </c>
      <c r="U155" s="57">
        <f t="shared" si="134"/>
        <v>3432.3040000000001</v>
      </c>
      <c r="V155" s="57">
        <f t="shared" si="134"/>
        <v>3422.4720000000002</v>
      </c>
      <c r="W155" s="57">
        <f t="shared" si="134"/>
        <v>3567.377</v>
      </c>
      <c r="X155" s="57">
        <f t="shared" si="134"/>
        <v>3508.8780000000002</v>
      </c>
      <c r="Y155" s="57">
        <f t="shared" si="134"/>
        <v>3986.6009999999997</v>
      </c>
      <c r="Z155" s="57">
        <f t="shared" si="134"/>
        <v>3517.268</v>
      </c>
      <c r="AA155" s="57">
        <f t="shared" si="134"/>
        <v>7602.6089999999986</v>
      </c>
      <c r="AB155" s="57">
        <f t="shared" ref="AB155:AH155" si="135">SUM(AB156:AB166)</f>
        <v>16171.920000000002</v>
      </c>
      <c r="AC155" s="57">
        <f t="shared" si="135"/>
        <v>16296.686999999998</v>
      </c>
      <c r="AD155" s="57">
        <f t="shared" si="135"/>
        <v>15393.376</v>
      </c>
      <c r="AE155" s="57">
        <f t="shared" si="135"/>
        <v>16774.679</v>
      </c>
      <c r="AF155" s="57">
        <f t="shared" si="135"/>
        <v>16777.271999999997</v>
      </c>
      <c r="AG155" s="57">
        <f t="shared" si="135"/>
        <v>17734.543000000001</v>
      </c>
      <c r="AH155" s="57">
        <f t="shared" si="135"/>
        <v>17163.303</v>
      </c>
      <c r="AI155" s="57">
        <f t="shared" ref="AI155:AO155" si="136">SUM(AI156:AI166)</f>
        <v>17574.975999999999</v>
      </c>
      <c r="AJ155" s="57">
        <f t="shared" si="136"/>
        <v>17886.867999999999</v>
      </c>
      <c r="AK155" s="57">
        <f t="shared" si="136"/>
        <v>18950.088999999996</v>
      </c>
      <c r="AL155" s="57">
        <f t="shared" si="136"/>
        <v>19058.378999999997</v>
      </c>
      <c r="AM155" s="57">
        <f t="shared" si="136"/>
        <v>19585.017</v>
      </c>
      <c r="AN155" s="57">
        <f t="shared" si="136"/>
        <v>19760.384000000002</v>
      </c>
      <c r="AO155" s="57">
        <f t="shared" si="136"/>
        <v>20177.199000000001</v>
      </c>
      <c r="AP155" s="57">
        <f>SUM(AP156:AP166)</f>
        <v>20256.400000000005</v>
      </c>
      <c r="AQ155" s="57">
        <f>SUM(AQ156:AQ166)</f>
        <v>18920.883999999998</v>
      </c>
      <c r="AR155" s="57">
        <f>SUM(AR156:AR166)</f>
        <v>18935.198000000004</v>
      </c>
      <c r="AS155" s="37"/>
      <c r="AT155" s="57">
        <f t="shared" ref="AT155:AY155" si="137">SUM(AT156:AT166)</f>
        <v>324.14900000000006</v>
      </c>
      <c r="AU155" s="57">
        <f t="shared" si="137"/>
        <v>283.32253521000001</v>
      </c>
      <c r="AV155" s="57">
        <f t="shared" si="137"/>
        <v>3417.922</v>
      </c>
      <c r="AW155" s="57">
        <f t="shared" si="137"/>
        <v>3567.377</v>
      </c>
      <c r="AX155" s="57">
        <f t="shared" si="137"/>
        <v>7602.6089999999986</v>
      </c>
      <c r="AY155" s="57">
        <f t="shared" si="137"/>
        <v>16774.679</v>
      </c>
      <c r="AZ155" s="57">
        <f>SUM(AZ156:AZ166)</f>
        <v>17574.975999999999</v>
      </c>
      <c r="BA155" s="57">
        <f>SUM(BA156:BA166)</f>
        <v>19585.017</v>
      </c>
      <c r="BB155" s="57">
        <f>SUM(BB156:BB166)</f>
        <v>18920.883999999998</v>
      </c>
    </row>
    <row r="156" spans="2:54" outlineLevel="2">
      <c r="B156" s="18" t="s">
        <v>179</v>
      </c>
      <c r="C156" s="1" t="s">
        <v>71</v>
      </c>
      <c r="D156" s="53"/>
      <c r="E156" s="53"/>
      <c r="F156" s="53"/>
      <c r="G156" s="53"/>
      <c r="H156" s="53">
        <v>0</v>
      </c>
      <c r="I156" s="53">
        <v>0</v>
      </c>
      <c r="J156" s="53">
        <v>0</v>
      </c>
      <c r="K156" s="53">
        <v>0</v>
      </c>
      <c r="L156" s="53">
        <v>0</v>
      </c>
      <c r="M156" s="53">
        <v>0</v>
      </c>
      <c r="N156" s="53">
        <v>0</v>
      </c>
      <c r="O156" s="53">
        <v>0</v>
      </c>
      <c r="P156" s="53">
        <v>0</v>
      </c>
      <c r="Q156" s="53">
        <v>0</v>
      </c>
      <c r="R156" s="53">
        <v>1996.7449999999999</v>
      </c>
      <c r="S156" s="53">
        <v>2036.9549999999999</v>
      </c>
      <c r="T156" s="53">
        <v>2029.64</v>
      </c>
      <c r="U156" s="53">
        <v>2030.61</v>
      </c>
      <c r="V156" s="53">
        <v>2031.86</v>
      </c>
      <c r="W156" s="53">
        <v>2034.3119999999999</v>
      </c>
      <c r="X156" s="53">
        <v>2001.989</v>
      </c>
      <c r="Y156" s="53">
        <v>2001.059</v>
      </c>
      <c r="Z156" s="53">
        <v>1412.231</v>
      </c>
      <c r="AA156" s="53">
        <v>4882.6809999999996</v>
      </c>
      <c r="AB156" s="53">
        <v>9487.8790000000008</v>
      </c>
      <c r="AC156" s="53">
        <v>10232.263999999999</v>
      </c>
      <c r="AD156" s="53">
        <v>9630.5059999999994</v>
      </c>
      <c r="AE156" s="53">
        <v>9991.1730000000007</v>
      </c>
      <c r="AF156" s="53">
        <v>9658.226999999999</v>
      </c>
      <c r="AG156" s="53">
        <v>9654.4609999999993</v>
      </c>
      <c r="AH156" s="53">
        <v>8715.7369999999992</v>
      </c>
      <c r="AI156" s="53">
        <v>9416.473</v>
      </c>
      <c r="AJ156" s="53">
        <v>9453.0450000000001</v>
      </c>
      <c r="AK156" s="53">
        <v>10486.984</v>
      </c>
      <c r="AL156" s="53">
        <v>10470.156999999999</v>
      </c>
      <c r="AM156" s="53">
        <v>11803.848</v>
      </c>
      <c r="AN156" s="53">
        <v>11817.732</v>
      </c>
      <c r="AO156" s="53">
        <v>12060.873</v>
      </c>
      <c r="AP156" s="53">
        <v>11943.842000000001</v>
      </c>
      <c r="AQ156" s="53">
        <v>12021.050999999999</v>
      </c>
      <c r="AR156" s="53">
        <v>12032.26</v>
      </c>
      <c r="AS156" s="37"/>
      <c r="AT156" s="53">
        <f t="shared" ref="AT156:AT166" si="138">K156</f>
        <v>0</v>
      </c>
      <c r="AU156" s="53">
        <f t="shared" ref="AU156:AU166" si="139">O156</f>
        <v>0</v>
      </c>
      <c r="AV156" s="53">
        <f t="shared" ref="AV156:AV166" si="140">S156</f>
        <v>2036.9549999999999</v>
      </c>
      <c r="AW156" s="53">
        <f t="shared" ref="AW156:AW166" si="141">W156</f>
        <v>2034.3119999999999</v>
      </c>
      <c r="AX156" s="53">
        <f t="shared" ref="AX156:AX166" si="142">AA156</f>
        <v>4882.6809999999996</v>
      </c>
      <c r="AY156" s="53">
        <f t="shared" ref="AY156:AY166" si="143">AE156</f>
        <v>9991.1730000000007</v>
      </c>
      <c r="AZ156" s="53">
        <f t="shared" ref="AZ156:AZ166" si="144">AI156</f>
        <v>9416.473</v>
      </c>
      <c r="BA156" s="53">
        <f t="shared" si="132"/>
        <v>11803.848</v>
      </c>
      <c r="BB156" s="53">
        <f t="shared" ref="BB156:BB166" si="145">AQ156</f>
        <v>12021.050999999999</v>
      </c>
    </row>
    <row r="157" spans="2:54" outlineLevel="2">
      <c r="B157" s="18" t="s">
        <v>184</v>
      </c>
      <c r="C157" s="1" t="s">
        <v>71</v>
      </c>
      <c r="D157" s="53"/>
      <c r="E157" s="53"/>
      <c r="F157" s="53"/>
      <c r="G157" s="53"/>
      <c r="H157" s="53">
        <v>26.149000000000001</v>
      </c>
      <c r="I157" s="53">
        <v>22.1</v>
      </c>
      <c r="J157" s="53">
        <v>22.263000000000002</v>
      </c>
      <c r="K157" s="53">
        <v>21.652999999999999</v>
      </c>
      <c r="L157" s="53">
        <v>11.257999999999999</v>
      </c>
      <c r="M157" s="53">
        <v>11.9</v>
      </c>
      <c r="N157" s="53">
        <v>11.935</v>
      </c>
      <c r="O157" s="53">
        <v>11.966535209999998</v>
      </c>
      <c r="P157" s="53">
        <v>11.97</v>
      </c>
      <c r="Q157" s="53">
        <v>12.021000000000001</v>
      </c>
      <c r="R157" s="53">
        <v>12.073</v>
      </c>
      <c r="S157" s="53">
        <v>26.146000000000001</v>
      </c>
      <c r="T157" s="53">
        <v>24.145</v>
      </c>
      <c r="U157" s="53">
        <v>23.956</v>
      </c>
      <c r="V157" s="53">
        <v>23.751999999999999</v>
      </c>
      <c r="W157" s="53">
        <v>23.132999999999999</v>
      </c>
      <c r="X157" s="53">
        <v>18.425000000000001</v>
      </c>
      <c r="Y157" s="53">
        <v>98.611000000000004</v>
      </c>
      <c r="Z157" s="53">
        <v>88.893000000000001</v>
      </c>
      <c r="AA157" s="53">
        <v>123.181</v>
      </c>
      <c r="AB157" s="53">
        <v>181.16900000000001</v>
      </c>
      <c r="AC157" s="53">
        <v>174.209</v>
      </c>
      <c r="AD157" s="53">
        <v>168.19</v>
      </c>
      <c r="AE157" s="53">
        <v>157.07599999999999</v>
      </c>
      <c r="AF157" s="53">
        <v>146.38</v>
      </c>
      <c r="AG157" s="53">
        <v>135.15199999999999</v>
      </c>
      <c r="AH157" s="53">
        <v>126.898</v>
      </c>
      <c r="AI157" s="53">
        <v>161.39400000000001</v>
      </c>
      <c r="AJ157" s="53">
        <v>153.226</v>
      </c>
      <c r="AK157" s="53">
        <v>141.911</v>
      </c>
      <c r="AL157" s="53">
        <v>133.185</v>
      </c>
      <c r="AM157" s="53">
        <v>124.004</v>
      </c>
      <c r="AN157" s="53">
        <v>115.279</v>
      </c>
      <c r="AO157" s="53">
        <v>105.87</v>
      </c>
      <c r="AP157" s="53">
        <v>98.218000000000004</v>
      </c>
      <c r="AQ157" s="53">
        <v>91.727000000000004</v>
      </c>
      <c r="AR157" s="53">
        <v>84.216999999999999</v>
      </c>
      <c r="AS157" s="37"/>
      <c r="AT157" s="53">
        <f t="shared" si="138"/>
        <v>21.652999999999999</v>
      </c>
      <c r="AU157" s="53">
        <f t="shared" si="139"/>
        <v>11.966535209999998</v>
      </c>
      <c r="AV157" s="53">
        <f t="shared" si="140"/>
        <v>26.146000000000001</v>
      </c>
      <c r="AW157" s="53">
        <f t="shared" si="141"/>
        <v>23.132999999999999</v>
      </c>
      <c r="AX157" s="53">
        <f t="shared" si="142"/>
        <v>123.181</v>
      </c>
      <c r="AY157" s="53">
        <f t="shared" si="143"/>
        <v>157.07599999999999</v>
      </c>
      <c r="AZ157" s="53">
        <f t="shared" si="144"/>
        <v>161.39400000000001</v>
      </c>
      <c r="BA157" s="53">
        <f t="shared" si="132"/>
        <v>124.004</v>
      </c>
      <c r="BB157" s="53">
        <f t="shared" si="145"/>
        <v>91.727000000000004</v>
      </c>
    </row>
    <row r="158" spans="2:54" outlineLevel="2">
      <c r="B158" s="18" t="s">
        <v>191</v>
      </c>
      <c r="C158" s="1" t="s">
        <v>71</v>
      </c>
      <c r="D158" s="53"/>
      <c r="E158" s="53"/>
      <c r="F158" s="53"/>
      <c r="G158" s="53"/>
      <c r="H158" s="53">
        <v>0</v>
      </c>
      <c r="I158" s="53">
        <v>0</v>
      </c>
      <c r="J158" s="53">
        <v>0</v>
      </c>
      <c r="K158" s="53">
        <v>0</v>
      </c>
      <c r="L158" s="53">
        <v>0</v>
      </c>
      <c r="M158" s="53">
        <v>0</v>
      </c>
      <c r="N158" s="53">
        <v>0</v>
      </c>
      <c r="O158" s="53">
        <v>0</v>
      </c>
      <c r="P158" s="53">
        <v>0</v>
      </c>
      <c r="Q158" s="53">
        <v>0</v>
      </c>
      <c r="R158" s="53">
        <v>0</v>
      </c>
      <c r="S158" s="53">
        <v>0</v>
      </c>
      <c r="T158" s="53">
        <v>0</v>
      </c>
      <c r="U158" s="53">
        <v>0</v>
      </c>
      <c r="V158" s="53">
        <v>0</v>
      </c>
      <c r="W158" s="53">
        <v>1.788</v>
      </c>
      <c r="X158" s="53">
        <v>2.6</v>
      </c>
      <c r="Y158" s="53">
        <v>7.0620000000000003</v>
      </c>
      <c r="Z158" s="53">
        <v>8.8079999999999998</v>
      </c>
      <c r="AA158" s="53">
        <v>25.911000000000001</v>
      </c>
      <c r="AB158" s="53">
        <v>859.21699999999998</v>
      </c>
      <c r="AC158" s="53">
        <v>801.84500000000003</v>
      </c>
      <c r="AD158" s="53">
        <v>820.46699999999998</v>
      </c>
      <c r="AE158" s="53">
        <v>871.48</v>
      </c>
      <c r="AF158" s="53">
        <v>890.85</v>
      </c>
      <c r="AG158" s="53">
        <v>922.87900000000002</v>
      </c>
      <c r="AH158" s="53">
        <v>921.75300000000004</v>
      </c>
      <c r="AI158" s="53">
        <v>1195.4259999999999</v>
      </c>
      <c r="AJ158" s="53">
        <v>1626.6499999999999</v>
      </c>
      <c r="AK158" s="53">
        <v>1673.799</v>
      </c>
      <c r="AL158" s="53">
        <v>1727.2829999999999</v>
      </c>
      <c r="AM158" s="53">
        <v>42.518999999999998</v>
      </c>
      <c r="AN158" s="53">
        <v>90.893000000000001</v>
      </c>
      <c r="AO158" s="53">
        <v>417.22300000000001</v>
      </c>
      <c r="AP158" s="53">
        <v>572.71299999999997</v>
      </c>
      <c r="AQ158" s="53">
        <v>396.48700000000002</v>
      </c>
      <c r="AR158" s="53">
        <v>416.654</v>
      </c>
      <c r="AS158" s="37"/>
      <c r="AT158" s="53">
        <f t="shared" si="138"/>
        <v>0</v>
      </c>
      <c r="AU158" s="53">
        <f t="shared" si="139"/>
        <v>0</v>
      </c>
      <c r="AV158" s="53">
        <f t="shared" si="140"/>
        <v>0</v>
      </c>
      <c r="AW158" s="53">
        <f t="shared" si="141"/>
        <v>1.788</v>
      </c>
      <c r="AX158" s="53">
        <f t="shared" si="142"/>
        <v>25.911000000000001</v>
      </c>
      <c r="AY158" s="53">
        <f t="shared" si="143"/>
        <v>871.48</v>
      </c>
      <c r="AZ158" s="53">
        <f t="shared" si="144"/>
        <v>1195.4259999999999</v>
      </c>
      <c r="BA158" s="53">
        <f t="shared" si="132"/>
        <v>42.518999999999998</v>
      </c>
      <c r="BB158" s="53">
        <f t="shared" si="145"/>
        <v>396.48700000000002</v>
      </c>
    </row>
    <row r="159" spans="2:54" outlineLevel="2">
      <c r="B159" s="18" t="s">
        <v>187</v>
      </c>
      <c r="C159" s="1" t="s">
        <v>71</v>
      </c>
      <c r="D159" s="53"/>
      <c r="E159" s="53"/>
      <c r="F159" s="53"/>
      <c r="G159" s="53"/>
      <c r="H159" s="53">
        <v>0</v>
      </c>
      <c r="I159" s="53">
        <v>0</v>
      </c>
      <c r="J159" s="53">
        <v>0</v>
      </c>
      <c r="K159" s="53">
        <v>0</v>
      </c>
      <c r="L159" s="53">
        <v>0</v>
      </c>
      <c r="M159" s="53">
        <v>0</v>
      </c>
      <c r="N159" s="53">
        <v>0</v>
      </c>
      <c r="O159" s="53">
        <v>0</v>
      </c>
      <c r="P159" s="53">
        <v>778.11</v>
      </c>
      <c r="Q159" s="53">
        <v>831.97</v>
      </c>
      <c r="R159" s="53">
        <v>834.85199999999998</v>
      </c>
      <c r="S159" s="53">
        <v>921.94500000000005</v>
      </c>
      <c r="T159" s="53">
        <v>908.04700000000003</v>
      </c>
      <c r="U159" s="53">
        <v>894.15</v>
      </c>
      <c r="V159" s="53">
        <v>882.18499999999995</v>
      </c>
      <c r="W159" s="53">
        <v>965.29300000000001</v>
      </c>
      <c r="X159" s="53">
        <v>940.08399999999995</v>
      </c>
      <c r="Y159" s="53">
        <v>939.72199999999998</v>
      </c>
      <c r="Z159" s="53">
        <v>1023.793</v>
      </c>
      <c r="AA159" s="53">
        <v>1076.5899999999999</v>
      </c>
      <c r="AB159" s="53">
        <v>1846.9090000000001</v>
      </c>
      <c r="AC159" s="53">
        <v>1860.7840000000001</v>
      </c>
      <c r="AD159" s="53">
        <v>1893.81</v>
      </c>
      <c r="AE159" s="53">
        <v>1998.758</v>
      </c>
      <c r="AF159" s="53">
        <v>2208.8209999999999</v>
      </c>
      <c r="AG159" s="53">
        <v>2947.5120000000002</v>
      </c>
      <c r="AH159" s="53">
        <v>3191.6619999999998</v>
      </c>
      <c r="AI159" s="53">
        <v>2862.83</v>
      </c>
      <c r="AJ159" s="53">
        <v>2580.1880000000001</v>
      </c>
      <c r="AK159" s="53">
        <v>2842.607</v>
      </c>
      <c r="AL159" s="53">
        <v>2719.6469999999999</v>
      </c>
      <c r="AM159" s="53">
        <v>3242.2849999999999</v>
      </c>
      <c r="AN159" s="53">
        <v>3087.4340000000002</v>
      </c>
      <c r="AO159" s="53">
        <v>3014.7190000000001</v>
      </c>
      <c r="AP159" s="53">
        <v>3075.002</v>
      </c>
      <c r="AQ159" s="53">
        <v>2019.08</v>
      </c>
      <c r="AR159" s="53">
        <v>2064.31</v>
      </c>
      <c r="AS159" s="37"/>
      <c r="AT159" s="53">
        <f t="shared" si="138"/>
        <v>0</v>
      </c>
      <c r="AU159" s="53">
        <f t="shared" si="139"/>
        <v>0</v>
      </c>
      <c r="AV159" s="53">
        <f t="shared" si="140"/>
        <v>921.94500000000005</v>
      </c>
      <c r="AW159" s="53">
        <f t="shared" si="141"/>
        <v>965.29300000000001</v>
      </c>
      <c r="AX159" s="53">
        <f t="shared" si="142"/>
        <v>1076.5899999999999</v>
      </c>
      <c r="AY159" s="53">
        <f t="shared" si="143"/>
        <v>1998.758</v>
      </c>
      <c r="AZ159" s="53">
        <f t="shared" si="144"/>
        <v>2862.83</v>
      </c>
      <c r="BA159" s="53">
        <f t="shared" si="132"/>
        <v>3242.2849999999999</v>
      </c>
      <c r="BB159" s="53">
        <f t="shared" si="145"/>
        <v>2019.08</v>
      </c>
    </row>
    <row r="160" spans="2:54" outlineLevel="2">
      <c r="B160" s="18" t="s">
        <v>192</v>
      </c>
      <c r="C160" s="1" t="s">
        <v>71</v>
      </c>
      <c r="D160" s="53"/>
      <c r="E160" s="53"/>
      <c r="F160" s="53"/>
      <c r="G160" s="53"/>
      <c r="H160" s="53">
        <v>0</v>
      </c>
      <c r="I160" s="53">
        <v>0</v>
      </c>
      <c r="J160" s="53">
        <v>0</v>
      </c>
      <c r="K160" s="53">
        <v>0</v>
      </c>
      <c r="L160" s="53">
        <v>0</v>
      </c>
      <c r="M160" s="53">
        <v>0</v>
      </c>
      <c r="N160" s="53">
        <v>0</v>
      </c>
      <c r="O160" s="53">
        <v>0</v>
      </c>
      <c r="P160" s="53">
        <v>0</v>
      </c>
      <c r="Q160" s="53">
        <v>0</v>
      </c>
      <c r="R160" s="53">
        <v>0</v>
      </c>
      <c r="S160" s="53">
        <v>0</v>
      </c>
      <c r="T160" s="53">
        <v>0</v>
      </c>
      <c r="U160" s="53">
        <v>0</v>
      </c>
      <c r="V160" s="53">
        <v>0</v>
      </c>
      <c r="W160" s="53">
        <v>39.537999999999997</v>
      </c>
      <c r="X160" s="53">
        <v>73.13</v>
      </c>
      <c r="Y160" s="53">
        <v>100.098</v>
      </c>
      <c r="Z160" s="53">
        <v>120.875</v>
      </c>
      <c r="AA160" s="53">
        <v>166.05199999999999</v>
      </c>
      <c r="AB160" s="53">
        <v>551.26</v>
      </c>
      <c r="AC160" s="53">
        <v>643.72799999999995</v>
      </c>
      <c r="AD160" s="53">
        <v>719.15200000000004</v>
      </c>
      <c r="AE160" s="53">
        <v>808.303</v>
      </c>
      <c r="AF160" s="53">
        <v>925.077</v>
      </c>
      <c r="AG160" s="53">
        <v>1028.039</v>
      </c>
      <c r="AH160" s="53">
        <v>1146.2339999999999</v>
      </c>
      <c r="AI160" s="53">
        <v>1039.3229999999999</v>
      </c>
      <c r="AJ160" s="53">
        <v>1154.184</v>
      </c>
      <c r="AK160" s="53">
        <v>1269.0450000000001</v>
      </c>
      <c r="AL160" s="53">
        <v>1383.0219999999999</v>
      </c>
      <c r="AM160" s="53">
        <v>1720.992</v>
      </c>
      <c r="AN160" s="53">
        <v>1825.222</v>
      </c>
      <c r="AO160" s="53">
        <v>1929.5119999999999</v>
      </c>
      <c r="AP160" s="53">
        <v>2011.7940000000001</v>
      </c>
      <c r="AQ160" s="53">
        <v>2086.511</v>
      </c>
      <c r="AR160" s="53">
        <v>2152.6550000000002</v>
      </c>
      <c r="AS160" s="37"/>
      <c r="AT160" s="53">
        <f t="shared" si="138"/>
        <v>0</v>
      </c>
      <c r="AU160" s="53">
        <f t="shared" si="139"/>
        <v>0</v>
      </c>
      <c r="AV160" s="53">
        <f t="shared" si="140"/>
        <v>0</v>
      </c>
      <c r="AW160" s="53">
        <f t="shared" si="141"/>
        <v>39.537999999999997</v>
      </c>
      <c r="AX160" s="53">
        <f t="shared" si="142"/>
        <v>166.05199999999999</v>
      </c>
      <c r="AY160" s="53">
        <f t="shared" si="143"/>
        <v>808.303</v>
      </c>
      <c r="AZ160" s="53">
        <f t="shared" si="144"/>
        <v>1039.3229999999999</v>
      </c>
      <c r="BA160" s="53">
        <f t="shared" si="132"/>
        <v>1720.992</v>
      </c>
      <c r="BB160" s="53">
        <f t="shared" si="145"/>
        <v>2086.511</v>
      </c>
    </row>
    <row r="161" spans="2:54" outlineLevel="2">
      <c r="B161" s="18" t="s">
        <v>193</v>
      </c>
      <c r="C161" s="1" t="s">
        <v>71</v>
      </c>
      <c r="D161" s="53"/>
      <c r="E161" s="53"/>
      <c r="F161" s="53"/>
      <c r="G161" s="53"/>
      <c r="H161" s="53">
        <v>236.733</v>
      </c>
      <c r="I161" s="53">
        <v>239</v>
      </c>
      <c r="J161" s="53">
        <v>241.57</v>
      </c>
      <c r="K161" s="53">
        <v>248.78399999999999</v>
      </c>
      <c r="L161" s="53">
        <v>248.69800000000001</v>
      </c>
      <c r="M161" s="53">
        <v>245.5</v>
      </c>
      <c r="N161" s="53">
        <v>256.17899999999997</v>
      </c>
      <c r="O161" s="53">
        <v>263.44099999999997</v>
      </c>
      <c r="P161" s="53">
        <v>272.29000000000002</v>
      </c>
      <c r="Q161" s="53">
        <v>283.49599999999998</v>
      </c>
      <c r="R161" s="53">
        <v>293.14699999999999</v>
      </c>
      <c r="S161" s="53">
        <v>388.65800000000002</v>
      </c>
      <c r="T161" s="53">
        <v>388.96</v>
      </c>
      <c r="U161" s="53">
        <v>388.30900000000003</v>
      </c>
      <c r="V161" s="53">
        <v>389.55599999999998</v>
      </c>
      <c r="W161" s="53">
        <v>401.94900000000001</v>
      </c>
      <c r="X161" s="53">
        <v>396.51400000000001</v>
      </c>
      <c r="Y161" s="53">
        <v>407.61399999999998</v>
      </c>
      <c r="Z161" s="53">
        <v>407.745</v>
      </c>
      <c r="AA161" s="53">
        <v>428.791</v>
      </c>
      <c r="AB161" s="53">
        <v>1259.8869999999999</v>
      </c>
      <c r="AC161" s="53">
        <v>1269.979</v>
      </c>
      <c r="AD161" s="53">
        <v>1288.4680000000001</v>
      </c>
      <c r="AE161" s="53">
        <v>1360.9739999999999</v>
      </c>
      <c r="AF161" s="53">
        <v>1450.2049999999999</v>
      </c>
      <c r="AG161" s="53">
        <v>1471.277</v>
      </c>
      <c r="AH161" s="53">
        <v>1386.9780000000001</v>
      </c>
      <c r="AI161" s="53">
        <v>1303.3130000000001</v>
      </c>
      <c r="AJ161" s="53">
        <v>1320.299</v>
      </c>
      <c r="AK161" s="53">
        <v>1350.93</v>
      </c>
      <c r="AL161" s="53">
        <v>1519.7820000000002</v>
      </c>
      <c r="AM161" s="53">
        <v>1418.568</v>
      </c>
      <c r="AN161" s="53">
        <v>1553.9839999999999</v>
      </c>
      <c r="AO161" s="53">
        <v>1575.4690000000001</v>
      </c>
      <c r="AP161" s="53">
        <v>1658.498</v>
      </c>
      <c r="AQ161" s="53">
        <v>1714.85</v>
      </c>
      <c r="AR161" s="53">
        <v>1772.452</v>
      </c>
      <c r="AS161" s="37"/>
      <c r="AT161" s="53">
        <f t="shared" si="138"/>
        <v>248.78399999999999</v>
      </c>
      <c r="AU161" s="53">
        <f t="shared" si="139"/>
        <v>263.44099999999997</v>
      </c>
      <c r="AV161" s="53">
        <f t="shared" si="140"/>
        <v>388.65800000000002</v>
      </c>
      <c r="AW161" s="53">
        <f t="shared" si="141"/>
        <v>401.94900000000001</v>
      </c>
      <c r="AX161" s="53">
        <f t="shared" si="142"/>
        <v>428.791</v>
      </c>
      <c r="AY161" s="53">
        <f t="shared" si="143"/>
        <v>1360.9739999999999</v>
      </c>
      <c r="AZ161" s="53">
        <f t="shared" si="144"/>
        <v>1303.3130000000001</v>
      </c>
      <c r="BA161" s="53">
        <f t="shared" si="132"/>
        <v>1418.568</v>
      </c>
      <c r="BB161" s="53">
        <f t="shared" si="145"/>
        <v>1714.85</v>
      </c>
    </row>
    <row r="162" spans="2:54" outlineLevel="2">
      <c r="B162" s="18" t="s">
        <v>188</v>
      </c>
      <c r="C162" s="1" t="s">
        <v>71</v>
      </c>
      <c r="D162" s="53"/>
      <c r="E162" s="53"/>
      <c r="F162" s="53"/>
      <c r="G162" s="53"/>
      <c r="H162" s="53">
        <v>35.298999999999999</v>
      </c>
      <c r="I162" s="53">
        <v>47.4</v>
      </c>
      <c r="J162" s="53">
        <v>47.720999999999997</v>
      </c>
      <c r="K162" s="53">
        <v>48.015999999999998</v>
      </c>
      <c r="L162" s="53">
        <v>48.311999999999998</v>
      </c>
      <c r="M162" s="53">
        <v>42.6</v>
      </c>
      <c r="N162" s="53">
        <v>42.616</v>
      </c>
      <c r="O162" s="53">
        <v>0</v>
      </c>
      <c r="P162" s="53">
        <v>0</v>
      </c>
      <c r="Q162" s="53">
        <v>0</v>
      </c>
      <c r="R162" s="53">
        <v>0</v>
      </c>
      <c r="S162" s="53">
        <v>0</v>
      </c>
      <c r="T162" s="53">
        <v>0</v>
      </c>
      <c r="U162" s="53">
        <v>0</v>
      </c>
      <c r="V162" s="53">
        <v>0</v>
      </c>
      <c r="W162" s="53">
        <v>0</v>
      </c>
      <c r="X162" s="53">
        <v>0</v>
      </c>
      <c r="Y162" s="53">
        <v>0</v>
      </c>
      <c r="Z162" s="53">
        <v>0</v>
      </c>
      <c r="AA162" s="53">
        <v>0</v>
      </c>
      <c r="AB162" s="53">
        <v>0</v>
      </c>
      <c r="AC162" s="53">
        <v>0</v>
      </c>
      <c r="AD162" s="53">
        <v>0</v>
      </c>
      <c r="AE162" s="53">
        <v>0</v>
      </c>
      <c r="AF162" s="53">
        <v>0</v>
      </c>
      <c r="AG162" s="53">
        <v>0</v>
      </c>
      <c r="AH162" s="53">
        <v>0</v>
      </c>
      <c r="AI162" s="53">
        <v>0</v>
      </c>
      <c r="AJ162" s="53">
        <v>0</v>
      </c>
      <c r="AK162" s="53">
        <v>0</v>
      </c>
      <c r="AL162" s="53">
        <v>0</v>
      </c>
      <c r="AM162" s="53">
        <v>0</v>
      </c>
      <c r="AN162" s="53">
        <v>0</v>
      </c>
      <c r="AO162" s="53">
        <v>0</v>
      </c>
      <c r="AP162" s="53">
        <v>0</v>
      </c>
      <c r="AQ162" s="53">
        <v>0</v>
      </c>
      <c r="AR162" s="53">
        <v>0</v>
      </c>
      <c r="AS162" s="37"/>
      <c r="AT162" s="53">
        <f t="shared" si="138"/>
        <v>48.015999999999998</v>
      </c>
      <c r="AU162" s="53">
        <f t="shared" si="139"/>
        <v>0</v>
      </c>
      <c r="AV162" s="53">
        <f t="shared" si="140"/>
        <v>0</v>
      </c>
      <c r="AW162" s="53">
        <f t="shared" si="141"/>
        <v>0</v>
      </c>
      <c r="AX162" s="53">
        <f t="shared" si="142"/>
        <v>0</v>
      </c>
      <c r="AY162" s="53">
        <f t="shared" si="143"/>
        <v>0</v>
      </c>
      <c r="AZ162" s="53">
        <f t="shared" si="144"/>
        <v>0</v>
      </c>
      <c r="BA162" s="53">
        <f t="shared" si="132"/>
        <v>0</v>
      </c>
      <c r="BB162" s="53">
        <f t="shared" si="145"/>
        <v>0</v>
      </c>
    </row>
    <row r="163" spans="2:54" outlineLevel="2">
      <c r="B163" s="18" t="s">
        <v>194</v>
      </c>
      <c r="C163" s="1" t="s">
        <v>71</v>
      </c>
      <c r="D163" s="53"/>
      <c r="E163" s="53"/>
      <c r="F163" s="53"/>
      <c r="G163" s="53"/>
      <c r="H163" s="53">
        <v>0</v>
      </c>
      <c r="I163" s="53">
        <v>0</v>
      </c>
      <c r="J163" s="53">
        <v>0</v>
      </c>
      <c r="K163" s="53">
        <v>0</v>
      </c>
      <c r="L163" s="53">
        <v>0</v>
      </c>
      <c r="M163" s="53">
        <v>0</v>
      </c>
      <c r="N163" s="53">
        <v>0</v>
      </c>
      <c r="O163" s="53">
        <v>0</v>
      </c>
      <c r="P163" s="53">
        <v>0</v>
      </c>
      <c r="Q163" s="53">
        <v>0</v>
      </c>
      <c r="R163" s="53">
        <v>0</v>
      </c>
      <c r="S163" s="53">
        <v>0</v>
      </c>
      <c r="T163" s="53">
        <v>0</v>
      </c>
      <c r="U163" s="53">
        <v>0</v>
      </c>
      <c r="V163" s="53">
        <v>0</v>
      </c>
      <c r="W163" s="53">
        <v>0</v>
      </c>
      <c r="X163" s="53">
        <v>0</v>
      </c>
      <c r="Y163" s="53">
        <v>0</v>
      </c>
      <c r="Z163" s="53">
        <v>0</v>
      </c>
      <c r="AA163" s="53">
        <v>0</v>
      </c>
      <c r="AB163" s="53">
        <v>0</v>
      </c>
      <c r="AC163" s="53">
        <v>0</v>
      </c>
      <c r="AD163" s="53">
        <v>0</v>
      </c>
      <c r="AE163" s="53">
        <v>0</v>
      </c>
      <c r="AF163" s="53">
        <v>0</v>
      </c>
      <c r="AG163" s="53">
        <v>0</v>
      </c>
      <c r="AH163" s="53">
        <v>0</v>
      </c>
      <c r="AI163" s="53">
        <v>0</v>
      </c>
      <c r="AJ163" s="53">
        <v>0</v>
      </c>
      <c r="AK163" s="53">
        <v>0</v>
      </c>
      <c r="AL163" s="53">
        <v>0</v>
      </c>
      <c r="AM163" s="53">
        <v>0</v>
      </c>
      <c r="AN163" s="53">
        <v>0</v>
      </c>
      <c r="AO163" s="53">
        <v>0</v>
      </c>
      <c r="AP163" s="53">
        <v>0</v>
      </c>
      <c r="AQ163" s="53">
        <v>0</v>
      </c>
      <c r="AR163" s="53">
        <v>0</v>
      </c>
      <c r="AS163" s="37"/>
      <c r="AT163" s="53">
        <f t="shared" si="138"/>
        <v>0</v>
      </c>
      <c r="AU163" s="53">
        <f t="shared" si="139"/>
        <v>0</v>
      </c>
      <c r="AV163" s="53">
        <f t="shared" si="140"/>
        <v>0</v>
      </c>
      <c r="AW163" s="53">
        <f t="shared" si="141"/>
        <v>0</v>
      </c>
      <c r="AX163" s="53">
        <f t="shared" si="142"/>
        <v>0</v>
      </c>
      <c r="AY163" s="53">
        <f t="shared" si="143"/>
        <v>0</v>
      </c>
      <c r="AZ163" s="53">
        <f t="shared" si="144"/>
        <v>0</v>
      </c>
      <c r="BA163" s="53">
        <f t="shared" si="132"/>
        <v>0</v>
      </c>
      <c r="BB163" s="53">
        <f t="shared" si="145"/>
        <v>0</v>
      </c>
    </row>
    <row r="164" spans="2:54" outlineLevel="2">
      <c r="B164" s="18" t="s">
        <v>195</v>
      </c>
      <c r="C164" s="1" t="s">
        <v>71</v>
      </c>
      <c r="D164" s="53"/>
      <c r="E164" s="53"/>
      <c r="F164" s="53"/>
      <c r="G164" s="53"/>
      <c r="H164" s="53">
        <v>11.831</v>
      </c>
      <c r="I164" s="53">
        <v>0</v>
      </c>
      <c r="J164" s="53">
        <v>0</v>
      </c>
      <c r="K164" s="53">
        <v>0</v>
      </c>
      <c r="L164" s="53">
        <v>0</v>
      </c>
      <c r="M164" s="53">
        <v>0</v>
      </c>
      <c r="N164" s="53">
        <v>0</v>
      </c>
      <c r="O164" s="53">
        <v>0</v>
      </c>
      <c r="P164" s="53">
        <v>0</v>
      </c>
      <c r="Q164" s="53">
        <v>0</v>
      </c>
      <c r="R164" s="53">
        <v>0</v>
      </c>
      <c r="S164" s="53">
        <v>0</v>
      </c>
      <c r="T164" s="53">
        <v>0</v>
      </c>
      <c r="U164" s="53">
        <v>0</v>
      </c>
      <c r="V164" s="53">
        <v>0</v>
      </c>
      <c r="W164" s="53">
        <v>0</v>
      </c>
      <c r="X164" s="53">
        <v>0</v>
      </c>
      <c r="Y164" s="53">
        <v>0</v>
      </c>
      <c r="Z164" s="53">
        <v>0</v>
      </c>
      <c r="AA164" s="53">
        <v>0</v>
      </c>
      <c r="AB164" s="53">
        <v>0</v>
      </c>
      <c r="AC164" s="53">
        <v>0</v>
      </c>
      <c r="AD164" s="53">
        <v>0</v>
      </c>
      <c r="AE164" s="53">
        <v>0</v>
      </c>
      <c r="AF164" s="53">
        <v>0</v>
      </c>
      <c r="AG164" s="53">
        <v>0</v>
      </c>
      <c r="AH164" s="53">
        <v>0</v>
      </c>
      <c r="AI164" s="53">
        <v>0</v>
      </c>
      <c r="AJ164" s="53">
        <v>0</v>
      </c>
      <c r="AK164" s="53">
        <v>0</v>
      </c>
      <c r="AL164" s="53">
        <v>0</v>
      </c>
      <c r="AM164" s="53">
        <v>0</v>
      </c>
      <c r="AN164" s="53">
        <v>0</v>
      </c>
      <c r="AO164" s="53">
        <v>0</v>
      </c>
      <c r="AP164" s="53">
        <v>0</v>
      </c>
      <c r="AQ164" s="53">
        <v>0</v>
      </c>
      <c r="AR164" s="53">
        <v>0</v>
      </c>
      <c r="AS164" s="37"/>
      <c r="AT164" s="53">
        <f t="shared" si="138"/>
        <v>0</v>
      </c>
      <c r="AU164" s="53">
        <f t="shared" si="139"/>
        <v>0</v>
      </c>
      <c r="AV164" s="53">
        <f t="shared" si="140"/>
        <v>0</v>
      </c>
      <c r="AW164" s="53">
        <f t="shared" si="141"/>
        <v>0</v>
      </c>
      <c r="AX164" s="53">
        <f t="shared" si="142"/>
        <v>0</v>
      </c>
      <c r="AY164" s="53">
        <f t="shared" si="143"/>
        <v>0</v>
      </c>
      <c r="AZ164" s="53">
        <f t="shared" si="144"/>
        <v>0</v>
      </c>
      <c r="BA164" s="53">
        <f t="shared" si="132"/>
        <v>0</v>
      </c>
      <c r="BB164" s="53">
        <f t="shared" si="145"/>
        <v>0</v>
      </c>
    </row>
    <row r="165" spans="2:54" outlineLevel="2">
      <c r="B165" s="18" t="s">
        <v>163</v>
      </c>
      <c r="C165" s="1" t="s">
        <v>71</v>
      </c>
      <c r="D165" s="53"/>
      <c r="E165" s="53"/>
      <c r="F165" s="53"/>
      <c r="G165" s="53"/>
      <c r="H165" s="53">
        <v>0</v>
      </c>
      <c r="I165" s="53">
        <v>0</v>
      </c>
      <c r="J165" s="53">
        <v>0</v>
      </c>
      <c r="K165" s="53">
        <v>0</v>
      </c>
      <c r="L165" s="53">
        <v>0</v>
      </c>
      <c r="M165" s="53">
        <v>0</v>
      </c>
      <c r="N165" s="53">
        <v>0</v>
      </c>
      <c r="O165" s="53">
        <v>0</v>
      </c>
      <c r="P165" s="53">
        <v>0</v>
      </c>
      <c r="Q165" s="53">
        <v>0</v>
      </c>
      <c r="R165" s="53">
        <v>0</v>
      </c>
      <c r="S165" s="53">
        <v>0</v>
      </c>
      <c r="T165" s="53">
        <v>0</v>
      </c>
      <c r="U165" s="53">
        <v>0</v>
      </c>
      <c r="V165" s="53">
        <v>0</v>
      </c>
      <c r="W165" s="53">
        <v>0</v>
      </c>
      <c r="X165" s="53">
        <v>0</v>
      </c>
      <c r="Y165" s="53">
        <v>0</v>
      </c>
      <c r="Z165" s="53">
        <v>0</v>
      </c>
      <c r="AA165" s="53">
        <v>18.289000000000001</v>
      </c>
      <c r="AB165" s="53">
        <v>29.844000000000001</v>
      </c>
      <c r="AC165" s="53">
        <v>22.707000000000001</v>
      </c>
      <c r="AD165" s="53">
        <v>49.25</v>
      </c>
      <c r="AE165" s="53">
        <v>42.183999999999997</v>
      </c>
      <c r="AF165" s="53">
        <v>34.604999999999997</v>
      </c>
      <c r="AG165" s="53">
        <v>30.11</v>
      </c>
      <c r="AH165" s="53">
        <v>59.447000000000003</v>
      </c>
      <c r="AI165" s="53">
        <v>24.1</v>
      </c>
      <c r="AJ165" s="53">
        <v>12.997999999999999</v>
      </c>
      <c r="AK165" s="53">
        <v>0</v>
      </c>
      <c r="AL165" s="53">
        <v>11.878</v>
      </c>
      <c r="AM165" s="53">
        <v>0</v>
      </c>
      <c r="AN165" s="53">
        <v>2.6739999999999999</v>
      </c>
      <c r="AO165" s="53">
        <v>18.536999999999999</v>
      </c>
      <c r="AP165" s="53">
        <v>18.594000000000001</v>
      </c>
      <c r="AQ165" s="53">
        <v>16.855</v>
      </c>
      <c r="AR165" s="53">
        <v>26.033999999999999</v>
      </c>
      <c r="AS165" s="37"/>
      <c r="AT165" s="53">
        <f t="shared" si="138"/>
        <v>0</v>
      </c>
      <c r="AU165" s="53">
        <f t="shared" si="139"/>
        <v>0</v>
      </c>
      <c r="AV165" s="53">
        <f t="shared" si="140"/>
        <v>0</v>
      </c>
      <c r="AW165" s="53">
        <f t="shared" si="141"/>
        <v>0</v>
      </c>
      <c r="AX165" s="53">
        <f t="shared" si="142"/>
        <v>18.289000000000001</v>
      </c>
      <c r="AY165" s="53">
        <f t="shared" si="143"/>
        <v>42.183999999999997</v>
      </c>
      <c r="AZ165" s="53">
        <f t="shared" si="144"/>
        <v>24.1</v>
      </c>
      <c r="BA165" s="53">
        <f t="shared" si="132"/>
        <v>0</v>
      </c>
      <c r="BB165" s="53">
        <f t="shared" si="145"/>
        <v>16.855</v>
      </c>
    </row>
    <row r="166" spans="2:54" outlineLevel="2">
      <c r="B166" s="18" t="s">
        <v>189</v>
      </c>
      <c r="C166" s="1" t="s">
        <v>71</v>
      </c>
      <c r="D166" s="53"/>
      <c r="E166" s="53"/>
      <c r="F166" s="53"/>
      <c r="G166" s="53"/>
      <c r="H166" s="53">
        <v>7.8230000000000004</v>
      </c>
      <c r="I166" s="53">
        <v>14</v>
      </c>
      <c r="J166" s="53">
        <v>8.5609999999999999</v>
      </c>
      <c r="K166" s="53">
        <v>5.6959999999999997</v>
      </c>
      <c r="L166" s="53">
        <v>4.9859999999999998</v>
      </c>
      <c r="M166" s="53">
        <v>7.8</v>
      </c>
      <c r="N166" s="53">
        <v>8.5239999999999991</v>
      </c>
      <c r="O166" s="53">
        <v>7.915</v>
      </c>
      <c r="P166" s="53">
        <v>7.3049999999999997</v>
      </c>
      <c r="Q166" s="53">
        <v>6.6959999999999997</v>
      </c>
      <c r="R166" s="53">
        <v>12.54</v>
      </c>
      <c r="S166" s="53">
        <v>44.218000000000004</v>
      </c>
      <c r="T166" s="53">
        <v>89.635000000000005</v>
      </c>
      <c r="U166" s="53">
        <v>95.278999999999996</v>
      </c>
      <c r="V166" s="53">
        <v>95.119</v>
      </c>
      <c r="W166" s="53">
        <v>101.364</v>
      </c>
      <c r="X166" s="53">
        <v>76.135999999999996</v>
      </c>
      <c r="Y166" s="53">
        <v>432.435</v>
      </c>
      <c r="Z166" s="53">
        <v>454.923</v>
      </c>
      <c r="AA166" s="55">
        <v>881.11400000000003</v>
      </c>
      <c r="AB166" s="53">
        <v>1955.7550000000001</v>
      </c>
      <c r="AC166" s="53">
        <v>1291.171</v>
      </c>
      <c r="AD166" s="53">
        <v>823.53300000000002</v>
      </c>
      <c r="AE166" s="53">
        <v>1544.731</v>
      </c>
      <c r="AF166" s="53">
        <v>1463.107</v>
      </c>
      <c r="AG166" s="53">
        <v>1545.1130000000001</v>
      </c>
      <c r="AH166" s="53">
        <v>1614.5940000000001</v>
      </c>
      <c r="AI166" s="53">
        <v>1572.117</v>
      </c>
      <c r="AJ166" s="53">
        <v>1586.278</v>
      </c>
      <c r="AK166" s="53">
        <v>1184.8129999999999</v>
      </c>
      <c r="AL166" s="53">
        <v>1093.425</v>
      </c>
      <c r="AM166" s="53">
        <v>1232.8009999999999</v>
      </c>
      <c r="AN166" s="53">
        <v>1267.1659999999999</v>
      </c>
      <c r="AO166" s="53">
        <v>1054.9960000000001</v>
      </c>
      <c r="AP166" s="53">
        <v>877.73900000000003</v>
      </c>
      <c r="AQ166" s="53">
        <v>574.32299999999998</v>
      </c>
      <c r="AR166" s="53">
        <v>386.61599999999999</v>
      </c>
      <c r="AS166" s="37"/>
      <c r="AT166" s="53">
        <f t="shared" si="138"/>
        <v>5.6959999999999997</v>
      </c>
      <c r="AU166" s="53">
        <f t="shared" si="139"/>
        <v>7.915</v>
      </c>
      <c r="AV166" s="53">
        <f t="shared" si="140"/>
        <v>44.218000000000004</v>
      </c>
      <c r="AW166" s="53">
        <f t="shared" si="141"/>
        <v>101.364</v>
      </c>
      <c r="AX166" s="55">
        <f t="shared" si="142"/>
        <v>881.11400000000003</v>
      </c>
      <c r="AY166" s="53">
        <f t="shared" si="143"/>
        <v>1544.731</v>
      </c>
      <c r="AZ166" s="53">
        <f t="shared" si="144"/>
        <v>1572.117</v>
      </c>
      <c r="BA166" s="53">
        <f t="shared" si="132"/>
        <v>1232.8009999999999</v>
      </c>
      <c r="BB166" s="53">
        <f t="shared" si="145"/>
        <v>574.32299999999998</v>
      </c>
    </row>
    <row r="167" spans="2:54" ht="13.5" outlineLevel="2">
      <c r="B167" s="56" t="s">
        <v>196</v>
      </c>
      <c r="C167" s="10" t="s">
        <v>71</v>
      </c>
      <c r="D167" s="57"/>
      <c r="E167" s="57"/>
      <c r="F167" s="57"/>
      <c r="G167" s="57"/>
      <c r="H167" s="57">
        <f t="shared" ref="H167:Y167" si="146">SUM(H176:H177)</f>
        <v>664.33600000000001</v>
      </c>
      <c r="I167" s="57">
        <f t="shared" si="146"/>
        <v>813.49599999999998</v>
      </c>
      <c r="J167" s="57">
        <f t="shared" si="146"/>
        <v>960.40499999999997</v>
      </c>
      <c r="K167" s="57">
        <f t="shared" si="146"/>
        <v>472.00300000000004</v>
      </c>
      <c r="L167" s="57">
        <f t="shared" si="146"/>
        <v>685.65500000000009</v>
      </c>
      <c r="M167" s="57">
        <f t="shared" si="146"/>
        <v>3365.5</v>
      </c>
      <c r="N167" s="57">
        <f t="shared" si="146"/>
        <v>3555.8510000000001</v>
      </c>
      <c r="O167" s="57">
        <f t="shared" si="146"/>
        <v>3605.855</v>
      </c>
      <c r="P167" s="57">
        <f t="shared" si="146"/>
        <v>3820.2489999999998</v>
      </c>
      <c r="Q167" s="57">
        <f t="shared" si="146"/>
        <v>3929.1829999999995</v>
      </c>
      <c r="R167" s="57">
        <f t="shared" si="146"/>
        <v>6707.5329999999994</v>
      </c>
      <c r="S167" s="57">
        <f t="shared" si="146"/>
        <v>7261.8849999999993</v>
      </c>
      <c r="T167" s="57">
        <f t="shared" si="146"/>
        <v>7426.436999999999</v>
      </c>
      <c r="U167" s="57">
        <f t="shared" si="146"/>
        <v>7705.3619999999983</v>
      </c>
      <c r="V167" s="57">
        <f t="shared" si="146"/>
        <v>7842.4409999999998</v>
      </c>
      <c r="W167" s="57">
        <f t="shared" si="146"/>
        <v>7830.9869999999992</v>
      </c>
      <c r="X167" s="57">
        <f t="shared" si="146"/>
        <v>7982.8159999999998</v>
      </c>
      <c r="Y167" s="57">
        <f t="shared" si="146"/>
        <v>10665.408999999998</v>
      </c>
      <c r="Z167" s="57">
        <f t="shared" ref="Z167:AH167" si="147">SUM(Z176:Z177)</f>
        <v>10619.921</v>
      </c>
      <c r="AA167" s="57">
        <f t="shared" si="147"/>
        <v>10572.994000000001</v>
      </c>
      <c r="AB167" s="57">
        <f t="shared" si="147"/>
        <v>49147.770000000004</v>
      </c>
      <c r="AC167" s="57">
        <f t="shared" si="147"/>
        <v>48908.155999999995</v>
      </c>
      <c r="AD167" s="57">
        <f t="shared" si="147"/>
        <v>49057.620999999999</v>
      </c>
      <c r="AE167" s="57">
        <f t="shared" si="147"/>
        <v>48756.710999999996</v>
      </c>
      <c r="AF167" s="57">
        <f t="shared" si="147"/>
        <v>48464.297999999995</v>
      </c>
      <c r="AG167" s="57">
        <f t="shared" si="147"/>
        <v>49340.722999999998</v>
      </c>
      <c r="AH167" s="57">
        <f t="shared" si="147"/>
        <v>49123.078000000001</v>
      </c>
      <c r="AI167" s="57">
        <f>SUM(AI176:AI177)</f>
        <v>48813.563999999991</v>
      </c>
      <c r="AJ167" s="57">
        <f t="shared" ref="AJ167:AO167" si="148">SUM(AJ176:AJ177)</f>
        <v>48751.771000000001</v>
      </c>
      <c r="AK167" s="57">
        <f t="shared" si="148"/>
        <v>48805.170999999995</v>
      </c>
      <c r="AL167" s="57">
        <f t="shared" si="148"/>
        <v>48748.578999999998</v>
      </c>
      <c r="AM167" s="57">
        <f t="shared" si="148"/>
        <v>48727.210999999988</v>
      </c>
      <c r="AN167" s="57">
        <f t="shared" si="148"/>
        <v>48784.619999999988</v>
      </c>
      <c r="AO167" s="57">
        <f t="shared" si="148"/>
        <v>48620.187999999995</v>
      </c>
      <c r="AP167" s="57">
        <f>SUM(AP176:AP177)</f>
        <v>48552.388999999996</v>
      </c>
      <c r="AQ167" s="57">
        <f>SUM(AQ176:AQ177)</f>
        <v>48205.123999999989</v>
      </c>
      <c r="AR167" s="57">
        <f>SUM(AR176:AR177)</f>
        <v>48054.979999999996</v>
      </c>
      <c r="AS167" s="37"/>
      <c r="AT167" s="57">
        <f t="shared" ref="AT167:BB167" si="149">SUM(AT176:AT177)</f>
        <v>472.00300000000004</v>
      </c>
      <c r="AU167" s="57">
        <f t="shared" si="149"/>
        <v>3605.855</v>
      </c>
      <c r="AV167" s="57">
        <f t="shared" si="149"/>
        <v>7261.8849999999993</v>
      </c>
      <c r="AW167" s="57">
        <f t="shared" si="149"/>
        <v>7830.9869999999992</v>
      </c>
      <c r="AX167" s="57">
        <f t="shared" si="149"/>
        <v>10572.994000000001</v>
      </c>
      <c r="AY167" s="57">
        <f t="shared" si="149"/>
        <v>48756.710999999996</v>
      </c>
      <c r="AZ167" s="57">
        <f t="shared" si="149"/>
        <v>48813.563999999991</v>
      </c>
      <c r="BA167" s="57">
        <f t="shared" si="149"/>
        <v>48727.210999999988</v>
      </c>
      <c r="BB167" s="57">
        <f t="shared" si="149"/>
        <v>48205.123999999989</v>
      </c>
    </row>
    <row r="168" spans="2:54" outlineLevel="2">
      <c r="B168" s="78" t="s">
        <v>197</v>
      </c>
      <c r="C168" s="1" t="s">
        <v>71</v>
      </c>
      <c r="D168" s="53"/>
      <c r="E168" s="53"/>
      <c r="F168" s="53"/>
      <c r="G168" s="53"/>
      <c r="H168" s="53">
        <v>280</v>
      </c>
      <c r="I168" s="53">
        <v>280</v>
      </c>
      <c r="J168" s="53">
        <v>280</v>
      </c>
      <c r="K168" s="53">
        <v>280</v>
      </c>
      <c r="L168" s="53">
        <v>280</v>
      </c>
      <c r="M168" s="53">
        <v>2810</v>
      </c>
      <c r="N168" s="53">
        <v>2810.2190000000001</v>
      </c>
      <c r="O168" s="53">
        <v>2810.2190000000001</v>
      </c>
      <c r="P168" s="53">
        <v>2810.2190000000001</v>
      </c>
      <c r="Q168" s="53">
        <v>2810.2190000000001</v>
      </c>
      <c r="R168" s="53">
        <v>5400.2420000000002</v>
      </c>
      <c r="S168" s="53">
        <v>5650.5259999999998</v>
      </c>
      <c r="T168" s="53">
        <v>5650.5259999999998</v>
      </c>
      <c r="U168" s="53">
        <v>5650.5259999999998</v>
      </c>
      <c r="V168" s="53">
        <v>5650.5259999999998</v>
      </c>
      <c r="W168" s="53">
        <v>5650.5259999999998</v>
      </c>
      <c r="X168" s="53">
        <v>5650.5259999999998</v>
      </c>
      <c r="Y168" s="53">
        <v>8124.26</v>
      </c>
      <c r="Z168" s="53">
        <v>8124.1850000000004</v>
      </c>
      <c r="AA168" s="53">
        <v>8124.1850000000004</v>
      </c>
      <c r="AB168" s="53">
        <v>37821.764999999999</v>
      </c>
      <c r="AC168" s="53">
        <v>37821.764999999999</v>
      </c>
      <c r="AD168" s="53">
        <v>37821.764999999999</v>
      </c>
      <c r="AE168" s="53">
        <v>37833.968999999997</v>
      </c>
      <c r="AF168" s="53">
        <v>37833.968999999997</v>
      </c>
      <c r="AG168" s="53">
        <v>38868.379999999997</v>
      </c>
      <c r="AH168" s="53">
        <v>38866.199000000001</v>
      </c>
      <c r="AI168" s="53">
        <v>38866.199000000001</v>
      </c>
      <c r="AJ168" s="53">
        <v>38866.199000000001</v>
      </c>
      <c r="AK168" s="53">
        <v>38866.199000000001</v>
      </c>
      <c r="AL168" s="53">
        <v>38866.199000000001</v>
      </c>
      <c r="AM168" s="53">
        <v>38866.199000000001</v>
      </c>
      <c r="AN168" s="53">
        <v>38866.199000000001</v>
      </c>
      <c r="AO168" s="53">
        <v>38866.199000000001</v>
      </c>
      <c r="AP168" s="53">
        <v>38866.332999999999</v>
      </c>
      <c r="AQ168" s="53">
        <v>38866.332999999999</v>
      </c>
      <c r="AR168" s="53">
        <v>38866.332999999999</v>
      </c>
      <c r="AS168" s="37"/>
      <c r="AT168" s="53">
        <f t="shared" ref="AT168:AT175" si="150">K168</f>
        <v>280</v>
      </c>
      <c r="AU168" s="53">
        <f t="shared" ref="AU168:AU175" si="151">O168</f>
        <v>2810.2190000000001</v>
      </c>
      <c r="AV168" s="53">
        <f t="shared" ref="AV168:AV175" si="152">S168</f>
        <v>5650.5259999999998</v>
      </c>
      <c r="AW168" s="53">
        <f t="shared" ref="AW168:AW175" si="153">W168</f>
        <v>5650.5259999999998</v>
      </c>
      <c r="AX168" s="53">
        <f t="shared" ref="AX168:AX177" si="154">AA168</f>
        <v>8124.1850000000004</v>
      </c>
      <c r="AY168" s="53">
        <f t="shared" ref="AY168:AY177" si="155">AE168</f>
        <v>37833.968999999997</v>
      </c>
      <c r="AZ168" s="53">
        <f t="shared" ref="AZ168:AZ177" si="156">AI168</f>
        <v>38866.199000000001</v>
      </c>
      <c r="BA168" s="53">
        <f t="shared" si="132"/>
        <v>38866.199000000001</v>
      </c>
      <c r="BB168" s="53">
        <f t="shared" ref="BB168:BB177" si="157">AQ168</f>
        <v>38866.332999999999</v>
      </c>
    </row>
    <row r="169" spans="2:54" outlineLevel="2">
      <c r="B169" s="78" t="s">
        <v>198</v>
      </c>
      <c r="C169" s="1" t="s">
        <v>71</v>
      </c>
      <c r="D169" s="53"/>
      <c r="E169" s="53"/>
      <c r="F169" s="53"/>
      <c r="G169" s="53"/>
      <c r="H169" s="53"/>
      <c r="I169" s="53"/>
      <c r="J169" s="53"/>
      <c r="K169" s="53"/>
      <c r="L169" s="53"/>
      <c r="M169" s="53"/>
      <c r="N169" s="53"/>
      <c r="O169" s="53"/>
      <c r="P169" s="53"/>
      <c r="Q169" s="53"/>
      <c r="R169" s="53"/>
      <c r="S169" s="53">
        <v>-2E-3</v>
      </c>
      <c r="T169" s="53">
        <v>-2E-3</v>
      </c>
      <c r="U169" s="53">
        <v>-2E-3</v>
      </c>
      <c r="V169" s="53">
        <v>-2E-3</v>
      </c>
      <c r="W169" s="53">
        <v>-2E-3</v>
      </c>
      <c r="X169" s="53">
        <v>-2E-3</v>
      </c>
      <c r="Y169" s="53">
        <v>-2E-3</v>
      </c>
      <c r="Z169" s="53">
        <v>-73.998000000000005</v>
      </c>
      <c r="AA169" s="53">
        <v>-299.82600000000002</v>
      </c>
      <c r="AB169" s="53">
        <v>-329.10599999999999</v>
      </c>
      <c r="AC169" s="53">
        <v>-329.10599999999999</v>
      </c>
      <c r="AD169" s="53">
        <v>-329.10599999999999</v>
      </c>
      <c r="AE169" s="53">
        <v>-427.77600000000001</v>
      </c>
      <c r="AF169" s="53">
        <v>-425.56700000000001</v>
      </c>
      <c r="AG169" s="53">
        <v>-425.56700000000001</v>
      </c>
      <c r="AH169" s="53">
        <v>-451.96699999999998</v>
      </c>
      <c r="AI169" s="53">
        <v>-451.96699999999998</v>
      </c>
      <c r="AJ169" s="53">
        <v>-424.435</v>
      </c>
      <c r="AK169" s="53">
        <v>-423.09899999999999</v>
      </c>
      <c r="AL169" s="53">
        <v>-423.09899999999999</v>
      </c>
      <c r="AM169" s="53">
        <v>-623.18799999999999</v>
      </c>
      <c r="AN169" s="53">
        <v>-623.47400000000005</v>
      </c>
      <c r="AO169" s="53">
        <v>-585.101</v>
      </c>
      <c r="AP169" s="53">
        <v>-577.35</v>
      </c>
      <c r="AQ169" s="53">
        <v>-961.42499999999995</v>
      </c>
      <c r="AR169" s="53">
        <v>-941.80700000000002</v>
      </c>
      <c r="AS169" s="37"/>
      <c r="AT169" s="53">
        <f t="shared" si="150"/>
        <v>0</v>
      </c>
      <c r="AU169" s="53">
        <f t="shared" si="151"/>
        <v>0</v>
      </c>
      <c r="AV169" s="53">
        <f t="shared" si="152"/>
        <v>-2E-3</v>
      </c>
      <c r="AW169" s="53">
        <f t="shared" si="153"/>
        <v>-2E-3</v>
      </c>
      <c r="AX169" s="53">
        <f t="shared" si="154"/>
        <v>-299.82600000000002</v>
      </c>
      <c r="AY169" s="53">
        <f t="shared" si="155"/>
        <v>-427.77600000000001</v>
      </c>
      <c r="AZ169" s="53">
        <f t="shared" si="156"/>
        <v>-451.96699999999998</v>
      </c>
      <c r="BA169" s="53">
        <f t="shared" si="132"/>
        <v>-623.18799999999999</v>
      </c>
      <c r="BB169" s="53">
        <f t="shared" si="157"/>
        <v>-961.42499999999995</v>
      </c>
    </row>
    <row r="170" spans="2:54" outlineLevel="2">
      <c r="B170" s="78" t="s">
        <v>199</v>
      </c>
      <c r="C170" s="1" t="s">
        <v>71</v>
      </c>
      <c r="D170" s="53"/>
      <c r="E170" s="53"/>
      <c r="F170" s="53"/>
      <c r="G170" s="53"/>
      <c r="H170" s="53">
        <v>23.027999999999999</v>
      </c>
      <c r="I170" s="53">
        <v>23.027999999999999</v>
      </c>
      <c r="J170" s="53">
        <v>23.027999999999999</v>
      </c>
      <c r="K170" s="53">
        <v>55.558</v>
      </c>
      <c r="L170" s="53">
        <v>55.558</v>
      </c>
      <c r="M170" s="53">
        <v>55.6</v>
      </c>
      <c r="N170" s="53">
        <v>55.558</v>
      </c>
      <c r="O170" s="53">
        <v>94.932000000000002</v>
      </c>
      <c r="P170" s="53">
        <v>94.932000000000002</v>
      </c>
      <c r="Q170" s="53">
        <v>94.932000000000002</v>
      </c>
      <c r="R170" s="53">
        <v>94.932000000000002</v>
      </c>
      <c r="S170" s="53">
        <v>137.423</v>
      </c>
      <c r="T170" s="53">
        <v>137.423</v>
      </c>
      <c r="U170" s="53">
        <v>137.423</v>
      </c>
      <c r="V170" s="53">
        <v>137.423</v>
      </c>
      <c r="W170" s="53">
        <v>176.596</v>
      </c>
      <c r="X170" s="53">
        <v>176.596</v>
      </c>
      <c r="Y170" s="53">
        <v>176.596</v>
      </c>
      <c r="Z170" s="53">
        <v>176.596</v>
      </c>
      <c r="AA170" s="53">
        <v>201.48599999999999</v>
      </c>
      <c r="AB170" s="53">
        <v>201.48599999999999</v>
      </c>
      <c r="AC170" s="53">
        <v>201.48599999999999</v>
      </c>
      <c r="AD170" s="53">
        <v>201.48599999999999</v>
      </c>
      <c r="AE170" s="53">
        <v>201.48599999999999</v>
      </c>
      <c r="AF170" s="53">
        <v>201.48599999999999</v>
      </c>
      <c r="AG170" s="53">
        <v>201.48599999999999</v>
      </c>
      <c r="AH170" s="53">
        <v>201.48599999999999</v>
      </c>
      <c r="AI170" s="53">
        <v>201.48599999999999</v>
      </c>
      <c r="AJ170" s="53">
        <v>201.48599999999999</v>
      </c>
      <c r="AK170" s="53">
        <v>201.48599999999999</v>
      </c>
      <c r="AL170" s="53">
        <v>201.48599999999999</v>
      </c>
      <c r="AM170" s="53">
        <v>201.48599999999999</v>
      </c>
      <c r="AN170" s="53">
        <v>201.48599999999999</v>
      </c>
      <c r="AO170" s="53">
        <v>201.48599999999999</v>
      </c>
      <c r="AP170" s="53">
        <v>201.48599999999999</v>
      </c>
      <c r="AQ170" s="53">
        <v>201.48599999999999</v>
      </c>
      <c r="AR170" s="53">
        <v>201.48599999999999</v>
      </c>
      <c r="AS170" s="53"/>
      <c r="AT170" s="53">
        <f t="shared" si="150"/>
        <v>55.558</v>
      </c>
      <c r="AU170" s="53">
        <f t="shared" si="151"/>
        <v>94.932000000000002</v>
      </c>
      <c r="AV170" s="53">
        <f t="shared" si="152"/>
        <v>137.423</v>
      </c>
      <c r="AW170" s="53">
        <f t="shared" si="153"/>
        <v>176.596</v>
      </c>
      <c r="AX170" s="53">
        <f t="shared" si="154"/>
        <v>201.48599999999999</v>
      </c>
      <c r="AY170" s="53">
        <f t="shared" si="155"/>
        <v>201.48599999999999</v>
      </c>
      <c r="AZ170" s="53">
        <f t="shared" si="156"/>
        <v>201.48599999999999</v>
      </c>
      <c r="BA170" s="53">
        <f t="shared" si="132"/>
        <v>201.48599999999999</v>
      </c>
      <c r="BB170" s="53">
        <f t="shared" si="157"/>
        <v>201.48599999999999</v>
      </c>
    </row>
    <row r="171" spans="2:54" outlineLevel="2">
      <c r="B171" s="78" t="s">
        <v>200</v>
      </c>
      <c r="C171" s="1" t="s">
        <v>71</v>
      </c>
      <c r="D171" s="53"/>
      <c r="E171" s="53"/>
      <c r="F171" s="53"/>
      <c r="G171" s="53"/>
      <c r="H171" s="53"/>
      <c r="I171" s="53"/>
      <c r="J171" s="53"/>
      <c r="K171" s="53"/>
      <c r="L171" s="53"/>
      <c r="M171" s="53"/>
      <c r="N171" s="53"/>
      <c r="O171" s="53"/>
      <c r="P171" s="53"/>
      <c r="Q171" s="53"/>
      <c r="R171" s="53"/>
      <c r="S171" s="53">
        <v>222.917</v>
      </c>
      <c r="T171" s="53">
        <v>222.917</v>
      </c>
      <c r="U171" s="53">
        <v>222.917</v>
      </c>
      <c r="V171" s="53">
        <v>222.917</v>
      </c>
      <c r="W171" s="53">
        <v>222.917</v>
      </c>
      <c r="X171" s="53">
        <v>222.917</v>
      </c>
      <c r="Y171" s="53">
        <v>395.99099999999999</v>
      </c>
      <c r="Z171" s="53">
        <v>426.44499999999999</v>
      </c>
      <c r="AA171" s="53">
        <v>429.54399999999998</v>
      </c>
      <c r="AB171" s="53">
        <v>9546.3320000000003</v>
      </c>
      <c r="AC171" s="53">
        <v>9641.8580000000002</v>
      </c>
      <c r="AD171" s="53">
        <v>9781.9259999999995</v>
      </c>
      <c r="AE171" s="53">
        <v>9844.3619999999992</v>
      </c>
      <c r="AF171" s="53">
        <v>9881.2330000000002</v>
      </c>
      <c r="AG171" s="53">
        <v>9878.5679999999993</v>
      </c>
      <c r="AH171" s="53">
        <v>9912.7199999999993</v>
      </c>
      <c r="AI171" s="53">
        <v>9892.3860000000004</v>
      </c>
      <c r="AJ171" s="53">
        <v>9759.4930000000004</v>
      </c>
      <c r="AK171" s="53">
        <v>9771.19</v>
      </c>
      <c r="AL171" s="53">
        <v>9783.3610000000008</v>
      </c>
      <c r="AM171" s="53">
        <v>9875.0239999999994</v>
      </c>
      <c r="AN171" s="53">
        <v>9881.0769999999993</v>
      </c>
      <c r="AO171" s="53">
        <v>9853.8539999999994</v>
      </c>
      <c r="AP171" s="53">
        <v>9848.3539999999994</v>
      </c>
      <c r="AQ171" s="53">
        <v>9848.3539999999994</v>
      </c>
      <c r="AR171" s="53">
        <v>9834.3729999999996</v>
      </c>
      <c r="AS171" s="37"/>
      <c r="AT171" s="53">
        <f t="shared" si="150"/>
        <v>0</v>
      </c>
      <c r="AU171" s="53">
        <f t="shared" si="151"/>
        <v>0</v>
      </c>
      <c r="AV171" s="53">
        <f t="shared" si="152"/>
        <v>222.917</v>
      </c>
      <c r="AW171" s="53">
        <f t="shared" si="153"/>
        <v>222.917</v>
      </c>
      <c r="AX171" s="53">
        <f t="shared" si="154"/>
        <v>429.54399999999998</v>
      </c>
      <c r="AY171" s="53">
        <f t="shared" si="155"/>
        <v>9844.3619999999992</v>
      </c>
      <c r="AZ171" s="53">
        <f t="shared" si="156"/>
        <v>9892.3860000000004</v>
      </c>
      <c r="BA171" s="53">
        <f t="shared" si="132"/>
        <v>9875.0239999999994</v>
      </c>
      <c r="BB171" s="53">
        <f t="shared" si="157"/>
        <v>9848.3539999999994</v>
      </c>
    </row>
    <row r="172" spans="2:54" outlineLevel="2">
      <c r="B172" s="78" t="s">
        <v>201</v>
      </c>
      <c r="C172" s="1" t="s">
        <v>71</v>
      </c>
      <c r="D172" s="53"/>
      <c r="E172" s="53"/>
      <c r="F172" s="53"/>
      <c r="G172" s="53"/>
      <c r="H172" s="53">
        <v>153.637</v>
      </c>
      <c r="I172" s="53">
        <v>303.125</v>
      </c>
      <c r="J172" s="53">
        <v>449.91899999999998</v>
      </c>
      <c r="K172" s="53">
        <v>0</v>
      </c>
      <c r="L172" s="53">
        <v>213.65199999999999</v>
      </c>
      <c r="M172" s="53">
        <v>363.4</v>
      </c>
      <c r="N172" s="53">
        <v>553.27300000000002</v>
      </c>
      <c r="O172" s="53">
        <v>0</v>
      </c>
      <c r="P172" s="53">
        <v>205.15299999999999</v>
      </c>
      <c r="Q172" s="53">
        <v>323.90800000000002</v>
      </c>
      <c r="R172" s="53">
        <v>536.35699999999997</v>
      </c>
      <c r="S172" s="53">
        <v>0</v>
      </c>
      <c r="T172" s="53">
        <v>164.429</v>
      </c>
      <c r="U172" s="53">
        <v>443.07799999999997</v>
      </c>
      <c r="V172" s="53">
        <v>691.85599999999999</v>
      </c>
      <c r="W172" s="53">
        <v>0</v>
      </c>
      <c r="X172" s="53">
        <v>150.18799999999999</v>
      </c>
      <c r="Y172" s="53">
        <v>254.58600000000001</v>
      </c>
      <c r="Z172" s="53">
        <v>297.77699999999999</v>
      </c>
      <c r="AA172" s="53">
        <v>0</v>
      </c>
      <c r="AB172" s="53">
        <v>0</v>
      </c>
      <c r="AC172" s="53">
        <v>0</v>
      </c>
      <c r="AD172" s="53">
        <v>0</v>
      </c>
      <c r="AE172" s="53">
        <v>0</v>
      </c>
      <c r="AF172" s="53">
        <v>-342.57799999999997</v>
      </c>
      <c r="AG172" s="53">
        <v>-503.44799999999998</v>
      </c>
      <c r="AH172" s="53">
        <v>-709.11800000000005</v>
      </c>
      <c r="AI172" s="53">
        <v>0</v>
      </c>
      <c r="AJ172" s="53">
        <v>0</v>
      </c>
      <c r="AK172" s="53">
        <v>0</v>
      </c>
      <c r="AL172" s="53">
        <v>0</v>
      </c>
      <c r="AM172" s="53">
        <v>0</v>
      </c>
      <c r="AN172" s="53">
        <v>0</v>
      </c>
      <c r="AO172" s="53">
        <v>0</v>
      </c>
      <c r="AP172" s="53">
        <v>0</v>
      </c>
      <c r="AQ172" s="53">
        <v>0</v>
      </c>
      <c r="AR172" s="53"/>
      <c r="AS172" s="37"/>
      <c r="AT172" s="53">
        <f t="shared" si="150"/>
        <v>0</v>
      </c>
      <c r="AU172" s="53">
        <f t="shared" si="151"/>
        <v>0</v>
      </c>
      <c r="AV172" s="53">
        <f t="shared" si="152"/>
        <v>0</v>
      </c>
      <c r="AW172" s="53">
        <f t="shared" si="153"/>
        <v>0</v>
      </c>
      <c r="AX172" s="53">
        <f t="shared" si="154"/>
        <v>0</v>
      </c>
      <c r="AY172" s="53">
        <f t="shared" si="155"/>
        <v>0</v>
      </c>
      <c r="AZ172" s="53">
        <f t="shared" si="156"/>
        <v>0</v>
      </c>
      <c r="BA172" s="53">
        <f t="shared" si="132"/>
        <v>0</v>
      </c>
      <c r="BB172" s="53">
        <f t="shared" si="157"/>
        <v>0</v>
      </c>
    </row>
    <row r="173" spans="2:54" outlineLevel="2">
      <c r="B173" s="78" t="s">
        <v>202</v>
      </c>
      <c r="C173" s="1" t="s">
        <v>71</v>
      </c>
      <c r="D173" s="53"/>
      <c r="E173" s="53"/>
      <c r="F173" s="53"/>
      <c r="G173" s="53"/>
      <c r="H173" s="53">
        <v>207.309</v>
      </c>
      <c r="I173" s="53">
        <v>207.309</v>
      </c>
      <c r="J173" s="53">
        <v>207.309</v>
      </c>
      <c r="K173" s="53">
        <v>136.321</v>
      </c>
      <c r="L173" s="53">
        <v>136.321</v>
      </c>
      <c r="M173" s="53">
        <v>136.30000000000001</v>
      </c>
      <c r="N173" s="53">
        <v>136.321</v>
      </c>
      <c r="O173" s="53">
        <v>697.39300000000003</v>
      </c>
      <c r="P173" s="53">
        <v>697.39300000000003</v>
      </c>
      <c r="Q173" s="53">
        <v>678.81399999999996</v>
      </c>
      <c r="R173" s="53">
        <v>676.69500000000005</v>
      </c>
      <c r="S173" s="53">
        <v>1248.739</v>
      </c>
      <c r="T173" s="53">
        <v>1248.739</v>
      </c>
      <c r="U173" s="53">
        <v>1248.739</v>
      </c>
      <c r="V173" s="53">
        <v>1137.97</v>
      </c>
      <c r="W173" s="53">
        <v>1779.175</v>
      </c>
      <c r="X173" s="53">
        <v>1779.175</v>
      </c>
      <c r="Y173" s="53">
        <v>1710.356</v>
      </c>
      <c r="Z173" s="53">
        <v>1664.6320000000001</v>
      </c>
      <c r="AA173" s="53">
        <v>2116.752</v>
      </c>
      <c r="AB173" s="53">
        <v>2116.8150000000001</v>
      </c>
      <c r="AC173" s="53">
        <v>2116.8150000000001</v>
      </c>
      <c r="AD173" s="53">
        <v>2116.8150000000001</v>
      </c>
      <c r="AE173" s="53">
        <v>1339.58</v>
      </c>
      <c r="AF173" s="53">
        <v>1339.6559999999999</v>
      </c>
      <c r="AG173" s="33">
        <v>1339.6559999999999</v>
      </c>
      <c r="AH173" s="33">
        <v>1339.6559999999999</v>
      </c>
      <c r="AI173" s="27">
        <v>319.89299999999992</v>
      </c>
      <c r="AJ173" s="53">
        <v>319.89299999999992</v>
      </c>
      <c r="AK173" s="53">
        <v>319.89299999999992</v>
      </c>
      <c r="AL173" s="53">
        <v>319.89299999999992</v>
      </c>
      <c r="AM173" s="53">
        <v>590.25099999999998</v>
      </c>
      <c r="AN173" s="53">
        <v>590.18700000000001</v>
      </c>
      <c r="AO173" s="53">
        <v>590.18700000000001</v>
      </c>
      <c r="AP173" s="53">
        <v>590.18700000000001</v>
      </c>
      <c r="AQ173" s="53">
        <v>353.06400000000002</v>
      </c>
      <c r="AR173" s="53">
        <v>353.06400000000002</v>
      </c>
      <c r="AS173" s="37"/>
      <c r="AT173" s="53">
        <f t="shared" si="150"/>
        <v>136.321</v>
      </c>
      <c r="AU173" s="53">
        <f t="shared" si="151"/>
        <v>697.39300000000003</v>
      </c>
      <c r="AV173" s="53">
        <f t="shared" si="152"/>
        <v>1248.739</v>
      </c>
      <c r="AW173" s="53">
        <f t="shared" si="153"/>
        <v>1779.175</v>
      </c>
      <c r="AX173" s="53">
        <f t="shared" si="154"/>
        <v>2116.752</v>
      </c>
      <c r="AY173" s="53">
        <f t="shared" si="155"/>
        <v>1339.58</v>
      </c>
      <c r="AZ173" s="53">
        <f t="shared" si="156"/>
        <v>319.89299999999992</v>
      </c>
      <c r="BA173" s="53">
        <f t="shared" si="132"/>
        <v>590.25099999999998</v>
      </c>
      <c r="BB173" s="53">
        <f t="shared" si="157"/>
        <v>353.06400000000002</v>
      </c>
    </row>
    <row r="174" spans="2:54" s="13" customFormat="1" outlineLevel="2">
      <c r="B174" s="79" t="s">
        <v>203</v>
      </c>
      <c r="C174" s="13" t="s">
        <v>71</v>
      </c>
      <c r="D174" s="55"/>
      <c r="E174" s="55"/>
      <c r="F174" s="55"/>
      <c r="G174" s="55"/>
      <c r="H174" s="55">
        <v>0</v>
      </c>
      <c r="I174" s="55">
        <v>0</v>
      </c>
      <c r="J174" s="55">
        <v>0</v>
      </c>
      <c r="K174" s="55">
        <v>0</v>
      </c>
      <c r="L174" s="55">
        <v>0</v>
      </c>
      <c r="M174" s="55">
        <v>0</v>
      </c>
      <c r="N174" s="55">
        <v>0</v>
      </c>
      <c r="O174" s="55">
        <v>0</v>
      </c>
      <c r="P174" s="55">
        <v>0</v>
      </c>
      <c r="Q174" s="55">
        <v>0</v>
      </c>
      <c r="R174" s="55">
        <v>0</v>
      </c>
      <c r="S174" s="55">
        <v>0</v>
      </c>
      <c r="T174" s="55">
        <v>0</v>
      </c>
      <c r="U174" s="55">
        <v>0</v>
      </c>
      <c r="V174" s="55">
        <v>0</v>
      </c>
      <c r="W174" s="55">
        <v>0</v>
      </c>
      <c r="X174" s="55">
        <v>0</v>
      </c>
      <c r="Y174" s="55">
        <v>0</v>
      </c>
      <c r="Z174" s="55">
        <v>0</v>
      </c>
      <c r="AA174" s="55">
        <v>0</v>
      </c>
      <c r="AB174" s="55">
        <v>-29.602</v>
      </c>
      <c r="AC174" s="55">
        <v>-52.677999999999997</v>
      </c>
      <c r="AD174" s="53">
        <v>-78.58</v>
      </c>
      <c r="AE174" s="53">
        <v>-42.183999999999997</v>
      </c>
      <c r="AF174" s="53">
        <v>-33.095999999999997</v>
      </c>
      <c r="AG174" s="53">
        <v>-26.068999999999999</v>
      </c>
      <c r="AH174" s="53">
        <v>-44.548000000000002</v>
      </c>
      <c r="AI174" s="53">
        <v>-15.802</v>
      </c>
      <c r="AJ174" s="53">
        <v>-55.192999999999998</v>
      </c>
      <c r="AK174" s="53">
        <v>-106.613</v>
      </c>
      <c r="AL174" s="53">
        <v>-104.56100000000001</v>
      </c>
      <c r="AM174" s="53">
        <v>-184.28299999999999</v>
      </c>
      <c r="AN174" s="53">
        <v>-187.114</v>
      </c>
      <c r="AO174" s="53">
        <v>-156.892</v>
      </c>
      <c r="AP174" s="53">
        <v>-170.17699999999999</v>
      </c>
      <c r="AQ174" s="53">
        <v>-104.40600000000001</v>
      </c>
      <c r="AR174" s="53">
        <v>-105.47499999999999</v>
      </c>
      <c r="AS174" s="37"/>
      <c r="AT174" s="53">
        <f t="shared" si="150"/>
        <v>0</v>
      </c>
      <c r="AU174" s="53">
        <f t="shared" si="151"/>
        <v>0</v>
      </c>
      <c r="AV174" s="53">
        <f t="shared" si="152"/>
        <v>0</v>
      </c>
      <c r="AW174" s="53">
        <f t="shared" si="153"/>
        <v>0</v>
      </c>
      <c r="AX174" s="53">
        <f t="shared" si="154"/>
        <v>0</v>
      </c>
      <c r="AY174" s="53">
        <f t="shared" si="155"/>
        <v>-42.183999999999997</v>
      </c>
      <c r="AZ174" s="53">
        <f t="shared" si="156"/>
        <v>-15.802</v>
      </c>
      <c r="BA174" s="53">
        <f t="shared" si="132"/>
        <v>-184.28299999999999</v>
      </c>
      <c r="BB174" s="53">
        <f t="shared" si="157"/>
        <v>-104.40600000000001</v>
      </c>
    </row>
    <row r="175" spans="2:54" s="13" customFormat="1" outlineLevel="2">
      <c r="B175" s="79" t="s">
        <v>204</v>
      </c>
      <c r="C175" s="13" t="s">
        <v>71</v>
      </c>
      <c r="D175" s="55"/>
      <c r="E175" s="55"/>
      <c r="F175" s="55"/>
      <c r="G175" s="55"/>
      <c r="H175" s="55">
        <v>0</v>
      </c>
      <c r="I175" s="55">
        <v>0</v>
      </c>
      <c r="J175" s="55">
        <v>0</v>
      </c>
      <c r="K175" s="55">
        <v>0</v>
      </c>
      <c r="L175" s="55">
        <v>0</v>
      </c>
      <c r="M175" s="55">
        <v>0</v>
      </c>
      <c r="N175" s="55">
        <v>0</v>
      </c>
      <c r="O175" s="55">
        <v>0</v>
      </c>
      <c r="P175" s="55">
        <v>0</v>
      </c>
      <c r="Q175" s="55">
        <v>0</v>
      </c>
      <c r="R175" s="55">
        <v>0</v>
      </c>
      <c r="S175" s="55">
        <v>0</v>
      </c>
      <c r="T175" s="55">
        <v>0</v>
      </c>
      <c r="U175" s="55">
        <v>0</v>
      </c>
      <c r="V175" s="55">
        <v>0</v>
      </c>
      <c r="W175" s="55">
        <v>0</v>
      </c>
      <c r="X175" s="55">
        <v>0</v>
      </c>
      <c r="Y175" s="55">
        <v>0</v>
      </c>
      <c r="Z175" s="55">
        <v>0</v>
      </c>
      <c r="AA175" s="55">
        <v>0</v>
      </c>
      <c r="AB175" s="55">
        <v>-181.964</v>
      </c>
      <c r="AC175" s="55">
        <v>-494.72399999999999</v>
      </c>
      <c r="AD175" s="53">
        <v>-460.56599999999997</v>
      </c>
      <c r="AE175" s="53">
        <v>0</v>
      </c>
      <c r="AF175" s="53">
        <v>0</v>
      </c>
      <c r="AG175" s="53">
        <v>0</v>
      </c>
      <c r="AH175" s="53">
        <v>0</v>
      </c>
      <c r="AI175" s="53">
        <v>0</v>
      </c>
      <c r="AJ175" s="53">
        <v>83.506</v>
      </c>
      <c r="AK175" s="53">
        <v>173.31200000000001</v>
      </c>
      <c r="AL175" s="53">
        <v>102.23</v>
      </c>
      <c r="AM175" s="53">
        <v>0</v>
      </c>
      <c r="AN175" s="53">
        <v>54.506999999999998</v>
      </c>
      <c r="AO175" s="53">
        <v>-151.303</v>
      </c>
      <c r="AP175" s="53">
        <v>-208.24</v>
      </c>
      <c r="AQ175" s="53">
        <v>0</v>
      </c>
      <c r="AR175" s="53">
        <v>-154.59700000000001</v>
      </c>
      <c r="AS175" s="37"/>
      <c r="AT175" s="53">
        <f t="shared" si="150"/>
        <v>0</v>
      </c>
      <c r="AU175" s="53">
        <f t="shared" si="151"/>
        <v>0</v>
      </c>
      <c r="AV175" s="53">
        <f t="shared" si="152"/>
        <v>0</v>
      </c>
      <c r="AW175" s="53">
        <f t="shared" si="153"/>
        <v>0</v>
      </c>
      <c r="AX175" s="53">
        <f t="shared" si="154"/>
        <v>0</v>
      </c>
      <c r="AY175" s="53">
        <f t="shared" si="155"/>
        <v>0</v>
      </c>
      <c r="AZ175" s="53">
        <f t="shared" si="156"/>
        <v>0</v>
      </c>
      <c r="BA175" s="53">
        <f t="shared" si="132"/>
        <v>0</v>
      </c>
      <c r="BB175" s="53">
        <f t="shared" si="157"/>
        <v>0</v>
      </c>
    </row>
    <row r="176" spans="2:54" s="2" customFormat="1" ht="13.5" outlineLevel="2">
      <c r="B176" s="74" t="s">
        <v>205</v>
      </c>
      <c r="C176" s="2" t="s">
        <v>71</v>
      </c>
      <c r="D176" s="75"/>
      <c r="E176" s="75"/>
      <c r="F176" s="75"/>
      <c r="G176" s="75"/>
      <c r="H176" s="75">
        <f>SUM(H168:H175)</f>
        <v>663.97400000000005</v>
      </c>
      <c r="I176" s="75">
        <f t="shared" ref="I176:R176" si="158">SUM(I168:I173)</f>
        <v>813.46199999999999</v>
      </c>
      <c r="J176" s="75">
        <f t="shared" si="158"/>
        <v>960.25599999999997</v>
      </c>
      <c r="K176" s="75">
        <f t="shared" si="158"/>
        <v>471.87900000000002</v>
      </c>
      <c r="L176" s="75">
        <f t="shared" si="158"/>
        <v>685.53100000000006</v>
      </c>
      <c r="M176" s="75">
        <f t="shared" si="158"/>
        <v>3365.3</v>
      </c>
      <c r="N176" s="75">
        <f t="shared" si="158"/>
        <v>3555.3710000000001</v>
      </c>
      <c r="O176" s="75">
        <f t="shared" si="158"/>
        <v>3602.5439999999999</v>
      </c>
      <c r="P176" s="75">
        <f t="shared" si="158"/>
        <v>3807.6969999999997</v>
      </c>
      <c r="Q176" s="75">
        <f t="shared" si="158"/>
        <v>3907.8729999999996</v>
      </c>
      <c r="R176" s="75">
        <f t="shared" si="158"/>
        <v>6708.2259999999997</v>
      </c>
      <c r="S176" s="75">
        <f t="shared" ref="S176:AA176" si="159">SUM(S168:S173)</f>
        <v>7259.6029999999992</v>
      </c>
      <c r="T176" s="75">
        <f t="shared" si="159"/>
        <v>7424.0319999999992</v>
      </c>
      <c r="U176" s="75">
        <f t="shared" si="159"/>
        <v>7702.6809999999987</v>
      </c>
      <c r="V176" s="75">
        <f t="shared" si="159"/>
        <v>7840.69</v>
      </c>
      <c r="W176" s="75">
        <f t="shared" si="159"/>
        <v>7829.2119999999995</v>
      </c>
      <c r="X176" s="75">
        <f t="shared" si="159"/>
        <v>7979.4</v>
      </c>
      <c r="Y176" s="75">
        <f t="shared" si="159"/>
        <v>10661.786999999998</v>
      </c>
      <c r="Z176" s="75">
        <f t="shared" si="159"/>
        <v>10615.637000000001</v>
      </c>
      <c r="AA176" s="75">
        <f t="shared" si="159"/>
        <v>10572.141000000001</v>
      </c>
      <c r="AB176" s="75">
        <f>SUM(AB168:AB175)</f>
        <v>49145.726000000002</v>
      </c>
      <c r="AC176" s="75">
        <f>SUM(AC168:AC175)</f>
        <v>48905.415999999997</v>
      </c>
      <c r="AD176" s="75">
        <f>SUM(AD168:AD175)</f>
        <v>49053.74</v>
      </c>
      <c r="AE176" s="75">
        <f>SUM(AE168:AE175)</f>
        <v>48749.436999999998</v>
      </c>
      <c r="AF176" s="75">
        <f>SUM(AF168:AF175)</f>
        <v>48455.102999999996</v>
      </c>
      <c r="AG176" s="75">
        <v>49333.006000000001</v>
      </c>
      <c r="AH176" s="75">
        <v>49114.428</v>
      </c>
      <c r="AI176" s="75">
        <f t="shared" ref="AI176:AO176" si="160">SUM(AI168:AI175)</f>
        <v>48812.194999999992</v>
      </c>
      <c r="AJ176" s="75">
        <f t="shared" si="160"/>
        <v>48750.949000000001</v>
      </c>
      <c r="AK176" s="75">
        <f t="shared" si="160"/>
        <v>48802.367999999995</v>
      </c>
      <c r="AL176" s="75">
        <f t="shared" si="160"/>
        <v>48745.508999999998</v>
      </c>
      <c r="AM176" s="75">
        <f t="shared" si="160"/>
        <v>48725.488999999987</v>
      </c>
      <c r="AN176" s="75">
        <f t="shared" si="160"/>
        <v>48782.867999999988</v>
      </c>
      <c r="AO176" s="75">
        <f t="shared" si="160"/>
        <v>48618.429999999993</v>
      </c>
      <c r="AP176" s="75">
        <f>SUM(AP168:AP175)</f>
        <v>48550.592999999993</v>
      </c>
      <c r="AQ176" s="75">
        <f>SUM(AQ168:AQ175)</f>
        <v>48203.405999999988</v>
      </c>
      <c r="AR176" s="75">
        <f>SUM(AR168:AR175)</f>
        <v>48053.376999999993</v>
      </c>
      <c r="AS176" s="80"/>
      <c r="AT176" s="75">
        <f>SUM(AT168:AT173)</f>
        <v>471.87900000000002</v>
      </c>
      <c r="AU176" s="75">
        <f>SUM(AU168:AU173)</f>
        <v>3602.5439999999999</v>
      </c>
      <c r="AV176" s="75">
        <f>SUM(AV168:AV173)</f>
        <v>7259.6029999999992</v>
      </c>
      <c r="AW176" s="75">
        <f>SUM(AW168:AW173)</f>
        <v>7829.2119999999995</v>
      </c>
      <c r="AX176" s="75">
        <f t="shared" si="154"/>
        <v>10572.141000000001</v>
      </c>
      <c r="AY176" s="75">
        <f t="shared" si="155"/>
        <v>48749.436999999998</v>
      </c>
      <c r="AZ176" s="75">
        <f>AI176</f>
        <v>48812.194999999992</v>
      </c>
      <c r="BA176" s="75">
        <f>AM176</f>
        <v>48725.488999999987</v>
      </c>
      <c r="BB176" s="75">
        <f t="shared" si="157"/>
        <v>48203.405999999988</v>
      </c>
    </row>
    <row r="177" spans="2:57" s="2" customFormat="1" ht="13.5" outlineLevel="2">
      <c r="B177" s="74" t="s">
        <v>206</v>
      </c>
      <c r="C177" s="2" t="s">
        <v>71</v>
      </c>
      <c r="D177" s="75"/>
      <c r="E177" s="75"/>
      <c r="F177" s="75"/>
      <c r="G177" s="75"/>
      <c r="H177" s="75">
        <v>0.36199999999999999</v>
      </c>
      <c r="I177" s="75">
        <v>3.4000000000000002E-2</v>
      </c>
      <c r="J177" s="75">
        <v>0.14899999999999999</v>
      </c>
      <c r="K177" s="75">
        <v>0.124</v>
      </c>
      <c r="L177" s="75">
        <v>0.124</v>
      </c>
      <c r="M177" s="75">
        <v>0.2</v>
      </c>
      <c r="N177" s="75">
        <v>0.48</v>
      </c>
      <c r="O177" s="75">
        <v>3.3109999999999999</v>
      </c>
      <c r="P177" s="75">
        <v>12.552</v>
      </c>
      <c r="Q177" s="75">
        <v>21.31</v>
      </c>
      <c r="R177" s="75">
        <v>-0.69299999999999995</v>
      </c>
      <c r="S177" s="75">
        <v>2.282</v>
      </c>
      <c r="T177" s="75">
        <v>2.4049999999999998</v>
      </c>
      <c r="U177" s="75">
        <v>2.681</v>
      </c>
      <c r="V177" s="75">
        <v>1.7509999999999999</v>
      </c>
      <c r="W177" s="75">
        <v>1.7749999999999999</v>
      </c>
      <c r="X177" s="75">
        <v>3.4159999999999999</v>
      </c>
      <c r="Y177" s="75">
        <v>3.6219999999999999</v>
      </c>
      <c r="Z177" s="75">
        <v>4.2839999999999998</v>
      </c>
      <c r="AA177" s="75">
        <v>0.85299999999999998</v>
      </c>
      <c r="AB177" s="75">
        <v>2.044</v>
      </c>
      <c r="AC177" s="75">
        <v>2.74</v>
      </c>
      <c r="AD177" s="75">
        <v>3.8809999999999998</v>
      </c>
      <c r="AE177" s="75">
        <v>7.274</v>
      </c>
      <c r="AF177" s="75">
        <v>9.1950000000000003</v>
      </c>
      <c r="AG177" s="75">
        <v>7.7169999999999996</v>
      </c>
      <c r="AH177" s="75">
        <v>8.65</v>
      </c>
      <c r="AI177" s="75">
        <v>1.369</v>
      </c>
      <c r="AJ177" s="75">
        <v>0.82199999999999995</v>
      </c>
      <c r="AK177" s="75">
        <f>2.803</f>
        <v>2.8029999999999999</v>
      </c>
      <c r="AL177" s="75">
        <v>3.07</v>
      </c>
      <c r="AM177" s="75">
        <v>1.722</v>
      </c>
      <c r="AN177" s="75">
        <v>1.752</v>
      </c>
      <c r="AO177" s="75">
        <v>1.758</v>
      </c>
      <c r="AP177" s="75">
        <v>1.796</v>
      </c>
      <c r="AQ177" s="75">
        <v>1.718</v>
      </c>
      <c r="AR177" s="75">
        <v>1.603</v>
      </c>
      <c r="AS177" s="80"/>
      <c r="AT177" s="75">
        <f>K177</f>
        <v>0.124</v>
      </c>
      <c r="AU177" s="75">
        <f>O177</f>
        <v>3.3109999999999999</v>
      </c>
      <c r="AV177" s="75">
        <f>S177</f>
        <v>2.282</v>
      </c>
      <c r="AW177" s="75">
        <f>W177</f>
        <v>1.7749999999999999</v>
      </c>
      <c r="AX177" s="75">
        <f t="shared" si="154"/>
        <v>0.85299999999999998</v>
      </c>
      <c r="AY177" s="75">
        <f t="shared" si="155"/>
        <v>7.274</v>
      </c>
      <c r="AZ177" s="75">
        <f t="shared" si="156"/>
        <v>1.369</v>
      </c>
      <c r="BA177" s="75">
        <f>AM177</f>
        <v>1.722</v>
      </c>
      <c r="BB177" s="75">
        <f t="shared" si="157"/>
        <v>1.718</v>
      </c>
    </row>
    <row r="178" spans="2:57">
      <c r="D178" s="5"/>
      <c r="E178" s="5"/>
      <c r="F178" s="5"/>
      <c r="G178" s="5"/>
      <c r="H178" s="37">
        <f t="shared" ref="H178:O178" si="161">H116-H141</f>
        <v>0</v>
      </c>
      <c r="I178" s="37">
        <f t="shared" si="161"/>
        <v>0</v>
      </c>
      <c r="J178" s="37">
        <f t="shared" si="161"/>
        <v>0</v>
      </c>
      <c r="K178" s="37">
        <f t="shared" si="161"/>
        <v>0</v>
      </c>
      <c r="L178" s="37">
        <f t="shared" si="161"/>
        <v>3.0000000001564331E-3</v>
      </c>
      <c r="M178" s="37">
        <f t="shared" si="161"/>
        <v>0</v>
      </c>
      <c r="N178" s="37">
        <f t="shared" si="161"/>
        <v>0</v>
      </c>
      <c r="O178" s="37">
        <f t="shared" si="161"/>
        <v>4.6478999956889311E-4</v>
      </c>
      <c r="P178" s="37"/>
      <c r="Q178" s="37"/>
      <c r="R178" s="37"/>
      <c r="S178" s="37"/>
      <c r="T178" s="37"/>
      <c r="U178" s="37"/>
      <c r="V178" s="37"/>
      <c r="W178" s="37"/>
      <c r="X178" s="37"/>
      <c r="Y178" s="37"/>
      <c r="Z178" s="37"/>
      <c r="AA178" s="37"/>
      <c r="AB178" s="37"/>
      <c r="AC178" s="37"/>
      <c r="AD178" s="37"/>
      <c r="AE178" s="81"/>
      <c r="AF178" s="81"/>
      <c r="AG178" s="81"/>
      <c r="AH178" s="81"/>
      <c r="AI178" s="81"/>
      <c r="AJ178" s="81"/>
      <c r="AK178" s="81"/>
      <c r="AL178" s="81"/>
      <c r="AM178" s="81"/>
      <c r="AN178" s="81"/>
      <c r="AO178" s="81"/>
      <c r="AP178" s="81"/>
      <c r="AQ178" s="81"/>
      <c r="AR178" s="81"/>
      <c r="AS178" s="37"/>
      <c r="AW178" s="81"/>
      <c r="AX178" s="81"/>
      <c r="AY178" s="81"/>
      <c r="AZ178" s="81"/>
      <c r="BA178" s="37"/>
      <c r="BB178" s="37"/>
    </row>
    <row r="179" spans="2:57">
      <c r="E179" s="33"/>
      <c r="F179" s="33"/>
      <c r="G179" s="33"/>
      <c r="H179" s="33"/>
      <c r="I179" s="33"/>
      <c r="J179" s="33"/>
      <c r="K179" s="33"/>
      <c r="L179" s="33"/>
      <c r="M179" s="33"/>
      <c r="N179" s="33"/>
      <c r="O179" s="33"/>
      <c r="P179" s="33"/>
      <c r="Q179" s="33"/>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37"/>
      <c r="AT179" s="33"/>
      <c r="AU179" s="33"/>
      <c r="AV179" s="33"/>
      <c r="AW179" s="81"/>
      <c r="AX179" s="81"/>
      <c r="AY179" s="81"/>
      <c r="AZ179" s="81"/>
      <c r="BA179" s="37"/>
      <c r="BB179" s="37"/>
    </row>
    <row r="180" spans="2:57" s="5" customFormat="1" ht="13.5">
      <c r="B180" s="4" t="s">
        <v>207</v>
      </c>
      <c r="AK180" s="66"/>
      <c r="AS180" s="37"/>
      <c r="BA180" s="37"/>
      <c r="BB180" s="37"/>
    </row>
    <row r="181" spans="2:57" ht="27" outlineLevel="1">
      <c r="B181" s="6" t="s">
        <v>10</v>
      </c>
      <c r="C181" s="6" t="s">
        <v>11</v>
      </c>
      <c r="D181" s="6" t="s">
        <v>12</v>
      </c>
      <c r="E181" s="6" t="s">
        <v>13</v>
      </c>
      <c r="F181" s="6" t="s">
        <v>14</v>
      </c>
      <c r="G181" s="6" t="s">
        <v>15</v>
      </c>
      <c r="H181" s="6" t="s">
        <v>16</v>
      </c>
      <c r="I181" s="6" t="s">
        <v>17</v>
      </c>
      <c r="J181" s="6" t="s">
        <v>18</v>
      </c>
      <c r="K181" s="6" t="s">
        <v>19</v>
      </c>
      <c r="L181" s="6" t="s">
        <v>20</v>
      </c>
      <c r="M181" s="6" t="s">
        <v>21</v>
      </c>
      <c r="N181" s="6" t="s">
        <v>22</v>
      </c>
      <c r="O181" s="6" t="s">
        <v>23</v>
      </c>
      <c r="P181" s="6" t="s">
        <v>24</v>
      </c>
      <c r="Q181" s="7" t="s">
        <v>25</v>
      </c>
      <c r="R181" s="6" t="s">
        <v>26</v>
      </c>
      <c r="S181" s="6" t="s">
        <v>27</v>
      </c>
      <c r="T181" s="6" t="s">
        <v>28</v>
      </c>
      <c r="U181" s="6" t="s">
        <v>29</v>
      </c>
      <c r="V181" s="6" t="s">
        <v>30</v>
      </c>
      <c r="W181" s="6" t="s">
        <v>31</v>
      </c>
      <c r="X181" s="6" t="s">
        <v>32</v>
      </c>
      <c r="Y181" s="6" t="s">
        <v>33</v>
      </c>
      <c r="Z181" s="6" t="s">
        <v>34</v>
      </c>
      <c r="AA181" s="6" t="s">
        <v>35</v>
      </c>
      <c r="AB181" s="6" t="s">
        <v>36</v>
      </c>
      <c r="AC181" s="6" t="s">
        <v>37</v>
      </c>
      <c r="AD181" s="6" t="s">
        <v>38</v>
      </c>
      <c r="AE181" s="7" t="s">
        <v>39</v>
      </c>
      <c r="AF181" s="6" t="s">
        <v>208</v>
      </c>
      <c r="AG181" s="6" t="s">
        <v>209</v>
      </c>
      <c r="AH181" s="6" t="s">
        <v>210</v>
      </c>
      <c r="AI181" s="6" t="s">
        <v>211</v>
      </c>
      <c r="AJ181" s="6" t="s">
        <v>44</v>
      </c>
      <c r="AK181" s="6" t="s">
        <v>45</v>
      </c>
      <c r="AL181" s="6" t="s">
        <v>46</v>
      </c>
      <c r="AM181" s="6" t="s">
        <v>47</v>
      </c>
      <c r="AN181" s="8" t="s">
        <v>48</v>
      </c>
      <c r="AO181" s="8" t="s">
        <v>49</v>
      </c>
      <c r="AP181" s="8" t="s">
        <v>50</v>
      </c>
      <c r="AQ181" s="8" t="s">
        <v>51</v>
      </c>
      <c r="AR181" s="8" t="s">
        <v>309</v>
      </c>
      <c r="AT181" s="6">
        <v>2017</v>
      </c>
      <c r="AU181" s="6">
        <v>2018</v>
      </c>
      <c r="AV181" s="6">
        <v>2019</v>
      </c>
      <c r="AW181" s="6">
        <v>2020</v>
      </c>
      <c r="AX181" s="6">
        <v>2021</v>
      </c>
      <c r="AY181" s="6">
        <v>2022</v>
      </c>
      <c r="AZ181" s="101" t="s">
        <v>97</v>
      </c>
      <c r="BA181" s="6">
        <v>2024</v>
      </c>
      <c r="BB181" s="7">
        <v>2025</v>
      </c>
    </row>
    <row r="182" spans="2:57" ht="13.5" outlineLevel="1">
      <c r="B182" s="10" t="s">
        <v>212</v>
      </c>
      <c r="C182" s="10" t="s">
        <v>71</v>
      </c>
      <c r="D182" s="57"/>
      <c r="E182" s="57"/>
      <c r="F182" s="57"/>
      <c r="G182" s="57"/>
      <c r="H182" s="57">
        <f t="shared" ref="H182:AK182" si="162">H93</f>
        <v>159.82125134745792</v>
      </c>
      <c r="I182" s="57">
        <f t="shared" si="162"/>
        <v>162.25559433525711</v>
      </c>
      <c r="J182" s="57">
        <f t="shared" si="162"/>
        <v>155.288483042492</v>
      </c>
      <c r="K182" s="57">
        <f t="shared" si="162"/>
        <v>173.232030084793</v>
      </c>
      <c r="L182" s="57">
        <f t="shared" si="162"/>
        <v>214.07012802851563</v>
      </c>
      <c r="M182" s="57">
        <f t="shared" si="162"/>
        <v>150.02805760076296</v>
      </c>
      <c r="N182" s="57">
        <f t="shared" si="162"/>
        <v>190.17838831237322</v>
      </c>
      <c r="O182" s="57">
        <f t="shared" si="162"/>
        <v>234.0561943068374</v>
      </c>
      <c r="P182" s="57">
        <f t="shared" si="162"/>
        <v>205.39400000000009</v>
      </c>
      <c r="Q182" s="57">
        <f t="shared" si="162"/>
        <v>223.40899999999976</v>
      </c>
      <c r="R182" s="57">
        <f t="shared" si="162"/>
        <v>212.43500000000014</v>
      </c>
      <c r="S182" s="57">
        <f t="shared" si="162"/>
        <v>210.60800000000029</v>
      </c>
      <c r="T182" s="57">
        <f t="shared" si="162"/>
        <v>164.56299999999928</v>
      </c>
      <c r="U182" s="57">
        <f t="shared" si="162"/>
        <v>278.64100000000025</v>
      </c>
      <c r="V182" s="57">
        <f t="shared" si="162"/>
        <v>247.84500000000077</v>
      </c>
      <c r="W182" s="57">
        <f t="shared" si="162"/>
        <v>94.249999999998636</v>
      </c>
      <c r="X182" s="57">
        <f t="shared" si="162"/>
        <v>151.82899999999961</v>
      </c>
      <c r="Y182" s="57">
        <f t="shared" si="162"/>
        <v>104.60999999999983</v>
      </c>
      <c r="Z182" s="57">
        <f t="shared" si="162"/>
        <v>43.671999999999755</v>
      </c>
      <c r="AA182" s="57">
        <f t="shared" si="162"/>
        <v>200.22500000000022</v>
      </c>
      <c r="AB182" s="57">
        <f t="shared" si="162"/>
        <v>-181.97699999999992</v>
      </c>
      <c r="AC182" s="57">
        <f t="shared" si="162"/>
        <v>-312.34400000000085</v>
      </c>
      <c r="AD182" s="57">
        <f t="shared" si="162"/>
        <v>35.154000000001247</v>
      </c>
      <c r="AE182" s="57">
        <f t="shared" si="162"/>
        <v>-316.67070000000029</v>
      </c>
      <c r="AF182" s="57">
        <v>-341.55399999999952</v>
      </c>
      <c r="AG182" s="57">
        <v>-161.13700000000097</v>
      </c>
      <c r="AH182" s="57">
        <v>-206.70099999999854</v>
      </c>
      <c r="AI182" s="57">
        <v>-29.855499032161255</v>
      </c>
      <c r="AJ182" s="57">
        <f t="shared" si="162"/>
        <v>83.343792509997527</v>
      </c>
      <c r="AK182" s="57">
        <f t="shared" si="162"/>
        <v>90.477890639999444</v>
      </c>
      <c r="AL182" s="57">
        <f t="shared" ref="AL182:AQ182" si="163">AL93</f>
        <v>-71.28513745754735</v>
      </c>
      <c r="AM182" s="57">
        <f t="shared" si="163"/>
        <v>167.76652823552081</v>
      </c>
      <c r="AN182" s="57">
        <f t="shared" si="163"/>
        <v>54.282261573254914</v>
      </c>
      <c r="AO182" s="57">
        <f t="shared" si="163"/>
        <v>-205.82903541245673</v>
      </c>
      <c r="AP182" s="57">
        <f t="shared" si="163"/>
        <v>-56.99614666319755</v>
      </c>
      <c r="AQ182" s="57">
        <f t="shared" si="163"/>
        <v>-29.09160728233298</v>
      </c>
      <c r="AR182" s="57">
        <f t="shared" ref="AR182" si="164">AR93</f>
        <v>-154.31925264999947</v>
      </c>
      <c r="AS182" s="63"/>
      <c r="AT182" s="57">
        <f t="shared" ref="AT182:AZ182" si="165">AT93</f>
        <v>650.59735881000029</v>
      </c>
      <c r="AU182" s="57">
        <f t="shared" si="165"/>
        <v>788.33276824848997</v>
      </c>
      <c r="AV182" s="57">
        <f t="shared" si="165"/>
        <v>851.84600000000023</v>
      </c>
      <c r="AW182" s="57">
        <f t="shared" si="165"/>
        <v>785.29900000000066</v>
      </c>
      <c r="AX182" s="57">
        <f t="shared" si="165"/>
        <v>500.33600000000047</v>
      </c>
      <c r="AY182" s="57">
        <f>AY93</f>
        <v>-775.83769999999663</v>
      </c>
      <c r="AZ182" s="57">
        <f t="shared" si="165"/>
        <v>-828.37372303855079</v>
      </c>
      <c r="BA182" s="57">
        <f>BA93</f>
        <v>270.30307392797044</v>
      </c>
      <c r="BB182" s="57">
        <f>BB93</f>
        <v>-237.63452778473234</v>
      </c>
    </row>
    <row r="183" spans="2:57" ht="13.5" outlineLevel="2">
      <c r="B183" s="10" t="s">
        <v>213</v>
      </c>
      <c r="C183" s="82" t="s">
        <v>71</v>
      </c>
      <c r="D183" s="57"/>
      <c r="E183" s="57"/>
      <c r="F183" s="57"/>
      <c r="G183" s="57"/>
      <c r="H183" s="57">
        <f t="shared" ref="H183:Z183" si="166">SUM(H184:H215)</f>
        <v>87.572000000000003</v>
      </c>
      <c r="I183" s="57">
        <f t="shared" si="166"/>
        <v>78.908999999999992</v>
      </c>
      <c r="J183" s="57">
        <f t="shared" si="166"/>
        <v>74.344999999999985</v>
      </c>
      <c r="K183" s="57">
        <f t="shared" si="166"/>
        <v>126.381</v>
      </c>
      <c r="L183" s="57">
        <f t="shared" si="166"/>
        <v>147.07999999999998</v>
      </c>
      <c r="M183" s="57">
        <f t="shared" si="166"/>
        <v>144.69999999999999</v>
      </c>
      <c r="N183" s="57">
        <f t="shared" si="166"/>
        <v>5.2409999999999677</v>
      </c>
      <c r="O183" s="57">
        <f t="shared" si="166"/>
        <v>95.30300000000004</v>
      </c>
      <c r="P183" s="57">
        <f t="shared" si="166"/>
        <v>154.994</v>
      </c>
      <c r="Q183" s="57">
        <f t="shared" si="166"/>
        <v>163.68900000000002</v>
      </c>
      <c r="R183" s="57">
        <f t="shared" si="166"/>
        <v>99.427000000000035</v>
      </c>
      <c r="S183" s="57">
        <f t="shared" si="166"/>
        <v>143.68099999999993</v>
      </c>
      <c r="T183" s="57">
        <f t="shared" si="166"/>
        <v>338.49800000000005</v>
      </c>
      <c r="U183" s="57">
        <f t="shared" si="166"/>
        <v>386.30599999999993</v>
      </c>
      <c r="V183" s="57">
        <f t="shared" si="166"/>
        <v>339.94500000000005</v>
      </c>
      <c r="W183" s="57">
        <f t="shared" si="166"/>
        <v>369.01300000000003</v>
      </c>
      <c r="X183" s="57">
        <f t="shared" si="166"/>
        <v>336.82</v>
      </c>
      <c r="Y183" s="57">
        <f t="shared" si="166"/>
        <v>250.55300000000017</v>
      </c>
      <c r="Z183" s="57">
        <f t="shared" si="166"/>
        <v>362.78999999999996</v>
      </c>
      <c r="AA183" s="57">
        <f t="shared" ref="AA183:AP183" si="167">SUM(AA184:AA217)</f>
        <v>468.447</v>
      </c>
      <c r="AB183" s="57">
        <f t="shared" si="167"/>
        <v>1351.0259999999998</v>
      </c>
      <c r="AC183" s="57">
        <f t="shared" si="167"/>
        <v>656.27599999999995</v>
      </c>
      <c r="AD183" s="57">
        <f t="shared" si="167"/>
        <v>547.58200000000056</v>
      </c>
      <c r="AE183" s="57">
        <f t="shared" si="167"/>
        <v>1359.3829999999998</v>
      </c>
      <c r="AF183" s="57">
        <f t="shared" si="167"/>
        <v>1356.6950000000002</v>
      </c>
      <c r="AG183" s="57">
        <f t="shared" si="167"/>
        <v>1145.0310000000002</v>
      </c>
      <c r="AH183" s="57">
        <f t="shared" si="167"/>
        <v>1352.0609999999999</v>
      </c>
      <c r="AI183" s="57">
        <f t="shared" si="167"/>
        <v>1114.114</v>
      </c>
      <c r="AJ183" s="57">
        <f t="shared" si="167"/>
        <v>1326.1029999999998</v>
      </c>
      <c r="AK183" s="57">
        <f t="shared" si="167"/>
        <v>1180.1750000000002</v>
      </c>
      <c r="AL183" s="57">
        <f t="shared" si="167"/>
        <v>1331.5120000000002</v>
      </c>
      <c r="AM183" s="57">
        <f t="shared" si="167"/>
        <v>1803.1759999999997</v>
      </c>
      <c r="AN183" s="57">
        <f t="shared" si="167"/>
        <v>1411.8749999999998</v>
      </c>
      <c r="AO183" s="57">
        <f t="shared" si="167"/>
        <v>1536.9100000000005</v>
      </c>
      <c r="AP183" s="57">
        <f t="shared" si="167"/>
        <v>1444.222</v>
      </c>
      <c r="AQ183" s="57">
        <f>SUM(AQ184:AQ217)</f>
        <v>1426.0469999999998</v>
      </c>
      <c r="AR183" s="57">
        <f>SUM(AR184:AR217)</f>
        <v>1696.7669999999998</v>
      </c>
      <c r="AS183" s="63"/>
      <c r="AT183" s="57">
        <f>SUM(AT184:AT215)</f>
        <v>367.20700000000005</v>
      </c>
      <c r="AU183" s="57">
        <f>SUM(AU184:AU215)</f>
        <v>392.32400000000001</v>
      </c>
      <c r="AV183" s="57">
        <f>SUM(AV184:AV215)</f>
        <v>561.79099999999994</v>
      </c>
      <c r="AW183" s="57">
        <f>SUM(AW184:AW215)</f>
        <v>1433.7619999999997</v>
      </c>
      <c r="AX183" s="57">
        <f>SUM(AX184:AX216)</f>
        <v>1418.6099999999997</v>
      </c>
      <c r="AY183" s="57">
        <f>SUM(AY184:AY216)</f>
        <v>3914.5189999999998</v>
      </c>
      <c r="AZ183" s="57">
        <f>SUM(AZ184:AZ217)</f>
        <v>4967.9009999999998</v>
      </c>
      <c r="BA183" s="57">
        <f>SUM(BA184:BA217)</f>
        <v>5638.5379999999996</v>
      </c>
      <c r="BB183" s="57">
        <f>SUM(BB184:BB217)</f>
        <v>5819.0540000000019</v>
      </c>
    </row>
    <row r="184" spans="2:57" outlineLevel="2">
      <c r="B184" s="14" t="s">
        <v>104</v>
      </c>
      <c r="C184" s="83" t="s">
        <v>71</v>
      </c>
      <c r="D184" s="53"/>
      <c r="E184" s="53"/>
      <c r="F184" s="53"/>
      <c r="G184" s="53"/>
      <c r="H184" s="53">
        <v>6.2130000000000001</v>
      </c>
      <c r="I184" s="53">
        <v>7.0409999999999995</v>
      </c>
      <c r="J184" s="53">
        <v>7.9829999999999979</v>
      </c>
      <c r="K184" s="53">
        <v>19.751000000000001</v>
      </c>
      <c r="L184" s="53">
        <v>9.3770000000000007</v>
      </c>
      <c r="M184" s="53">
        <v>10.199999999999999</v>
      </c>
      <c r="N184" s="53">
        <v>11.196000000000002</v>
      </c>
      <c r="O184" s="53">
        <v>11.684999999999999</v>
      </c>
      <c r="P184" s="53">
        <v>17.081</v>
      </c>
      <c r="Q184" s="53">
        <v>16.156000000000002</v>
      </c>
      <c r="R184" s="53">
        <v>17.266999999999999</v>
      </c>
      <c r="S184" s="53">
        <v>92.85199999999999</v>
      </c>
      <c r="T184" s="53">
        <v>134.989</v>
      </c>
      <c r="U184" s="53">
        <v>138.64599999999999</v>
      </c>
      <c r="V184" s="53">
        <v>164.28</v>
      </c>
      <c r="W184" s="53">
        <v>234.50700000000003</v>
      </c>
      <c r="X184" s="53">
        <v>195.405</v>
      </c>
      <c r="Y184" s="53">
        <v>189.357</v>
      </c>
      <c r="Z184" s="53">
        <v>216.10499999999999</v>
      </c>
      <c r="AA184" s="53">
        <v>208.28899999999999</v>
      </c>
      <c r="AB184" s="53">
        <v>280.56900000000002</v>
      </c>
      <c r="AC184" s="53">
        <v>524.596</v>
      </c>
      <c r="AD184" s="53">
        <v>627.43100000000004</v>
      </c>
      <c r="AE184" s="53">
        <v>548.69200000000001</v>
      </c>
      <c r="AF184" s="53">
        <v>451.94099999999997</v>
      </c>
      <c r="AG184" s="53">
        <v>481.44</v>
      </c>
      <c r="AH184" s="53">
        <v>482.90199999999993</v>
      </c>
      <c r="AI184" s="53">
        <v>499.18200000000007</v>
      </c>
      <c r="AJ184" s="53">
        <v>486.84300000000002</v>
      </c>
      <c r="AK184" s="53">
        <v>488.02699999999999</v>
      </c>
      <c r="AL184" s="53">
        <f>1468.979-AJ184-AK184</f>
        <v>494.10899999999998</v>
      </c>
      <c r="AM184" s="53">
        <f>1958.954-AJ184-AK184-AL184</f>
        <v>489.97499999999985</v>
      </c>
      <c r="AN184" s="53">
        <v>487.58</v>
      </c>
      <c r="AO184" s="53">
        <v>473.19</v>
      </c>
      <c r="AP184" s="53">
        <v>466.69800000000009</v>
      </c>
      <c r="AQ184" s="53">
        <v>364.25399999999991</v>
      </c>
      <c r="AR184" s="53">
        <v>372.61799999999999</v>
      </c>
      <c r="AS184" s="63"/>
      <c r="AT184" s="53">
        <f>SUM(H184:K184)</f>
        <v>40.988</v>
      </c>
      <c r="AU184" s="53">
        <f>SUM(L184:O184)</f>
        <v>42.457999999999998</v>
      </c>
      <c r="AV184" s="53">
        <f>SUM(P184:S184)</f>
        <v>143.35599999999999</v>
      </c>
      <c r="AW184" s="53">
        <f>SUM(T184:W184)</f>
        <v>672.42200000000003</v>
      </c>
      <c r="AX184" s="53">
        <f>SUM(X184:AA184)</f>
        <v>809.15599999999995</v>
      </c>
      <c r="AY184" s="53">
        <f>SUM(AB184:AE184)</f>
        <v>1981.288</v>
      </c>
      <c r="AZ184" s="53">
        <f t="shared" ref="AZ184:AZ217" si="168">SUM(AF184:AI184)</f>
        <v>1915.4649999999999</v>
      </c>
      <c r="BA184" s="53">
        <f>SUM(AJ184:AM184)</f>
        <v>1958.954</v>
      </c>
      <c r="BB184" s="53">
        <f>SUM(AN184:AQ184)</f>
        <v>1791.722</v>
      </c>
      <c r="BC184" s="37"/>
      <c r="BD184" s="37"/>
      <c r="BE184" s="37"/>
    </row>
    <row r="185" spans="2:57" outlineLevel="2" collapsed="1">
      <c r="B185" s="14" t="s">
        <v>214</v>
      </c>
      <c r="C185" s="83" t="s">
        <v>71</v>
      </c>
      <c r="D185" s="53"/>
      <c r="E185" s="53"/>
      <c r="F185" s="53"/>
      <c r="G185" s="53"/>
      <c r="H185" s="53">
        <v>0</v>
      </c>
      <c r="I185" s="53">
        <v>0</v>
      </c>
      <c r="J185" s="53">
        <v>0</v>
      </c>
      <c r="K185" s="53">
        <v>0</v>
      </c>
      <c r="L185" s="53">
        <v>0</v>
      </c>
      <c r="M185" s="53">
        <v>0</v>
      </c>
      <c r="N185" s="53">
        <v>0</v>
      </c>
      <c r="O185" s="53">
        <v>0</v>
      </c>
      <c r="P185" s="53">
        <v>11.365</v>
      </c>
      <c r="Q185" s="53">
        <v>12.926</v>
      </c>
      <c r="R185" s="53">
        <v>15.310999999999995</v>
      </c>
      <c r="S185" s="53">
        <v>16.886000000000003</v>
      </c>
      <c r="T185" s="53">
        <v>20.991</v>
      </c>
      <c r="U185" s="53">
        <v>17.953000000000003</v>
      </c>
      <c r="V185" s="53">
        <v>17.042999999999999</v>
      </c>
      <c r="W185" s="53">
        <v>24.076999999999991</v>
      </c>
      <c r="X185" s="53">
        <v>20.719000000000001</v>
      </c>
      <c r="Y185" s="53">
        <v>18.311</v>
      </c>
      <c r="Z185" s="53">
        <v>22.207999999999998</v>
      </c>
      <c r="AA185" s="53">
        <v>24.691000000000003</v>
      </c>
      <c r="AB185" s="53">
        <v>36.494999999999997</v>
      </c>
      <c r="AC185" s="53">
        <v>44.646000000000001</v>
      </c>
      <c r="AD185" s="53">
        <v>44.034999999999997</v>
      </c>
      <c r="AE185" s="53">
        <v>80.819000000000017</v>
      </c>
      <c r="AF185" s="53">
        <v>51.04</v>
      </c>
      <c r="AG185" s="53">
        <v>51.330999999999996</v>
      </c>
      <c r="AH185" s="53">
        <v>57.584000000000017</v>
      </c>
      <c r="AI185" s="53">
        <v>53.095999999999989</v>
      </c>
      <c r="AJ185" s="53">
        <v>57.03</v>
      </c>
      <c r="AK185" s="53">
        <v>58.585999999999999</v>
      </c>
      <c r="AL185" s="53">
        <f>181.409-AJ185-AK185</f>
        <v>65.792999999999992</v>
      </c>
      <c r="AM185" s="53">
        <f>263.017-AJ185-AK185-AL185</f>
        <v>81.608000000000018</v>
      </c>
      <c r="AN185" s="53">
        <v>66.784999999999997</v>
      </c>
      <c r="AO185" s="53">
        <v>66.247000000000014</v>
      </c>
      <c r="AP185" s="53">
        <v>68.72399999999999</v>
      </c>
      <c r="AQ185" s="53">
        <v>74.005000000000024</v>
      </c>
      <c r="AR185" s="53">
        <v>75.869</v>
      </c>
      <c r="AS185" s="63"/>
      <c r="AT185" s="53">
        <f>SUM(H185:K185)</f>
        <v>0</v>
      </c>
      <c r="AU185" s="53">
        <f>SUM(L185:O185)</f>
        <v>0</v>
      </c>
      <c r="AV185" s="53">
        <f>SUM(P185:S185)</f>
        <v>56.488</v>
      </c>
      <c r="AW185" s="53">
        <f>SUM(T185:W185)</f>
        <v>80.063999999999993</v>
      </c>
      <c r="AX185" s="53">
        <f>SUM(X185:AA185)</f>
        <v>85.929000000000002</v>
      </c>
      <c r="AY185" s="53">
        <f>SUM(AB185:AE185)</f>
        <v>205.995</v>
      </c>
      <c r="AZ185" s="53">
        <f t="shared" si="168"/>
        <v>213.05099999999999</v>
      </c>
      <c r="BA185" s="53">
        <f t="shared" ref="BA185:BA226" si="169">SUM(AJ185:AM185)</f>
        <v>263.017</v>
      </c>
      <c r="BB185" s="53">
        <f t="shared" ref="BB185:BB248" si="170">SUM(AN185:AQ185)</f>
        <v>275.76100000000002</v>
      </c>
      <c r="BC185" s="37"/>
      <c r="BD185" s="37"/>
      <c r="BE185" s="37"/>
    </row>
    <row r="186" spans="2:57" outlineLevel="2">
      <c r="B186" s="14" t="s">
        <v>215</v>
      </c>
      <c r="C186" s="83" t="s">
        <v>71</v>
      </c>
      <c r="D186" s="53"/>
      <c r="E186" s="53"/>
      <c r="F186" s="53"/>
      <c r="G186" s="53"/>
      <c r="H186" s="53">
        <v>0</v>
      </c>
      <c r="I186" s="53">
        <v>0</v>
      </c>
      <c r="J186" s="53">
        <v>0</v>
      </c>
      <c r="K186" s="53">
        <v>0</v>
      </c>
      <c r="L186" s="53">
        <v>0</v>
      </c>
      <c r="M186" s="53">
        <v>0</v>
      </c>
      <c r="N186" s="53">
        <v>0</v>
      </c>
      <c r="O186" s="53">
        <v>0</v>
      </c>
      <c r="P186" s="53">
        <v>0</v>
      </c>
      <c r="Q186" s="53">
        <v>0</v>
      </c>
      <c r="R186" s="53">
        <v>0</v>
      </c>
      <c r="S186" s="53">
        <v>0</v>
      </c>
      <c r="T186" s="53">
        <v>0</v>
      </c>
      <c r="U186" s="53">
        <v>0</v>
      </c>
      <c r="V186" s="53">
        <v>0</v>
      </c>
      <c r="W186" s="53">
        <v>0</v>
      </c>
      <c r="X186" s="53">
        <v>0</v>
      </c>
      <c r="Y186" s="53">
        <v>0</v>
      </c>
      <c r="Z186" s="53">
        <v>0</v>
      </c>
      <c r="AA186" s="53">
        <v>0</v>
      </c>
      <c r="AB186" s="53">
        <v>0</v>
      </c>
      <c r="AC186" s="53">
        <v>0</v>
      </c>
      <c r="AD186" s="53">
        <v>0</v>
      </c>
      <c r="AE186" s="53">
        <v>0</v>
      </c>
      <c r="AF186" s="53">
        <v>0</v>
      </c>
      <c r="AG186" s="53">
        <v>93.56</v>
      </c>
      <c r="AH186" s="53">
        <v>0</v>
      </c>
      <c r="AI186" s="53">
        <v>0</v>
      </c>
      <c r="AJ186" s="53">
        <v>0</v>
      </c>
      <c r="AK186" s="53">
        <v>0</v>
      </c>
      <c r="AL186" s="53">
        <v>0</v>
      </c>
      <c r="AM186" s="53">
        <v>0</v>
      </c>
      <c r="AN186" s="53">
        <v>0</v>
      </c>
      <c r="AO186" s="53">
        <v>0</v>
      </c>
      <c r="AP186" s="53">
        <v>0</v>
      </c>
      <c r="AQ186" s="53">
        <v>0</v>
      </c>
      <c r="AR186" s="53">
        <v>0</v>
      </c>
      <c r="AS186" s="63"/>
      <c r="AT186" s="53">
        <v>0</v>
      </c>
      <c r="AU186" s="53">
        <v>0</v>
      </c>
      <c r="AV186" s="53">
        <v>0</v>
      </c>
      <c r="AW186" s="53">
        <v>0</v>
      </c>
      <c r="AX186" s="53">
        <v>0</v>
      </c>
      <c r="AY186" s="53">
        <v>0</v>
      </c>
      <c r="AZ186" s="53">
        <f t="shared" si="168"/>
        <v>93.56</v>
      </c>
      <c r="BA186" s="53">
        <f t="shared" si="169"/>
        <v>0</v>
      </c>
      <c r="BB186" s="53">
        <f t="shared" si="170"/>
        <v>0</v>
      </c>
      <c r="BC186" s="37"/>
      <c r="BD186" s="37"/>
      <c r="BE186" s="37"/>
    </row>
    <row r="187" spans="2:57" outlineLevel="2">
      <c r="B187" s="14" t="s">
        <v>216</v>
      </c>
      <c r="C187" s="83" t="s">
        <v>71</v>
      </c>
      <c r="D187" s="53"/>
      <c r="E187" s="53"/>
      <c r="F187" s="53"/>
      <c r="G187" s="53"/>
      <c r="H187" s="53">
        <v>0</v>
      </c>
      <c r="I187" s="53">
        <v>0</v>
      </c>
      <c r="J187" s="53">
        <v>0</v>
      </c>
      <c r="K187" s="53">
        <v>0</v>
      </c>
      <c r="L187" s="53">
        <v>0</v>
      </c>
      <c r="M187" s="53">
        <v>0</v>
      </c>
      <c r="N187" s="53">
        <v>0</v>
      </c>
      <c r="O187" s="53">
        <v>0</v>
      </c>
      <c r="P187" s="53">
        <v>0</v>
      </c>
      <c r="Q187" s="53">
        <v>0</v>
      </c>
      <c r="R187" s="53">
        <v>0</v>
      </c>
      <c r="S187" s="53">
        <v>0</v>
      </c>
      <c r="T187" s="53">
        <v>0</v>
      </c>
      <c r="U187" s="53">
        <v>0</v>
      </c>
      <c r="V187" s="53">
        <v>0</v>
      </c>
      <c r="W187" s="53">
        <v>0</v>
      </c>
      <c r="X187" s="53">
        <v>0</v>
      </c>
      <c r="Y187" s="53">
        <v>0</v>
      </c>
      <c r="Z187" s="53">
        <v>0</v>
      </c>
      <c r="AA187" s="53">
        <v>0</v>
      </c>
      <c r="AB187" s="53">
        <v>0</v>
      </c>
      <c r="AC187" s="53">
        <v>0</v>
      </c>
      <c r="AD187" s="53">
        <v>0</v>
      </c>
      <c r="AE187" s="53">
        <v>0</v>
      </c>
      <c r="AF187" s="53">
        <v>0</v>
      </c>
      <c r="AG187" s="53">
        <v>-112.54</v>
      </c>
      <c r="AH187" s="53">
        <v>-8.7389999999999901</v>
      </c>
      <c r="AI187" s="53">
        <v>0</v>
      </c>
      <c r="AJ187" s="53">
        <v>0</v>
      </c>
      <c r="AK187" s="53">
        <v>0</v>
      </c>
      <c r="AL187" s="53">
        <v>0</v>
      </c>
      <c r="AM187" s="53">
        <v>0</v>
      </c>
      <c r="AN187" s="53">
        <v>0</v>
      </c>
      <c r="AO187" s="53">
        <v>0</v>
      </c>
      <c r="AP187" s="53">
        <v>0</v>
      </c>
      <c r="AQ187" s="53">
        <v>0</v>
      </c>
      <c r="AR187" s="53">
        <v>0</v>
      </c>
      <c r="AS187" s="63"/>
      <c r="AT187" s="53">
        <v>0</v>
      </c>
      <c r="AU187" s="53">
        <v>0</v>
      </c>
      <c r="AV187" s="53">
        <v>0</v>
      </c>
      <c r="AW187" s="53">
        <v>0</v>
      </c>
      <c r="AX187" s="53">
        <v>0</v>
      </c>
      <c r="AY187" s="53">
        <v>0</v>
      </c>
      <c r="AZ187" s="53">
        <f t="shared" si="168"/>
        <v>-121.279</v>
      </c>
      <c r="BA187" s="53">
        <f t="shared" si="169"/>
        <v>0</v>
      </c>
      <c r="BB187" s="53">
        <f t="shared" si="170"/>
        <v>0</v>
      </c>
      <c r="BC187" s="37"/>
      <c r="BD187" s="37"/>
      <c r="BE187" s="37"/>
    </row>
    <row r="188" spans="2:57" outlineLevel="2">
      <c r="B188" s="14" t="s">
        <v>217</v>
      </c>
      <c r="C188" s="83" t="s">
        <v>71</v>
      </c>
      <c r="D188" s="53"/>
      <c r="E188" s="53"/>
      <c r="F188" s="53"/>
      <c r="G188" s="53"/>
      <c r="H188" s="53">
        <v>0</v>
      </c>
      <c r="I188" s="53">
        <v>0</v>
      </c>
      <c r="J188" s="53">
        <v>0</v>
      </c>
      <c r="K188" s="53">
        <v>0</v>
      </c>
      <c r="L188" s="53">
        <v>0</v>
      </c>
      <c r="M188" s="53">
        <v>0</v>
      </c>
      <c r="N188" s="53">
        <v>0</v>
      </c>
      <c r="O188" s="53">
        <v>0</v>
      </c>
      <c r="P188" s="53">
        <v>0</v>
      </c>
      <c r="Q188" s="53">
        <v>0</v>
      </c>
      <c r="R188" s="53">
        <v>0</v>
      </c>
      <c r="S188" s="53">
        <v>0</v>
      </c>
      <c r="T188" s="53">
        <v>0</v>
      </c>
      <c r="U188" s="53">
        <v>0</v>
      </c>
      <c r="V188" s="53">
        <v>0</v>
      </c>
      <c r="W188" s="53">
        <v>0</v>
      </c>
      <c r="X188" s="53">
        <v>0</v>
      </c>
      <c r="Y188" s="53">
        <v>0</v>
      </c>
      <c r="Z188" s="53">
        <v>0</v>
      </c>
      <c r="AA188" s="53">
        <v>0</v>
      </c>
      <c r="AB188" s="53">
        <v>0</v>
      </c>
      <c r="AC188" s="53">
        <v>0</v>
      </c>
      <c r="AD188" s="53">
        <v>0</v>
      </c>
      <c r="AE188" s="53">
        <v>0</v>
      </c>
      <c r="AF188" s="53">
        <v>0</v>
      </c>
      <c r="AG188" s="53">
        <v>0</v>
      </c>
      <c r="AH188" s="53">
        <v>0</v>
      </c>
      <c r="AI188" s="53">
        <v>0</v>
      </c>
      <c r="AJ188" s="53">
        <v>0</v>
      </c>
      <c r="AK188" s="53">
        <v>0</v>
      </c>
      <c r="AL188" s="53">
        <v>0</v>
      </c>
      <c r="AM188" s="53">
        <v>0</v>
      </c>
      <c r="AN188" s="53">
        <v>0</v>
      </c>
      <c r="AO188" s="53">
        <v>15.526999999999999</v>
      </c>
      <c r="AP188" s="53">
        <v>8.2219999999999995</v>
      </c>
      <c r="AQ188" s="53">
        <v>8.4199999999999982</v>
      </c>
      <c r="AR188" s="53">
        <v>-4.6369999999999996</v>
      </c>
      <c r="AS188" s="63"/>
      <c r="AT188" s="53"/>
      <c r="AU188" s="53"/>
      <c r="AV188" s="53"/>
      <c r="AW188" s="53"/>
      <c r="AX188" s="53"/>
      <c r="AY188" s="53"/>
      <c r="AZ188" s="53"/>
      <c r="BA188" s="53"/>
      <c r="BB188" s="53">
        <f t="shared" si="170"/>
        <v>32.168999999999997</v>
      </c>
      <c r="BC188" s="37"/>
      <c r="BD188" s="37"/>
      <c r="BE188" s="37"/>
    </row>
    <row r="189" spans="2:57" outlineLevel="2">
      <c r="B189" s="14" t="s">
        <v>191</v>
      </c>
      <c r="C189" s="83" t="s">
        <v>71</v>
      </c>
      <c r="D189" s="53"/>
      <c r="E189" s="53"/>
      <c r="F189" s="53"/>
      <c r="G189" s="53"/>
      <c r="H189" s="53">
        <v>6.7050000000000001</v>
      </c>
      <c r="I189" s="53">
        <v>-6.6230000000000002</v>
      </c>
      <c r="J189" s="53">
        <v>8.0919999999999987</v>
      </c>
      <c r="K189" s="53">
        <v>17.254000000000001</v>
      </c>
      <c r="L189" s="53">
        <v>3.7410000000000001</v>
      </c>
      <c r="M189" s="53">
        <v>10.4</v>
      </c>
      <c r="N189" s="53">
        <v>11.936000000000002</v>
      </c>
      <c r="O189" s="53">
        <v>23.456999999999997</v>
      </c>
      <c r="P189" s="53">
        <v>8.5809999999999995</v>
      </c>
      <c r="Q189" s="53">
        <v>5.82</v>
      </c>
      <c r="R189" s="53">
        <v>-4.4239999999999995</v>
      </c>
      <c r="S189" s="53">
        <v>-60.808000000000007</v>
      </c>
      <c r="T189" s="53">
        <v>10.164999999999999</v>
      </c>
      <c r="U189" s="53">
        <v>-17.216999999999999</v>
      </c>
      <c r="V189" s="53">
        <v>6.0470000000000006</v>
      </c>
      <c r="W189" s="53">
        <v>7.1069999999999993</v>
      </c>
      <c r="X189" s="53">
        <v>-12.135</v>
      </c>
      <c r="Y189" s="53">
        <v>14.532</v>
      </c>
      <c r="Z189" s="53">
        <v>14.169999999999998</v>
      </c>
      <c r="AA189" s="53">
        <v>-16.478000000000002</v>
      </c>
      <c r="AB189" s="53">
        <v>548.99599999999998</v>
      </c>
      <c r="AC189" s="53">
        <v>-539.99800000000005</v>
      </c>
      <c r="AD189" s="53">
        <v>-5.3559999999998809</v>
      </c>
      <c r="AE189" s="53">
        <v>43.902999999999949</v>
      </c>
      <c r="AF189" s="53">
        <v>-1.8680000000000001</v>
      </c>
      <c r="AG189" s="53">
        <v>28.715999999999998</v>
      </c>
      <c r="AH189" s="53">
        <v>-8.0689999999999991</v>
      </c>
      <c r="AI189" s="53">
        <v>-41.492999999999995</v>
      </c>
      <c r="AJ189" s="53">
        <v>0.71299999999999997</v>
      </c>
      <c r="AK189" s="53">
        <v>-37.890999999999998</v>
      </c>
      <c r="AL189" s="53">
        <f>-15.9-AJ189-AK189</f>
        <v>21.277999999999999</v>
      </c>
      <c r="AM189" s="53">
        <f>-35.294-AJ189-AK189-AL189</f>
        <v>-19.393999999999998</v>
      </c>
      <c r="AN189" s="53">
        <v>23.547999999999998</v>
      </c>
      <c r="AO189" s="53">
        <v>371.4</v>
      </c>
      <c r="AP189" s="53">
        <v>55.54000000000002</v>
      </c>
      <c r="AQ189" s="53">
        <v>167.03400000000005</v>
      </c>
      <c r="AR189" s="53">
        <v>140.00200000000001</v>
      </c>
      <c r="AS189" s="63"/>
      <c r="AT189" s="53">
        <f t="shared" ref="AT189:AT215" si="171">SUM(H189:K189)</f>
        <v>25.428000000000001</v>
      </c>
      <c r="AU189" s="53">
        <f t="shared" ref="AU189:AU215" si="172">SUM(L189:O189)</f>
        <v>49.533999999999999</v>
      </c>
      <c r="AV189" s="53">
        <f t="shared" ref="AV189:AV215" si="173">SUM(P189:S189)</f>
        <v>-50.831000000000003</v>
      </c>
      <c r="AW189" s="53">
        <f t="shared" ref="AW189:AW215" si="174">SUM(T189:W189)</f>
        <v>6.1020000000000003</v>
      </c>
      <c r="AX189" s="53">
        <f t="shared" ref="AX189:AX216" si="175">SUM(X189:AA189)</f>
        <v>8.8999999999998636E-2</v>
      </c>
      <c r="AY189" s="53">
        <f t="shared" ref="AY189:AY217" si="176">SUM(AB189:AE189)</f>
        <v>47.545000000000002</v>
      </c>
      <c r="AZ189" s="53">
        <f t="shared" si="168"/>
        <v>-22.713999999999995</v>
      </c>
      <c r="BA189" s="53">
        <f>SUM(AJ189:AM189)</f>
        <v>-35.293999999999997</v>
      </c>
      <c r="BB189" s="53">
        <f t="shared" si="170"/>
        <v>617.52200000000005</v>
      </c>
      <c r="BC189" s="37"/>
      <c r="BD189" s="37"/>
      <c r="BE189" s="37"/>
    </row>
    <row r="190" spans="2:57" outlineLevel="2">
      <c r="B190" s="14" t="s">
        <v>218</v>
      </c>
      <c r="C190" s="83" t="s">
        <v>71</v>
      </c>
      <c r="D190" s="53"/>
      <c r="E190" s="53"/>
      <c r="F190" s="53"/>
      <c r="G190" s="53"/>
      <c r="H190" s="53">
        <v>0</v>
      </c>
      <c r="I190" s="53">
        <v>0</v>
      </c>
      <c r="J190" s="53"/>
      <c r="K190" s="53">
        <v>0</v>
      </c>
      <c r="L190" s="53">
        <v>0</v>
      </c>
      <c r="M190" s="53">
        <v>0</v>
      </c>
      <c r="N190" s="53">
        <v>0</v>
      </c>
      <c r="O190" s="53">
        <v>0</v>
      </c>
      <c r="P190" s="53">
        <v>0</v>
      </c>
      <c r="Q190" s="53">
        <v>0</v>
      </c>
      <c r="R190" s="53">
        <v>0</v>
      </c>
      <c r="S190" s="53">
        <v>0</v>
      </c>
      <c r="T190" s="53">
        <v>0</v>
      </c>
      <c r="U190" s="53">
        <v>0</v>
      </c>
      <c r="V190" s="53">
        <v>0</v>
      </c>
      <c r="W190" s="53">
        <v>0</v>
      </c>
      <c r="X190" s="53">
        <v>0</v>
      </c>
      <c r="Y190" s="53">
        <v>0</v>
      </c>
      <c r="Z190" s="53">
        <v>0</v>
      </c>
      <c r="AA190" s="53">
        <v>0</v>
      </c>
      <c r="AB190" s="53">
        <v>0</v>
      </c>
      <c r="AC190" s="53">
        <v>0</v>
      </c>
      <c r="AD190" s="53">
        <v>0</v>
      </c>
      <c r="AE190" s="53">
        <v>0</v>
      </c>
      <c r="AF190" s="53">
        <v>0</v>
      </c>
      <c r="AG190" s="53">
        <v>0</v>
      </c>
      <c r="AH190" s="53">
        <v>0</v>
      </c>
      <c r="AI190" s="53">
        <v>0</v>
      </c>
      <c r="AJ190" s="53">
        <v>0</v>
      </c>
      <c r="AK190" s="53">
        <v>0</v>
      </c>
      <c r="AL190" s="53">
        <v>0</v>
      </c>
      <c r="AM190" s="53">
        <v>0</v>
      </c>
      <c r="AN190" s="53">
        <v>0</v>
      </c>
      <c r="AO190" s="53">
        <v>0</v>
      </c>
      <c r="AP190" s="53">
        <v>0</v>
      </c>
      <c r="AQ190" s="53">
        <v>0</v>
      </c>
      <c r="AR190" s="53">
        <v>0</v>
      </c>
      <c r="AS190" s="63"/>
      <c r="AT190" s="53">
        <f t="shared" si="171"/>
        <v>0</v>
      </c>
      <c r="AU190" s="53">
        <f t="shared" si="172"/>
        <v>0</v>
      </c>
      <c r="AV190" s="53">
        <f t="shared" si="173"/>
        <v>0</v>
      </c>
      <c r="AW190" s="53">
        <f t="shared" si="174"/>
        <v>0</v>
      </c>
      <c r="AX190" s="53">
        <f t="shared" si="175"/>
        <v>0</v>
      </c>
      <c r="AY190" s="53">
        <f t="shared" si="176"/>
        <v>0</v>
      </c>
      <c r="AZ190" s="53">
        <f t="shared" si="168"/>
        <v>0</v>
      </c>
      <c r="BA190" s="53">
        <f t="shared" si="169"/>
        <v>0</v>
      </c>
      <c r="BB190" s="53">
        <f>SUM(AN190:AQ190)</f>
        <v>0</v>
      </c>
      <c r="BC190" s="37"/>
      <c r="BD190" s="37"/>
      <c r="BE190" s="37"/>
    </row>
    <row r="191" spans="2:57" outlineLevel="2">
      <c r="B191" s="14" t="s">
        <v>219</v>
      </c>
      <c r="C191" s="83" t="s">
        <v>71</v>
      </c>
      <c r="D191" s="53"/>
      <c r="E191" s="53"/>
      <c r="F191" s="53"/>
      <c r="G191" s="53"/>
      <c r="H191" s="53">
        <v>33.889000000000003</v>
      </c>
      <c r="I191" s="53">
        <v>32.237000000000002</v>
      </c>
      <c r="J191" s="53">
        <v>24.062999999999988</v>
      </c>
      <c r="K191" s="53">
        <v>14.628000000000007</v>
      </c>
      <c r="L191" s="53">
        <v>65.247</v>
      </c>
      <c r="M191" s="53">
        <v>23.8</v>
      </c>
      <c r="N191" s="53">
        <v>35.906999999999996</v>
      </c>
      <c r="O191" s="53">
        <v>23.726000000000013</v>
      </c>
      <c r="P191" s="53">
        <v>36.436</v>
      </c>
      <c r="Q191" s="53">
        <v>40.470000000000006</v>
      </c>
      <c r="R191" s="53">
        <v>37.74</v>
      </c>
      <c r="S191" s="53">
        <v>52.321999999999974</v>
      </c>
      <c r="T191" s="53">
        <v>55.966000000000001</v>
      </c>
      <c r="U191" s="53">
        <v>66.669000000000011</v>
      </c>
      <c r="V191" s="53">
        <v>47.914999999999999</v>
      </c>
      <c r="W191" s="53">
        <v>50.896999999999984</v>
      </c>
      <c r="X191" s="53">
        <v>40.668999999999997</v>
      </c>
      <c r="Y191" s="53">
        <v>72.91</v>
      </c>
      <c r="Z191" s="53">
        <v>31.220000000000013</v>
      </c>
      <c r="AA191" s="53">
        <v>66.502999999999986</v>
      </c>
      <c r="AB191" s="53">
        <v>65.59</v>
      </c>
      <c r="AC191" s="53">
        <v>107.164</v>
      </c>
      <c r="AD191" s="53">
        <v>98.37</v>
      </c>
      <c r="AE191" s="53">
        <v>153.71299999999997</v>
      </c>
      <c r="AF191" s="53">
        <v>154.07599999999999</v>
      </c>
      <c r="AG191" s="53">
        <v>126.03100000000003</v>
      </c>
      <c r="AH191" s="53">
        <v>131.19399999999996</v>
      </c>
      <c r="AI191" s="53">
        <v>138.87399999999991</v>
      </c>
      <c r="AJ191" s="53">
        <v>170.68799999999999</v>
      </c>
      <c r="AK191" s="53">
        <v>104.54599999999999</v>
      </c>
      <c r="AL191" s="53">
        <f>386.254-AJ191-AK191</f>
        <v>111.02000000000004</v>
      </c>
      <c r="AM191" s="53">
        <f>498.152-AJ191-AK191-AL191</f>
        <v>111.89799999999997</v>
      </c>
      <c r="AN191" s="53">
        <v>142.214</v>
      </c>
      <c r="AO191" s="53">
        <v>129.47800000000001</v>
      </c>
      <c r="AP191" s="53">
        <v>138.83999999999997</v>
      </c>
      <c r="AQ191" s="53">
        <v>138.77699999999999</v>
      </c>
      <c r="AR191" s="53">
        <v>153.93</v>
      </c>
      <c r="AS191" s="63"/>
      <c r="AT191" s="53">
        <f t="shared" si="171"/>
        <v>104.81700000000001</v>
      </c>
      <c r="AU191" s="53">
        <f t="shared" si="172"/>
        <v>148.68</v>
      </c>
      <c r="AV191" s="53">
        <f t="shared" si="173"/>
        <v>166.96799999999999</v>
      </c>
      <c r="AW191" s="53">
        <f t="shared" si="174"/>
        <v>221.447</v>
      </c>
      <c r="AX191" s="53">
        <f t="shared" si="175"/>
        <v>211.30199999999999</v>
      </c>
      <c r="AY191" s="53">
        <f t="shared" si="176"/>
        <v>424.83699999999999</v>
      </c>
      <c r="AZ191" s="53">
        <f t="shared" si="168"/>
        <v>550.17499999999995</v>
      </c>
      <c r="BA191" s="53">
        <f t="shared" si="169"/>
        <v>498.15199999999999</v>
      </c>
      <c r="BB191" s="53">
        <f t="shared" si="170"/>
        <v>549.30899999999997</v>
      </c>
      <c r="BC191" s="37"/>
      <c r="BD191" s="37"/>
      <c r="BE191" s="37"/>
    </row>
    <row r="192" spans="2:57" outlineLevel="2">
      <c r="B192" s="14" t="s">
        <v>220</v>
      </c>
      <c r="C192" s="83" t="s">
        <v>71</v>
      </c>
      <c r="D192" s="53"/>
      <c r="E192" s="53"/>
      <c r="F192" s="53"/>
      <c r="G192" s="53"/>
      <c r="H192" s="53">
        <v>0</v>
      </c>
      <c r="I192" s="53">
        <v>0</v>
      </c>
      <c r="J192" s="53">
        <v>0</v>
      </c>
      <c r="K192" s="53">
        <v>0</v>
      </c>
      <c r="L192" s="53">
        <v>0</v>
      </c>
      <c r="M192" s="53">
        <v>0</v>
      </c>
      <c r="N192" s="53">
        <v>0</v>
      </c>
      <c r="O192" s="53">
        <v>0</v>
      </c>
      <c r="P192" s="53">
        <v>0</v>
      </c>
      <c r="Q192" s="53">
        <v>0</v>
      </c>
      <c r="R192" s="53">
        <v>0</v>
      </c>
      <c r="S192" s="53">
        <v>0</v>
      </c>
      <c r="T192" s="53">
        <v>0</v>
      </c>
      <c r="U192" s="53">
        <v>0</v>
      </c>
      <c r="V192" s="53">
        <v>0</v>
      </c>
      <c r="W192" s="53">
        <v>0</v>
      </c>
      <c r="X192" s="53">
        <v>0</v>
      </c>
      <c r="Y192" s="53">
        <v>0</v>
      </c>
      <c r="Z192" s="53">
        <v>0</v>
      </c>
      <c r="AA192" s="53">
        <v>0</v>
      </c>
      <c r="AB192" s="53">
        <v>0</v>
      </c>
      <c r="AC192" s="53">
        <v>0</v>
      </c>
      <c r="AD192" s="53">
        <v>0</v>
      </c>
      <c r="AE192" s="53">
        <v>0</v>
      </c>
      <c r="AF192" s="53">
        <v>0</v>
      </c>
      <c r="AG192" s="53">
        <v>0</v>
      </c>
      <c r="AH192" s="53">
        <v>0</v>
      </c>
      <c r="AI192" s="53">
        <v>0</v>
      </c>
      <c r="AJ192" s="53">
        <v>0</v>
      </c>
      <c r="AK192" s="53">
        <v>0</v>
      </c>
      <c r="AL192" s="53">
        <v>0</v>
      </c>
      <c r="AM192" s="53">
        <v>0</v>
      </c>
      <c r="AN192" s="53">
        <v>0</v>
      </c>
      <c r="AO192" s="53">
        <v>0</v>
      </c>
      <c r="AP192" s="53">
        <v>0</v>
      </c>
      <c r="AQ192" s="53">
        <v>0</v>
      </c>
      <c r="AR192" s="53">
        <v>0</v>
      </c>
      <c r="AS192" s="63"/>
      <c r="AT192" s="53">
        <f t="shared" si="171"/>
        <v>0</v>
      </c>
      <c r="AU192" s="53">
        <f t="shared" si="172"/>
        <v>0</v>
      </c>
      <c r="AV192" s="53">
        <f t="shared" si="173"/>
        <v>0</v>
      </c>
      <c r="AW192" s="53">
        <f t="shared" si="174"/>
        <v>0</v>
      </c>
      <c r="AX192" s="53">
        <f t="shared" si="175"/>
        <v>0</v>
      </c>
      <c r="AY192" s="53">
        <f t="shared" si="176"/>
        <v>0</v>
      </c>
      <c r="AZ192" s="53">
        <f t="shared" si="168"/>
        <v>0</v>
      </c>
      <c r="BA192" s="53">
        <f t="shared" si="169"/>
        <v>0</v>
      </c>
      <c r="BB192" s="53">
        <f t="shared" si="170"/>
        <v>0</v>
      </c>
      <c r="BC192" s="37"/>
      <c r="BD192" s="37"/>
      <c r="BE192" s="37"/>
    </row>
    <row r="193" spans="2:57" outlineLevel="2">
      <c r="B193" s="14" t="s">
        <v>221</v>
      </c>
      <c r="C193" s="83" t="s">
        <v>71</v>
      </c>
      <c r="D193" s="53"/>
      <c r="E193" s="53"/>
      <c r="F193" s="53"/>
      <c r="G193" s="53"/>
      <c r="H193" s="53">
        <v>2.1589999999999998</v>
      </c>
      <c r="I193" s="53">
        <v>5.9000000000000163E-2</v>
      </c>
      <c r="J193" s="53">
        <v>6.0999999999999943E-2</v>
      </c>
      <c r="K193" s="53">
        <v>3.032</v>
      </c>
      <c r="L193" s="53">
        <v>1.7000000000000001E-2</v>
      </c>
      <c r="M193" s="53">
        <v>0.1</v>
      </c>
      <c r="N193" s="53">
        <v>0.22999999999999998</v>
      </c>
      <c r="O193" s="53">
        <v>3.1659999999999999</v>
      </c>
      <c r="P193" s="53">
        <v>0.15</v>
      </c>
      <c r="Q193" s="53">
        <v>0.151</v>
      </c>
      <c r="R193" s="53">
        <v>4.2349999999999994</v>
      </c>
      <c r="S193" s="53">
        <v>0.77700000000000014</v>
      </c>
      <c r="T193" s="53">
        <v>1.84</v>
      </c>
      <c r="U193" s="53">
        <v>-0.41000000000000014</v>
      </c>
      <c r="V193" s="53">
        <v>10.873000000000001</v>
      </c>
      <c r="W193" s="53">
        <v>-1.447000000000001</v>
      </c>
      <c r="X193" s="53">
        <v>4.28</v>
      </c>
      <c r="Y193" s="53">
        <v>-1.8660000000000001</v>
      </c>
      <c r="Z193" s="53">
        <v>0.89799999999999969</v>
      </c>
      <c r="AA193" s="53">
        <v>0.4830000000000001</v>
      </c>
      <c r="AB193" s="53">
        <v>2.5409999999999999</v>
      </c>
      <c r="AC193" s="53">
        <v>3.77</v>
      </c>
      <c r="AD193" s="53">
        <v>7.5469999999999997</v>
      </c>
      <c r="AE193" s="53">
        <v>21.016999999999999</v>
      </c>
      <c r="AF193" s="53">
        <v>0.86799999999999999</v>
      </c>
      <c r="AG193" s="53">
        <v>0.64</v>
      </c>
      <c r="AH193" s="53">
        <v>0.63700000000000001</v>
      </c>
      <c r="AI193" s="53">
        <v>0.43400000000000016</v>
      </c>
      <c r="AJ193" s="53">
        <v>7.0940000000000003</v>
      </c>
      <c r="AK193" s="53">
        <v>0.77299999999999969</v>
      </c>
      <c r="AL193" s="53">
        <f>8.11-AJ193-AK193</f>
        <v>0.24299999999999944</v>
      </c>
      <c r="AM193" s="53">
        <f>-0.463-AJ193-AK193-AL193</f>
        <v>-8.5730000000000004</v>
      </c>
      <c r="AN193" s="53">
        <v>6.2E-2</v>
      </c>
      <c r="AO193" s="53">
        <v>9.8000000000000004E-2</v>
      </c>
      <c r="AP193" s="53">
        <v>24.337</v>
      </c>
      <c r="AQ193" s="53">
        <v>0.1980000000000004</v>
      </c>
      <c r="AR193" s="53">
        <v>46.496000000000002</v>
      </c>
      <c r="AS193" s="63"/>
      <c r="AT193" s="53">
        <f t="shared" si="171"/>
        <v>5.3109999999999999</v>
      </c>
      <c r="AU193" s="53">
        <f t="shared" si="172"/>
        <v>3.5129999999999999</v>
      </c>
      <c r="AV193" s="53">
        <f t="shared" si="173"/>
        <v>5.3129999999999997</v>
      </c>
      <c r="AW193" s="53">
        <f t="shared" si="174"/>
        <v>10.856</v>
      </c>
      <c r="AX193" s="53">
        <f t="shared" si="175"/>
        <v>3.7949999999999999</v>
      </c>
      <c r="AY193" s="53">
        <f t="shared" si="176"/>
        <v>34.875</v>
      </c>
      <c r="AZ193" s="53">
        <f t="shared" si="168"/>
        <v>2.5790000000000002</v>
      </c>
      <c r="BA193" s="53">
        <f t="shared" si="169"/>
        <v>-0.46300000000000097</v>
      </c>
      <c r="BB193" s="53">
        <f t="shared" si="170"/>
        <v>24.695</v>
      </c>
      <c r="BC193" s="37"/>
      <c r="BD193" s="37"/>
      <c r="BE193" s="37"/>
    </row>
    <row r="194" spans="2:57" outlineLevel="2" collapsed="1">
      <c r="B194" s="14" t="s">
        <v>222</v>
      </c>
      <c r="C194" s="83" t="s">
        <v>71</v>
      </c>
      <c r="D194" s="53"/>
      <c r="E194" s="53"/>
      <c r="F194" s="53"/>
      <c r="G194" s="53"/>
      <c r="H194" s="53">
        <v>3.0000000000000001E-3</v>
      </c>
      <c r="I194" s="53">
        <v>6.6000000000000003E-2</v>
      </c>
      <c r="J194" s="53">
        <v>1.0000000000000009E-3</v>
      </c>
      <c r="K194" s="53">
        <v>1.9999999999999879E-3</v>
      </c>
      <c r="L194" s="53">
        <v>1E-3</v>
      </c>
      <c r="M194" s="53">
        <v>0</v>
      </c>
      <c r="N194" s="53">
        <v>1E-3</v>
      </c>
      <c r="O194" s="53">
        <v>5.4089999999999998</v>
      </c>
      <c r="P194" s="53">
        <v>1.18</v>
      </c>
      <c r="Q194" s="53">
        <v>8.9649999999999999</v>
      </c>
      <c r="R194" s="53">
        <v>1.3030000000000008</v>
      </c>
      <c r="S194" s="53">
        <v>12.303000000000001</v>
      </c>
      <c r="T194" s="53">
        <v>1.3460000000000001</v>
      </c>
      <c r="U194" s="53">
        <v>4.1710000000000003</v>
      </c>
      <c r="V194" s="53">
        <v>13.442</v>
      </c>
      <c r="W194" s="53">
        <v>-18.959</v>
      </c>
      <c r="X194" s="53">
        <v>0.28399999999999997</v>
      </c>
      <c r="Y194" s="53">
        <v>0.60000000000000009</v>
      </c>
      <c r="Z194" s="53">
        <v>2.200000000000002E-2</v>
      </c>
      <c r="AA194" s="53">
        <v>-0.1130000000000001</v>
      </c>
      <c r="AB194" s="53">
        <v>0.19700000000000001</v>
      </c>
      <c r="AC194" s="53">
        <v>0.55300000000000005</v>
      </c>
      <c r="AD194" s="53">
        <v>0</v>
      </c>
      <c r="AE194" s="53">
        <v>-1.9000000000000017E-2</v>
      </c>
      <c r="AF194" s="53">
        <v>11.817</v>
      </c>
      <c r="AG194" s="53">
        <v>20.509</v>
      </c>
      <c r="AH194" s="53">
        <v>147.62300000000002</v>
      </c>
      <c r="AI194" s="53">
        <v>3.9999999999906777E-3</v>
      </c>
      <c r="AJ194" s="53">
        <v>4.3419999999999996</v>
      </c>
      <c r="AK194" s="53">
        <v>0</v>
      </c>
      <c r="AL194" s="53">
        <f>4.342-AJ194-AK194</f>
        <v>0</v>
      </c>
      <c r="AM194" s="53">
        <f>6.062-AK194-AL194-AJ194</f>
        <v>1.7200000000000006</v>
      </c>
      <c r="AN194" s="53">
        <v>0</v>
      </c>
      <c r="AO194" s="53">
        <v>1.9810000000000001</v>
      </c>
      <c r="AP194" s="53">
        <v>48.135999999999996</v>
      </c>
      <c r="AQ194" s="53">
        <v>0</v>
      </c>
      <c r="AR194" s="53">
        <v>0</v>
      </c>
      <c r="AS194" s="64"/>
      <c r="AT194" s="53">
        <f t="shared" si="171"/>
        <v>7.1999999999999995E-2</v>
      </c>
      <c r="AU194" s="53">
        <f t="shared" si="172"/>
        <v>5.4109999999999996</v>
      </c>
      <c r="AV194" s="53">
        <f t="shared" si="173"/>
        <v>23.751000000000001</v>
      </c>
      <c r="AW194" s="53">
        <f t="shared" si="174"/>
        <v>0</v>
      </c>
      <c r="AX194" s="53">
        <f t="shared" si="175"/>
        <v>0.79300000000000004</v>
      </c>
      <c r="AY194" s="53">
        <f t="shared" si="176"/>
        <v>0.73099999999999998</v>
      </c>
      <c r="AZ194" s="53">
        <f t="shared" si="168"/>
        <v>179.953</v>
      </c>
      <c r="BA194" s="53">
        <f t="shared" si="169"/>
        <v>6.0620000000000003</v>
      </c>
      <c r="BB194" s="53">
        <f t="shared" si="170"/>
        <v>50.116999999999997</v>
      </c>
      <c r="BC194" s="37"/>
      <c r="BD194" s="63"/>
      <c r="BE194" s="37"/>
    </row>
    <row r="195" spans="2:57" outlineLevel="2">
      <c r="B195" s="14" t="s">
        <v>223</v>
      </c>
      <c r="C195" s="83" t="s">
        <v>71</v>
      </c>
      <c r="D195" s="53"/>
      <c r="E195" s="53"/>
      <c r="F195" s="53"/>
      <c r="G195" s="53"/>
      <c r="H195" s="53">
        <v>0</v>
      </c>
      <c r="I195" s="53">
        <v>0</v>
      </c>
      <c r="J195" s="53">
        <v>0</v>
      </c>
      <c r="K195" s="53">
        <v>0</v>
      </c>
      <c r="L195" s="53">
        <v>0</v>
      </c>
      <c r="M195" s="53">
        <v>0</v>
      </c>
      <c r="N195" s="53">
        <v>0</v>
      </c>
      <c r="O195" s="53">
        <v>0</v>
      </c>
      <c r="P195" s="53">
        <v>0</v>
      </c>
      <c r="Q195" s="53">
        <v>0</v>
      </c>
      <c r="R195" s="53">
        <v>0</v>
      </c>
      <c r="S195" s="53">
        <v>0</v>
      </c>
      <c r="T195" s="53">
        <v>0</v>
      </c>
      <c r="U195" s="53">
        <v>0</v>
      </c>
      <c r="V195" s="53">
        <v>0</v>
      </c>
      <c r="W195" s="53">
        <v>0</v>
      </c>
      <c r="X195" s="53">
        <v>0</v>
      </c>
      <c r="Y195" s="53">
        <v>0</v>
      </c>
      <c r="Z195" s="53">
        <v>0</v>
      </c>
      <c r="AA195" s="53">
        <v>0</v>
      </c>
      <c r="AB195" s="53">
        <v>0</v>
      </c>
      <c r="AC195" s="53">
        <v>0</v>
      </c>
      <c r="AD195" s="53">
        <v>0</v>
      </c>
      <c r="AE195" s="53">
        <v>0</v>
      </c>
      <c r="AF195" s="53">
        <v>0</v>
      </c>
      <c r="AG195" s="53">
        <v>0</v>
      </c>
      <c r="AH195" s="53">
        <v>0</v>
      </c>
      <c r="AI195" s="53">
        <v>0</v>
      </c>
      <c r="AJ195" s="53">
        <v>0</v>
      </c>
      <c r="AK195" s="53">
        <v>0</v>
      </c>
      <c r="AL195" s="53">
        <v>0</v>
      </c>
      <c r="AM195" s="53">
        <v>0</v>
      </c>
      <c r="AN195" s="53">
        <v>0</v>
      </c>
      <c r="AO195" s="53">
        <v>0</v>
      </c>
      <c r="AP195" s="53">
        <v>26.21</v>
      </c>
      <c r="AQ195" s="53">
        <v>0</v>
      </c>
      <c r="AR195" s="53">
        <v>0</v>
      </c>
      <c r="AS195" s="64"/>
      <c r="AT195" s="53"/>
      <c r="AU195" s="53"/>
      <c r="AV195" s="53"/>
      <c r="AW195" s="53"/>
      <c r="AX195" s="53"/>
      <c r="AY195" s="53"/>
      <c r="AZ195" s="53"/>
      <c r="BA195" s="53"/>
      <c r="BB195" s="53">
        <f t="shared" si="170"/>
        <v>26.21</v>
      </c>
      <c r="BC195" s="37"/>
      <c r="BD195" s="63"/>
      <c r="BE195" s="37"/>
    </row>
    <row r="196" spans="2:57" outlineLevel="2">
      <c r="B196" s="14" t="s">
        <v>224</v>
      </c>
      <c r="C196" s="83" t="s">
        <v>71</v>
      </c>
      <c r="D196" s="53"/>
      <c r="E196" s="53"/>
      <c r="F196" s="53"/>
      <c r="G196" s="53"/>
      <c r="H196" s="53">
        <v>0</v>
      </c>
      <c r="I196" s="53">
        <v>0</v>
      </c>
      <c r="J196" s="53">
        <v>0</v>
      </c>
      <c r="K196" s="53">
        <v>0</v>
      </c>
      <c r="L196" s="53">
        <v>0</v>
      </c>
      <c r="M196" s="53">
        <v>0</v>
      </c>
      <c r="N196" s="53">
        <v>0</v>
      </c>
      <c r="O196" s="53">
        <v>0</v>
      </c>
      <c r="P196" s="53">
        <v>0</v>
      </c>
      <c r="Q196" s="53">
        <v>0</v>
      </c>
      <c r="R196" s="53">
        <v>0</v>
      </c>
      <c r="S196" s="53">
        <v>0</v>
      </c>
      <c r="T196" s="53">
        <v>0</v>
      </c>
      <c r="U196" s="53">
        <v>0</v>
      </c>
      <c r="V196" s="53">
        <v>0</v>
      </c>
      <c r="W196" s="53">
        <v>0</v>
      </c>
      <c r="X196" s="53">
        <v>0</v>
      </c>
      <c r="Y196" s="53">
        <v>0</v>
      </c>
      <c r="Z196" s="53">
        <v>0</v>
      </c>
      <c r="AA196" s="53">
        <v>0</v>
      </c>
      <c r="AB196" s="53">
        <v>0</v>
      </c>
      <c r="AC196" s="53">
        <v>0</v>
      </c>
      <c r="AD196" s="53">
        <v>0</v>
      </c>
      <c r="AE196" s="53">
        <v>0</v>
      </c>
      <c r="AF196" s="53">
        <v>0</v>
      </c>
      <c r="AG196" s="53">
        <v>0</v>
      </c>
      <c r="AH196" s="53">
        <v>0</v>
      </c>
      <c r="AI196" s="53">
        <v>0</v>
      </c>
      <c r="AJ196" s="53">
        <v>0</v>
      </c>
      <c r="AK196" s="53">
        <v>0</v>
      </c>
      <c r="AL196" s="53">
        <v>0</v>
      </c>
      <c r="AM196" s="53">
        <v>0</v>
      </c>
      <c r="AN196" s="53">
        <v>0</v>
      </c>
      <c r="AO196" s="53">
        <v>0</v>
      </c>
      <c r="AP196" s="53">
        <v>0</v>
      </c>
      <c r="AQ196" s="53">
        <v>0</v>
      </c>
      <c r="AR196" s="53">
        <v>0</v>
      </c>
      <c r="AS196" s="63"/>
      <c r="AT196" s="53">
        <f t="shared" si="171"/>
        <v>0</v>
      </c>
      <c r="AU196" s="53">
        <f t="shared" si="172"/>
        <v>0</v>
      </c>
      <c r="AV196" s="53">
        <f t="shared" si="173"/>
        <v>0</v>
      </c>
      <c r="AW196" s="53">
        <f t="shared" si="174"/>
        <v>0</v>
      </c>
      <c r="AX196" s="53">
        <f t="shared" si="175"/>
        <v>0</v>
      </c>
      <c r="AY196" s="53">
        <f t="shared" si="176"/>
        <v>0</v>
      </c>
      <c r="AZ196" s="53">
        <f t="shared" si="168"/>
        <v>0</v>
      </c>
      <c r="BA196" s="53">
        <f t="shared" si="169"/>
        <v>0</v>
      </c>
      <c r="BB196" s="53">
        <f t="shared" si="170"/>
        <v>0</v>
      </c>
      <c r="BC196" s="37"/>
      <c r="BD196" s="37"/>
      <c r="BE196" s="37"/>
    </row>
    <row r="197" spans="2:57" outlineLevel="2">
      <c r="B197" s="14" t="s">
        <v>225</v>
      </c>
      <c r="C197" s="83" t="s">
        <v>71</v>
      </c>
      <c r="D197" s="53"/>
      <c r="E197" s="53"/>
      <c r="F197" s="53"/>
      <c r="G197" s="53"/>
      <c r="H197" s="53">
        <v>0</v>
      </c>
      <c r="I197" s="53">
        <v>0</v>
      </c>
      <c r="J197" s="53">
        <v>0</v>
      </c>
      <c r="K197" s="53">
        <v>0</v>
      </c>
      <c r="L197" s="53">
        <v>0</v>
      </c>
      <c r="M197" s="53">
        <v>0</v>
      </c>
      <c r="N197" s="53">
        <v>0</v>
      </c>
      <c r="O197" s="53">
        <v>0</v>
      </c>
      <c r="P197" s="53">
        <v>0</v>
      </c>
      <c r="Q197" s="53">
        <v>0</v>
      </c>
      <c r="R197" s="53">
        <v>0</v>
      </c>
      <c r="S197" s="53">
        <v>0</v>
      </c>
      <c r="T197" s="53">
        <v>0</v>
      </c>
      <c r="U197" s="53">
        <v>0</v>
      </c>
      <c r="V197" s="53">
        <v>0</v>
      </c>
      <c r="W197" s="53">
        <v>0</v>
      </c>
      <c r="X197" s="53">
        <v>0</v>
      </c>
      <c r="Y197" s="53">
        <v>0</v>
      </c>
      <c r="Z197" s="53">
        <v>0</v>
      </c>
      <c r="AA197" s="53">
        <v>0</v>
      </c>
      <c r="AB197" s="53">
        <v>0</v>
      </c>
      <c r="AC197" s="53">
        <v>0</v>
      </c>
      <c r="AD197" s="53">
        <v>0</v>
      </c>
      <c r="AE197" s="53">
        <v>0</v>
      </c>
      <c r="AF197" s="53">
        <v>0</v>
      </c>
      <c r="AG197" s="53">
        <v>0</v>
      </c>
      <c r="AH197" s="53">
        <v>0</v>
      </c>
      <c r="AI197" s="53">
        <v>0</v>
      </c>
      <c r="AJ197" s="53">
        <v>-2.2919999999999998</v>
      </c>
      <c r="AK197" s="53">
        <v>0</v>
      </c>
      <c r="AL197" s="53">
        <f>-AJ197</f>
        <v>2.2919999999999998</v>
      </c>
      <c r="AM197" s="53">
        <v>0</v>
      </c>
      <c r="AN197" s="53">
        <v>5.077</v>
      </c>
      <c r="AO197" s="53">
        <v>0.13999999999999968</v>
      </c>
      <c r="AP197" s="53">
        <v>5.0420000000000007</v>
      </c>
      <c r="AQ197" s="53">
        <v>5.8419999999999987</v>
      </c>
      <c r="AR197" s="53">
        <v>2.6589999999999998</v>
      </c>
      <c r="AT197" s="53">
        <f>SUM(H197:K197)</f>
        <v>0</v>
      </c>
      <c r="AU197" s="53">
        <f>SUM(L197:O197)</f>
        <v>0</v>
      </c>
      <c r="AV197" s="53">
        <f>SUM(P197:S197)</f>
        <v>0</v>
      </c>
      <c r="AW197" s="53">
        <f>SUM(T197:W197)</f>
        <v>0</v>
      </c>
      <c r="AX197" s="53">
        <f>SUM(X197:AA197)</f>
        <v>0</v>
      </c>
      <c r="AY197" s="53">
        <f>SUM(AB197:AE197)</f>
        <v>0</v>
      </c>
      <c r="AZ197" s="53">
        <f>SUM(AF197:AI197)</f>
        <v>0</v>
      </c>
      <c r="BA197" s="53"/>
      <c r="BB197" s="53">
        <f t="shared" si="170"/>
        <v>16.100999999999999</v>
      </c>
      <c r="BC197" s="37"/>
      <c r="BD197" s="37"/>
      <c r="BE197" s="37"/>
    </row>
    <row r="198" spans="2:57" outlineLevel="2">
      <c r="B198" s="14" t="s">
        <v>226</v>
      </c>
      <c r="C198" s="83" t="s">
        <v>71</v>
      </c>
      <c r="D198" s="53"/>
      <c r="E198" s="53"/>
      <c r="F198" s="53"/>
      <c r="G198" s="53"/>
      <c r="H198" s="53">
        <v>0</v>
      </c>
      <c r="I198" s="53">
        <v>0</v>
      </c>
      <c r="J198" s="53">
        <v>0</v>
      </c>
      <c r="K198" s="53">
        <v>0</v>
      </c>
      <c r="L198" s="53">
        <v>0</v>
      </c>
      <c r="M198" s="53">
        <v>0</v>
      </c>
      <c r="N198" s="53">
        <v>0</v>
      </c>
      <c r="O198" s="53">
        <v>0</v>
      </c>
      <c r="P198" s="53">
        <v>0</v>
      </c>
      <c r="Q198" s="53">
        <v>0</v>
      </c>
      <c r="R198" s="53">
        <v>0</v>
      </c>
      <c r="S198" s="53">
        <v>0</v>
      </c>
      <c r="T198" s="53">
        <v>0</v>
      </c>
      <c r="U198" s="53">
        <v>0</v>
      </c>
      <c r="V198" s="53">
        <v>0</v>
      </c>
      <c r="W198" s="53">
        <v>0</v>
      </c>
      <c r="X198" s="53">
        <v>0</v>
      </c>
      <c r="Y198" s="53">
        <v>0</v>
      </c>
      <c r="Z198" s="53">
        <v>0</v>
      </c>
      <c r="AA198" s="53">
        <v>0</v>
      </c>
      <c r="AB198" s="53">
        <v>0</v>
      </c>
      <c r="AC198" s="53">
        <v>0</v>
      </c>
      <c r="AD198" s="53">
        <v>0</v>
      </c>
      <c r="AE198" s="53">
        <v>0</v>
      </c>
      <c r="AF198" s="53">
        <v>0</v>
      </c>
      <c r="AG198" s="53">
        <v>0</v>
      </c>
      <c r="AH198" s="53">
        <v>0</v>
      </c>
      <c r="AI198" s="53">
        <v>0</v>
      </c>
      <c r="AJ198" s="53">
        <v>-0.20899999999999999</v>
      </c>
      <c r="AK198" s="53">
        <v>2.4279999999999999</v>
      </c>
      <c r="AL198" s="53">
        <f>-AJ198</f>
        <v>0.20899999999999999</v>
      </c>
      <c r="AM198" s="53">
        <v>0</v>
      </c>
      <c r="AN198" s="53">
        <v>4.2130000000000001</v>
      </c>
      <c r="AO198" s="53">
        <v>4.2139999999999995</v>
      </c>
      <c r="AP198" s="53">
        <v>-2.6459999999999999</v>
      </c>
      <c r="AQ198" s="53">
        <v>5.6499999999999995</v>
      </c>
      <c r="AR198" s="53">
        <v>-2.0659999999999998</v>
      </c>
      <c r="AT198" s="53">
        <f>SUM(H198:K198)</f>
        <v>0</v>
      </c>
      <c r="AU198" s="53">
        <f>SUM(L198:O198)</f>
        <v>0</v>
      </c>
      <c r="AV198" s="53">
        <f>SUM(P198:S198)</f>
        <v>0</v>
      </c>
      <c r="AW198" s="53">
        <f>SUM(T198:W198)</f>
        <v>0</v>
      </c>
      <c r="AX198" s="53">
        <f>SUM(X198:AA198)</f>
        <v>0</v>
      </c>
      <c r="AY198" s="53">
        <f>SUM(AB198:AE198)</f>
        <v>0</v>
      </c>
      <c r="AZ198" s="53">
        <f>SUM(AF198:AI198)</f>
        <v>0</v>
      </c>
      <c r="BA198" s="53"/>
      <c r="BB198" s="53">
        <f t="shared" si="170"/>
        <v>11.430999999999999</v>
      </c>
      <c r="BC198" s="37"/>
      <c r="BD198" s="37"/>
      <c r="BE198" s="37"/>
    </row>
    <row r="199" spans="2:57" outlineLevel="2">
      <c r="B199" s="14" t="s">
        <v>227</v>
      </c>
      <c r="C199" s="83" t="s">
        <v>71</v>
      </c>
      <c r="D199" s="53"/>
      <c r="E199" s="53"/>
      <c r="F199" s="53"/>
      <c r="G199" s="53"/>
      <c r="H199" s="53">
        <v>0</v>
      </c>
      <c r="I199" s="53">
        <v>0</v>
      </c>
      <c r="J199" s="53">
        <v>0</v>
      </c>
      <c r="K199" s="53">
        <v>0</v>
      </c>
      <c r="L199" s="53">
        <v>0</v>
      </c>
      <c r="M199" s="53">
        <v>0</v>
      </c>
      <c r="N199" s="53">
        <v>0</v>
      </c>
      <c r="O199" s="53">
        <v>0</v>
      </c>
      <c r="P199" s="53">
        <v>0</v>
      </c>
      <c r="Q199" s="53">
        <v>0</v>
      </c>
      <c r="R199" s="53">
        <v>0</v>
      </c>
      <c r="S199" s="53">
        <v>0</v>
      </c>
      <c r="T199" s="53">
        <v>0</v>
      </c>
      <c r="U199" s="53">
        <v>0</v>
      </c>
      <c r="V199" s="53">
        <v>0</v>
      </c>
      <c r="W199" s="53">
        <v>0</v>
      </c>
      <c r="X199" s="53">
        <v>0</v>
      </c>
      <c r="Y199" s="53">
        <v>0</v>
      </c>
      <c r="Z199" s="53">
        <v>0</v>
      </c>
      <c r="AA199" s="53">
        <v>0</v>
      </c>
      <c r="AB199" s="53">
        <v>0</v>
      </c>
      <c r="AC199" s="53">
        <v>0</v>
      </c>
      <c r="AD199" s="53">
        <v>0</v>
      </c>
      <c r="AE199" s="53">
        <v>0</v>
      </c>
      <c r="AF199" s="53">
        <v>0</v>
      </c>
      <c r="AG199" s="53">
        <v>0</v>
      </c>
      <c r="AH199" s="53">
        <v>0</v>
      </c>
      <c r="AI199" s="53">
        <v>0</v>
      </c>
      <c r="AJ199" s="53">
        <v>-2.4279999999999999</v>
      </c>
      <c r="AK199" s="53">
        <v>0</v>
      </c>
      <c r="AL199" s="53">
        <f>-AJ199</f>
        <v>2.4279999999999999</v>
      </c>
      <c r="AM199" s="53">
        <v>0</v>
      </c>
      <c r="AN199" s="53">
        <v>-4.2919999999999998</v>
      </c>
      <c r="AO199" s="53">
        <v>-1.0030000000000001</v>
      </c>
      <c r="AP199" s="53">
        <v>-1.2830000000000004</v>
      </c>
      <c r="AQ199" s="53">
        <v>3.0000000000000249E-2</v>
      </c>
      <c r="AR199" s="53">
        <v>-0.94599999999999995</v>
      </c>
      <c r="AT199" s="53">
        <f>SUM(H199:K199)</f>
        <v>0</v>
      </c>
      <c r="AU199" s="53">
        <f>SUM(L199:O199)</f>
        <v>0</v>
      </c>
      <c r="AV199" s="53">
        <f>SUM(P199:S199)</f>
        <v>0</v>
      </c>
      <c r="AW199" s="53">
        <f>SUM(T199:W199)</f>
        <v>0</v>
      </c>
      <c r="AX199" s="53">
        <f>SUM(X199:AA199)</f>
        <v>0</v>
      </c>
      <c r="AY199" s="53">
        <f>SUM(AB199:AE199)</f>
        <v>0</v>
      </c>
      <c r="AZ199" s="53">
        <f>SUM(AF199:AI199)</f>
        <v>0</v>
      </c>
      <c r="BA199" s="53"/>
      <c r="BB199" s="53">
        <f t="shared" si="170"/>
        <v>-6.548</v>
      </c>
      <c r="BC199" s="37"/>
      <c r="BD199" s="37"/>
      <c r="BE199" s="37"/>
    </row>
    <row r="200" spans="2:57" ht="14.25" outlineLevel="2">
      <c r="B200" s="14" t="s">
        <v>193</v>
      </c>
      <c r="C200" s="83" t="s">
        <v>71</v>
      </c>
      <c r="D200" s="53"/>
      <c r="E200" s="53"/>
      <c r="F200" s="53"/>
      <c r="G200" s="53"/>
      <c r="H200" s="53">
        <v>3.7250000000000001</v>
      </c>
      <c r="I200" s="53">
        <v>7.5489999999999995</v>
      </c>
      <c r="J200" s="53">
        <v>2.5280000000000005</v>
      </c>
      <c r="K200" s="53">
        <v>17.826000000000001</v>
      </c>
      <c r="L200" s="53">
        <v>3.3769999999999998</v>
      </c>
      <c r="M200" s="53">
        <v>0.7</v>
      </c>
      <c r="N200" s="53">
        <v>15.575999999999999</v>
      </c>
      <c r="O200" s="53">
        <v>16.451999999999998</v>
      </c>
      <c r="P200" s="53">
        <v>12.122</v>
      </c>
      <c r="Q200" s="53">
        <v>28.014000000000003</v>
      </c>
      <c r="R200" s="53">
        <v>16.494999999999997</v>
      </c>
      <c r="S200" s="53">
        <v>15.174999999999997</v>
      </c>
      <c r="T200" s="53">
        <v>3.64</v>
      </c>
      <c r="U200" s="53">
        <v>16.471999999999998</v>
      </c>
      <c r="V200" s="53">
        <v>12.175000000000001</v>
      </c>
      <c r="W200" s="53">
        <v>3.203000000000003</v>
      </c>
      <c r="X200" s="53">
        <v>4.4640000000000004</v>
      </c>
      <c r="Y200" s="53">
        <v>-29.953000000000003</v>
      </c>
      <c r="Z200" s="53">
        <v>12.532000000000004</v>
      </c>
      <c r="AA200" s="53">
        <v>21.578000000000003</v>
      </c>
      <c r="AB200" s="53">
        <v>63.188000000000002</v>
      </c>
      <c r="AC200" s="53">
        <v>45.313000000000002</v>
      </c>
      <c r="AD200" s="53">
        <v>57.472000000000001</v>
      </c>
      <c r="AE200" s="53">
        <v>118.46799999999996</v>
      </c>
      <c r="AF200" s="53">
        <v>126.59399999999999</v>
      </c>
      <c r="AG200" s="53">
        <v>89.695999999999998</v>
      </c>
      <c r="AH200" s="53">
        <v>65.263000000000005</v>
      </c>
      <c r="AI200" s="136">
        <v>-65.996000000000009</v>
      </c>
      <c r="AJ200" s="53">
        <v>68.188000000000002</v>
      </c>
      <c r="AK200" s="53">
        <v>132.916</v>
      </c>
      <c r="AL200" s="53">
        <f>475.557-AJ200-AK200</f>
        <v>274.45300000000003</v>
      </c>
      <c r="AM200" s="53">
        <f>853.328-AJ200-AK200-AL200</f>
        <v>377.7709999999999</v>
      </c>
      <c r="AN200" s="53">
        <v>132.81</v>
      </c>
      <c r="AO200" s="53">
        <v>73.538999999999987</v>
      </c>
      <c r="AP200" s="53">
        <v>211.07800000000003</v>
      </c>
      <c r="AQ200" s="53">
        <v>160.83299999999997</v>
      </c>
      <c r="AR200" s="53">
        <v>220.066</v>
      </c>
      <c r="AS200" s="63"/>
      <c r="AT200" s="53">
        <f t="shared" si="171"/>
        <v>31.628</v>
      </c>
      <c r="AU200" s="53">
        <f t="shared" si="172"/>
        <v>36.104999999999997</v>
      </c>
      <c r="AV200" s="53">
        <f t="shared" si="173"/>
        <v>71.805999999999997</v>
      </c>
      <c r="AW200" s="53">
        <f t="shared" si="174"/>
        <v>35.49</v>
      </c>
      <c r="AX200" s="53">
        <f t="shared" si="175"/>
        <v>8.6210000000000022</v>
      </c>
      <c r="AY200" s="53">
        <f t="shared" si="176"/>
        <v>284.44099999999997</v>
      </c>
      <c r="AZ200" s="53">
        <f t="shared" si="168"/>
        <v>215.55699999999999</v>
      </c>
      <c r="BA200" s="53">
        <f t="shared" si="169"/>
        <v>853.32799999999997</v>
      </c>
      <c r="BB200" s="53">
        <f t="shared" si="170"/>
        <v>578.26</v>
      </c>
      <c r="BC200" s="37"/>
      <c r="BD200" s="37"/>
      <c r="BE200" s="37"/>
    </row>
    <row r="201" spans="2:57" outlineLevel="2">
      <c r="B201" s="14" t="s">
        <v>228</v>
      </c>
      <c r="C201" s="83" t="s">
        <v>71</v>
      </c>
      <c r="D201" s="53"/>
      <c r="E201" s="53"/>
      <c r="F201" s="53"/>
      <c r="G201" s="53"/>
      <c r="H201" s="53">
        <v>-29.704999999999998</v>
      </c>
      <c r="I201" s="53">
        <v>-20.935000000000002</v>
      </c>
      <c r="J201" s="53">
        <v>-17.826999999999998</v>
      </c>
      <c r="K201" s="53">
        <v>-16.968000000000004</v>
      </c>
      <c r="L201" s="53">
        <v>-15.868</v>
      </c>
      <c r="M201" s="53">
        <v>13.6</v>
      </c>
      <c r="N201" s="53">
        <v>-117.64700000000001</v>
      </c>
      <c r="O201" s="53">
        <v>-27.46299999999998</v>
      </c>
      <c r="P201" s="53">
        <v>-50.832999999999998</v>
      </c>
      <c r="Q201" s="53">
        <v>-49.113</v>
      </c>
      <c r="R201" s="53">
        <v>-99.378999999999991</v>
      </c>
      <c r="S201" s="53">
        <v>-60.670999999999992</v>
      </c>
      <c r="T201" s="53">
        <v>-24.356000000000002</v>
      </c>
      <c r="U201" s="53">
        <v>-23.326999999999998</v>
      </c>
      <c r="V201" s="53">
        <v>-26.160999999999994</v>
      </c>
      <c r="W201" s="53">
        <v>-15.564</v>
      </c>
      <c r="X201" s="53">
        <v>-21.678999999999998</v>
      </c>
      <c r="Y201" s="53">
        <v>-47.637999999999991</v>
      </c>
      <c r="Z201" s="53">
        <v>-72.215999999999994</v>
      </c>
      <c r="AA201" s="53">
        <v>-112.452</v>
      </c>
      <c r="AB201" s="53">
        <v>-215.316</v>
      </c>
      <c r="AC201" s="53">
        <v>-153.559</v>
      </c>
      <c r="AD201" s="53">
        <v>-155.52699999999999</v>
      </c>
      <c r="AE201" s="53">
        <v>-210.423</v>
      </c>
      <c r="AF201" s="53">
        <v>-110.82</v>
      </c>
      <c r="AG201" s="53">
        <v>-199.95499999999998</v>
      </c>
      <c r="AH201" s="53">
        <v>-206.59199999999998</v>
      </c>
      <c r="AI201" s="53">
        <v>-181.69800000000015</v>
      </c>
      <c r="AJ201" s="53">
        <v>-186.30500000000001</v>
      </c>
      <c r="AK201" s="53">
        <v>-200.19599999999997</v>
      </c>
      <c r="AL201" s="53">
        <f>-589.765-AJ201-AK201</f>
        <v>-203.26400000000001</v>
      </c>
      <c r="AM201" s="53">
        <f>-782.693-AJ201-AK201-AL201</f>
        <v>-192.92799999999994</v>
      </c>
      <c r="AN201" s="53">
        <v>-277.392</v>
      </c>
      <c r="AO201" s="53">
        <v>-301.47899999999998</v>
      </c>
      <c r="AP201" s="53">
        <v>-328.15</v>
      </c>
      <c r="AQ201" s="53">
        <v>-284.33400000000006</v>
      </c>
      <c r="AR201" s="53">
        <v>-242.34800000000001</v>
      </c>
      <c r="AS201" s="63"/>
      <c r="AT201" s="53">
        <f t="shared" si="171"/>
        <v>-85.435000000000002</v>
      </c>
      <c r="AU201" s="53">
        <f t="shared" si="172"/>
        <v>-147.37799999999999</v>
      </c>
      <c r="AV201" s="53">
        <f t="shared" si="173"/>
        <v>-259.99599999999998</v>
      </c>
      <c r="AW201" s="53">
        <f t="shared" si="174"/>
        <v>-89.407999999999987</v>
      </c>
      <c r="AX201" s="53">
        <f t="shared" si="175"/>
        <v>-253.98499999999999</v>
      </c>
      <c r="AY201" s="53">
        <f t="shared" si="176"/>
        <v>-734.82500000000005</v>
      </c>
      <c r="AZ201" s="53">
        <f t="shared" si="168"/>
        <v>-699.06500000000005</v>
      </c>
      <c r="BA201" s="53">
        <f t="shared" si="169"/>
        <v>-782.69299999999998</v>
      </c>
      <c r="BB201" s="53">
        <f t="shared" si="170"/>
        <v>-1191.355</v>
      </c>
      <c r="BC201" s="37"/>
      <c r="BD201" s="37"/>
      <c r="BE201" s="37"/>
    </row>
    <row r="202" spans="2:57" outlineLevel="2">
      <c r="B202" s="1" t="s">
        <v>229</v>
      </c>
      <c r="C202" s="83" t="s">
        <v>71</v>
      </c>
      <c r="D202" s="53"/>
      <c r="E202" s="53"/>
      <c r="F202" s="53"/>
      <c r="G202" s="53"/>
      <c r="H202" s="53">
        <v>0</v>
      </c>
      <c r="I202" s="53">
        <v>0</v>
      </c>
      <c r="J202" s="53">
        <v>0</v>
      </c>
      <c r="K202" s="53">
        <v>0</v>
      </c>
      <c r="L202" s="53">
        <v>0</v>
      </c>
      <c r="M202" s="53">
        <v>0</v>
      </c>
      <c r="N202" s="53">
        <v>0</v>
      </c>
      <c r="O202" s="53">
        <v>0</v>
      </c>
      <c r="P202" s="53">
        <v>0</v>
      </c>
      <c r="Q202" s="53">
        <v>0</v>
      </c>
      <c r="R202" s="53">
        <v>0</v>
      </c>
      <c r="S202" s="53">
        <v>0.215</v>
      </c>
      <c r="T202" s="53">
        <v>-15.098000000000001</v>
      </c>
      <c r="U202" s="53">
        <v>-2.4760000000000009</v>
      </c>
      <c r="V202" s="53">
        <v>-2.6339999999999986</v>
      </c>
      <c r="W202" s="53">
        <v>3.072000000000001</v>
      </c>
      <c r="X202" s="53">
        <v>-1.7689999999999999</v>
      </c>
      <c r="Y202" s="53">
        <v>2.883</v>
      </c>
      <c r="Z202" s="53">
        <v>-1.641</v>
      </c>
      <c r="AA202" s="53">
        <v>18.186</v>
      </c>
      <c r="AB202" s="53">
        <v>6.4909999999999997</v>
      </c>
      <c r="AC202" s="53">
        <v>-5.125</v>
      </c>
      <c r="AD202" s="53">
        <v>4.9359999999999999</v>
      </c>
      <c r="AE202" s="53">
        <v>94.594999999999999</v>
      </c>
      <c r="AF202" s="53">
        <v>20.428000000000001</v>
      </c>
      <c r="AG202" s="53">
        <v>-32.191000000000003</v>
      </c>
      <c r="AH202" s="53">
        <v>75.626999999999995</v>
      </c>
      <c r="AI202" s="53">
        <v>24.413000000000011</v>
      </c>
      <c r="AJ202" s="53">
        <v>-7.06</v>
      </c>
      <c r="AK202" s="53">
        <v>-20.351000000000003</v>
      </c>
      <c r="AL202" s="53">
        <f>-6.373-AJ202-AK202</f>
        <v>21.038000000000004</v>
      </c>
      <c r="AM202" s="53">
        <f>-32.384-AJ202-AK202-AL202</f>
        <v>-26.011000000000003</v>
      </c>
      <c r="AN202" s="53">
        <v>18.356000000000002</v>
      </c>
      <c r="AO202" s="53">
        <v>31.375</v>
      </c>
      <c r="AP202" s="53">
        <v>41.567</v>
      </c>
      <c r="AQ202" s="53">
        <v>20.936999999999998</v>
      </c>
      <c r="AR202" s="53">
        <v>33.264000000000003</v>
      </c>
      <c r="AS202" s="63"/>
      <c r="AT202" s="53">
        <f t="shared" si="171"/>
        <v>0</v>
      </c>
      <c r="AU202" s="53">
        <f t="shared" si="172"/>
        <v>0</v>
      </c>
      <c r="AV202" s="53">
        <f t="shared" si="173"/>
        <v>0.215</v>
      </c>
      <c r="AW202" s="53">
        <f t="shared" si="174"/>
        <v>-17.135999999999996</v>
      </c>
      <c r="AX202" s="53">
        <f t="shared" si="175"/>
        <v>17.658999999999999</v>
      </c>
      <c r="AY202" s="53">
        <f t="shared" si="176"/>
        <v>100.89699999999999</v>
      </c>
      <c r="AZ202" s="53">
        <f t="shared" si="168"/>
        <v>88.277000000000001</v>
      </c>
      <c r="BA202" s="53">
        <f t="shared" si="169"/>
        <v>-32.384</v>
      </c>
      <c r="BB202" s="53">
        <f t="shared" si="170"/>
        <v>112.235</v>
      </c>
      <c r="BC202" s="37"/>
      <c r="BD202" s="37"/>
      <c r="BE202" s="37"/>
    </row>
    <row r="203" spans="2:57" outlineLevel="2">
      <c r="B203" s="14" t="s">
        <v>230</v>
      </c>
      <c r="C203" s="83" t="s">
        <v>71</v>
      </c>
      <c r="D203" s="53"/>
      <c r="E203" s="53"/>
      <c r="F203" s="53"/>
      <c r="G203" s="53"/>
      <c r="H203" s="53">
        <v>0</v>
      </c>
      <c r="I203" s="53">
        <v>0</v>
      </c>
      <c r="J203" s="53">
        <v>0</v>
      </c>
      <c r="K203" s="53">
        <v>0</v>
      </c>
      <c r="L203" s="53">
        <v>0</v>
      </c>
      <c r="M203" s="53">
        <v>0</v>
      </c>
      <c r="N203" s="53">
        <v>0</v>
      </c>
      <c r="O203" s="53">
        <v>0</v>
      </c>
      <c r="P203" s="53">
        <v>17.204000000000001</v>
      </c>
      <c r="Q203" s="53">
        <v>18.389000000000003</v>
      </c>
      <c r="R203" s="53">
        <v>19.049999999999997</v>
      </c>
      <c r="S203" s="53">
        <v>19.448999999999998</v>
      </c>
      <c r="T203" s="53">
        <v>20.821999999999999</v>
      </c>
      <c r="U203" s="53">
        <v>20.516999999999999</v>
      </c>
      <c r="V203" s="53">
        <v>20.221000000000007</v>
      </c>
      <c r="W203" s="53">
        <v>23.69799999999999</v>
      </c>
      <c r="X203" s="53">
        <v>21.952999999999999</v>
      </c>
      <c r="Y203" s="53">
        <v>21.294999999999998</v>
      </c>
      <c r="Z203" s="53">
        <v>26.622999999999994</v>
      </c>
      <c r="AA203" s="53">
        <v>28.366</v>
      </c>
      <c r="AB203" s="53">
        <v>43.222999999999999</v>
      </c>
      <c r="AC203" s="53">
        <v>37.920999999999999</v>
      </c>
      <c r="AD203" s="53">
        <v>43.13</v>
      </c>
      <c r="AE203" s="53">
        <v>100.459</v>
      </c>
      <c r="AF203" s="53">
        <v>51.514000000000003</v>
      </c>
      <c r="AG203" s="53">
        <v>68.793000000000006</v>
      </c>
      <c r="AH203" s="53">
        <v>86.34099999999998</v>
      </c>
      <c r="AI203" s="53">
        <v>86.008999999999986</v>
      </c>
      <c r="AJ203" s="53">
        <v>80.456999999999994</v>
      </c>
      <c r="AK203" s="53">
        <v>79.503000000000014</v>
      </c>
      <c r="AL203" s="53">
        <f>243.485-AJ203-AK203</f>
        <v>83.525000000000006</v>
      </c>
      <c r="AM203" s="53">
        <f>336.574-AJ203-AK203-AL203</f>
        <v>93.088999999999999</v>
      </c>
      <c r="AN203" s="53">
        <v>91.031999999999996</v>
      </c>
      <c r="AO203" s="53">
        <v>90.905999999999992</v>
      </c>
      <c r="AP203" s="53">
        <v>94.886000000000024</v>
      </c>
      <c r="AQ203" s="53">
        <v>86.584000000000003</v>
      </c>
      <c r="AR203" s="53">
        <v>86.51</v>
      </c>
      <c r="AT203" s="53">
        <f t="shared" si="171"/>
        <v>0</v>
      </c>
      <c r="AU203" s="53">
        <f t="shared" si="172"/>
        <v>0</v>
      </c>
      <c r="AV203" s="53">
        <f t="shared" si="173"/>
        <v>74.091999999999999</v>
      </c>
      <c r="AW203" s="53">
        <f t="shared" si="174"/>
        <v>85.257999999999996</v>
      </c>
      <c r="AX203" s="53">
        <f t="shared" si="175"/>
        <v>98.236999999999995</v>
      </c>
      <c r="AY203" s="53">
        <f t="shared" si="176"/>
        <v>224.733</v>
      </c>
      <c r="AZ203" s="53">
        <f t="shared" si="168"/>
        <v>292.65699999999998</v>
      </c>
      <c r="BA203" s="53">
        <f t="shared" si="169"/>
        <v>336.57400000000001</v>
      </c>
      <c r="BB203" s="53">
        <f t="shared" si="170"/>
        <v>363.40800000000002</v>
      </c>
      <c r="BC203" s="37"/>
      <c r="BD203" s="37"/>
      <c r="BE203" s="37"/>
    </row>
    <row r="204" spans="2:57" outlineLevel="2">
      <c r="B204" s="14" t="s">
        <v>231</v>
      </c>
      <c r="C204" s="83" t="s">
        <v>71</v>
      </c>
      <c r="D204" s="53"/>
      <c r="E204" s="53"/>
      <c r="F204" s="53"/>
      <c r="G204" s="53"/>
      <c r="H204" s="53">
        <v>0</v>
      </c>
      <c r="I204" s="53">
        <v>0</v>
      </c>
      <c r="J204" s="53">
        <v>0</v>
      </c>
      <c r="K204" s="53">
        <v>0</v>
      </c>
      <c r="L204" s="53">
        <v>0</v>
      </c>
      <c r="M204" s="53">
        <v>0</v>
      </c>
      <c r="N204" s="53">
        <v>0</v>
      </c>
      <c r="O204" s="53">
        <v>0</v>
      </c>
      <c r="P204" s="53">
        <v>0</v>
      </c>
      <c r="Q204" s="53">
        <v>0</v>
      </c>
      <c r="R204" s="53">
        <v>21.984000000000002</v>
      </c>
      <c r="S204" s="53">
        <v>28.357999999999997</v>
      </c>
      <c r="T204" s="53">
        <v>23.63</v>
      </c>
      <c r="U204" s="53">
        <v>17.212</v>
      </c>
      <c r="V204" s="53">
        <v>11.538999999999998</v>
      </c>
      <c r="W204" s="53">
        <v>11.932000000000009</v>
      </c>
      <c r="X204" s="53">
        <v>11.048</v>
      </c>
      <c r="Y204" s="53">
        <v>18.335999999999999</v>
      </c>
      <c r="Z204" s="53">
        <v>27.262999999999998</v>
      </c>
      <c r="AA204" s="53">
        <v>79.266999999999996</v>
      </c>
      <c r="AB204" s="53">
        <v>269.262</v>
      </c>
      <c r="AC204" s="53">
        <v>382.32499999999999</v>
      </c>
      <c r="AD204" s="53">
        <v>373.96600000000001</v>
      </c>
      <c r="AE204" s="53">
        <v>372.86500000000001</v>
      </c>
      <c r="AF204" s="53">
        <v>397.92200000000003</v>
      </c>
      <c r="AG204" s="53">
        <v>401.51499999999999</v>
      </c>
      <c r="AH204" s="53">
        <v>361.74899999999991</v>
      </c>
      <c r="AI204" s="53">
        <v>325.29200000000014</v>
      </c>
      <c r="AJ204" s="53">
        <v>333.81599999999997</v>
      </c>
      <c r="AK204" s="53">
        <v>328.738</v>
      </c>
      <c r="AL204" s="53">
        <f>974.327-AJ204-AK204</f>
        <v>311.77299999999997</v>
      </c>
      <c r="AM204" s="53">
        <f>1350.416-AJ204-AK204-AL204</f>
        <v>376.08899999999988</v>
      </c>
      <c r="AN204" s="53">
        <v>435.27600000000001</v>
      </c>
      <c r="AO204" s="53">
        <v>452.84599999999995</v>
      </c>
      <c r="AP204" s="53">
        <v>491.48300000000006</v>
      </c>
      <c r="AQ204" s="53">
        <v>528.16699999999992</v>
      </c>
      <c r="AR204" s="53">
        <v>463.387</v>
      </c>
      <c r="AT204" s="53">
        <f t="shared" si="171"/>
        <v>0</v>
      </c>
      <c r="AU204" s="53">
        <f t="shared" si="172"/>
        <v>0</v>
      </c>
      <c r="AV204" s="53">
        <f t="shared" si="173"/>
        <v>50.341999999999999</v>
      </c>
      <c r="AW204" s="53">
        <f t="shared" si="174"/>
        <v>64.313000000000017</v>
      </c>
      <c r="AX204" s="53">
        <f t="shared" si="175"/>
        <v>135.91399999999999</v>
      </c>
      <c r="AY204" s="53">
        <f t="shared" si="176"/>
        <v>1398.4179999999999</v>
      </c>
      <c r="AZ204" s="53">
        <f t="shared" si="168"/>
        <v>1486.4780000000001</v>
      </c>
      <c r="BA204" s="53">
        <f t="shared" si="169"/>
        <v>1350.4159999999999</v>
      </c>
      <c r="BB204" s="53">
        <f t="shared" si="170"/>
        <v>1907.7719999999999</v>
      </c>
      <c r="BC204" s="37"/>
      <c r="BD204" s="37"/>
      <c r="BE204" s="37"/>
    </row>
    <row r="205" spans="2:57" outlineLevel="2">
      <c r="B205" s="116" t="s">
        <v>232</v>
      </c>
      <c r="C205" s="83" t="s">
        <v>71</v>
      </c>
      <c r="D205" s="53"/>
      <c r="E205" s="53"/>
      <c r="F205" s="53"/>
      <c r="G205" s="53"/>
      <c r="H205" s="53">
        <v>0</v>
      </c>
      <c r="I205" s="53">
        <v>0</v>
      </c>
      <c r="J205" s="53">
        <v>0</v>
      </c>
      <c r="K205" s="53">
        <v>0</v>
      </c>
      <c r="L205" s="53">
        <v>0</v>
      </c>
      <c r="M205" s="53">
        <v>0</v>
      </c>
      <c r="N205" s="53">
        <v>0</v>
      </c>
      <c r="O205" s="53">
        <v>0</v>
      </c>
      <c r="P205" s="53">
        <v>0</v>
      </c>
      <c r="Q205" s="53">
        <v>0</v>
      </c>
      <c r="R205" s="53">
        <v>0</v>
      </c>
      <c r="S205" s="53">
        <v>0</v>
      </c>
      <c r="T205" s="53">
        <v>0</v>
      </c>
      <c r="U205" s="53">
        <v>0</v>
      </c>
      <c r="V205" s="53">
        <v>0</v>
      </c>
      <c r="W205" s="53">
        <v>0</v>
      </c>
      <c r="X205" s="53">
        <v>0</v>
      </c>
      <c r="Y205" s="53">
        <v>0</v>
      </c>
      <c r="Z205" s="53">
        <v>0</v>
      </c>
      <c r="AA205" s="53">
        <v>0</v>
      </c>
      <c r="AB205" s="53">
        <v>0</v>
      </c>
      <c r="AC205" s="53">
        <v>0</v>
      </c>
      <c r="AD205" s="53">
        <v>0</v>
      </c>
      <c r="AE205" s="53">
        <v>0</v>
      </c>
      <c r="AF205" s="53">
        <v>0</v>
      </c>
      <c r="AG205" s="53">
        <v>0</v>
      </c>
      <c r="AH205" s="53">
        <v>0</v>
      </c>
      <c r="AI205" s="53">
        <v>0</v>
      </c>
      <c r="AJ205" s="53">
        <v>0</v>
      </c>
      <c r="AK205" s="53">
        <v>0</v>
      </c>
      <c r="AL205" s="53">
        <v>0</v>
      </c>
      <c r="AM205" s="53">
        <v>81.582999999999998</v>
      </c>
      <c r="AN205" s="53">
        <v>48.292000000000002</v>
      </c>
      <c r="AO205" s="53">
        <v>45.519000000000005</v>
      </c>
      <c r="AP205" s="53">
        <v>40.932999999999993</v>
      </c>
      <c r="AQ205" s="53">
        <v>43.75200000000001</v>
      </c>
      <c r="AR205" s="53">
        <v>53.149000000000001</v>
      </c>
      <c r="AS205" s="63"/>
      <c r="AT205" s="53"/>
      <c r="AU205" s="53"/>
      <c r="AV205" s="53"/>
      <c r="AW205" s="53"/>
      <c r="AX205" s="53"/>
      <c r="AY205" s="53"/>
      <c r="AZ205" s="53">
        <f t="shared" si="168"/>
        <v>0</v>
      </c>
      <c r="BA205" s="53">
        <f t="shared" si="169"/>
        <v>81.582999999999998</v>
      </c>
      <c r="BB205" s="53">
        <f t="shared" si="170"/>
        <v>178.49600000000001</v>
      </c>
      <c r="BC205" s="37"/>
      <c r="BD205" s="37"/>
      <c r="BE205" s="37"/>
    </row>
    <row r="206" spans="2:57" outlineLevel="2">
      <c r="B206" s="116" t="s">
        <v>233</v>
      </c>
      <c r="C206" s="83" t="s">
        <v>71</v>
      </c>
      <c r="D206" s="53"/>
      <c r="E206" s="53"/>
      <c r="F206" s="53"/>
      <c r="G206" s="53"/>
      <c r="H206" s="53">
        <v>0</v>
      </c>
      <c r="I206" s="53">
        <v>0</v>
      </c>
      <c r="J206" s="53">
        <v>0</v>
      </c>
      <c r="K206" s="53">
        <v>0</v>
      </c>
      <c r="L206" s="53">
        <v>0</v>
      </c>
      <c r="M206" s="53">
        <v>0</v>
      </c>
      <c r="N206" s="53">
        <v>0</v>
      </c>
      <c r="O206" s="53">
        <v>0</v>
      </c>
      <c r="P206" s="53">
        <v>0</v>
      </c>
      <c r="Q206" s="53">
        <v>0</v>
      </c>
      <c r="R206" s="53">
        <v>0</v>
      </c>
      <c r="S206" s="53">
        <v>0</v>
      </c>
      <c r="T206" s="53">
        <v>0</v>
      </c>
      <c r="U206" s="53">
        <v>0</v>
      </c>
      <c r="V206" s="53">
        <v>0</v>
      </c>
      <c r="W206" s="53">
        <v>0</v>
      </c>
      <c r="X206" s="53">
        <v>0</v>
      </c>
      <c r="Y206" s="53">
        <v>0</v>
      </c>
      <c r="Z206" s="53">
        <v>0</v>
      </c>
      <c r="AA206" s="53">
        <v>0</v>
      </c>
      <c r="AB206" s="53">
        <v>0</v>
      </c>
      <c r="AC206" s="53">
        <v>0</v>
      </c>
      <c r="AD206" s="53">
        <v>0</v>
      </c>
      <c r="AE206" s="53">
        <v>0</v>
      </c>
      <c r="AF206" s="53">
        <v>0</v>
      </c>
      <c r="AG206" s="53">
        <v>0</v>
      </c>
      <c r="AH206" s="53">
        <v>0</v>
      </c>
      <c r="AI206" s="53">
        <v>0</v>
      </c>
      <c r="AJ206" s="53">
        <v>0</v>
      </c>
      <c r="AK206" s="53">
        <v>0</v>
      </c>
      <c r="AL206" s="53">
        <v>0</v>
      </c>
      <c r="AM206" s="53">
        <v>0</v>
      </c>
      <c r="AN206" s="53">
        <v>0</v>
      </c>
      <c r="AO206" s="53">
        <v>0</v>
      </c>
      <c r="AP206" s="53">
        <v>-25.678999999999998</v>
      </c>
      <c r="AQ206" s="53">
        <v>-51.466999999999999</v>
      </c>
      <c r="AR206" s="53">
        <v>-30.454999999999998</v>
      </c>
      <c r="AS206" s="63"/>
      <c r="AT206" s="53"/>
      <c r="AU206" s="53"/>
      <c r="AV206" s="53"/>
      <c r="AW206" s="53"/>
      <c r="AX206" s="53"/>
      <c r="AY206" s="53"/>
      <c r="AZ206" s="53"/>
      <c r="BA206" s="53"/>
      <c r="BB206" s="53">
        <f t="shared" si="170"/>
        <v>-77.146000000000001</v>
      </c>
      <c r="BC206" s="37"/>
      <c r="BD206" s="37"/>
      <c r="BE206" s="37"/>
    </row>
    <row r="207" spans="2:57" outlineLevel="2">
      <c r="B207" s="116" t="s">
        <v>234</v>
      </c>
      <c r="C207" s="83" t="s">
        <v>71</v>
      </c>
      <c r="D207" s="53"/>
      <c r="E207" s="53"/>
      <c r="F207" s="53"/>
      <c r="G207" s="53"/>
      <c r="H207" s="53">
        <v>0</v>
      </c>
      <c r="I207" s="53">
        <v>0</v>
      </c>
      <c r="J207" s="53">
        <v>0</v>
      </c>
      <c r="K207" s="53">
        <v>0</v>
      </c>
      <c r="L207" s="53">
        <v>0</v>
      </c>
      <c r="M207" s="53">
        <v>0</v>
      </c>
      <c r="N207" s="53">
        <v>0</v>
      </c>
      <c r="O207" s="53">
        <v>0</v>
      </c>
      <c r="P207" s="53">
        <v>0</v>
      </c>
      <c r="Q207" s="53">
        <v>0</v>
      </c>
      <c r="R207" s="53">
        <v>0</v>
      </c>
      <c r="S207" s="53">
        <v>0</v>
      </c>
      <c r="T207" s="53">
        <v>0</v>
      </c>
      <c r="U207" s="53">
        <v>0</v>
      </c>
      <c r="V207" s="53">
        <v>0</v>
      </c>
      <c r="W207" s="53">
        <v>0</v>
      </c>
      <c r="X207" s="53">
        <v>0</v>
      </c>
      <c r="Y207" s="53">
        <v>0</v>
      </c>
      <c r="Z207" s="53">
        <v>0</v>
      </c>
      <c r="AA207" s="53">
        <v>0</v>
      </c>
      <c r="AB207" s="53">
        <v>0</v>
      </c>
      <c r="AC207" s="53">
        <v>0</v>
      </c>
      <c r="AD207" s="53">
        <v>0</v>
      </c>
      <c r="AE207" s="53">
        <v>0</v>
      </c>
      <c r="AF207" s="53">
        <v>0</v>
      </c>
      <c r="AG207" s="53">
        <v>0</v>
      </c>
      <c r="AH207" s="53">
        <v>0</v>
      </c>
      <c r="AI207" s="53">
        <v>0</v>
      </c>
      <c r="AJ207" s="53">
        <v>13.516</v>
      </c>
      <c r="AK207" s="53">
        <v>-13.516</v>
      </c>
      <c r="AL207" s="53">
        <f>-AJ207</f>
        <v>-13.516</v>
      </c>
      <c r="AM207" s="53">
        <v>0</v>
      </c>
      <c r="AN207" s="53">
        <v>17.821000000000002</v>
      </c>
      <c r="AO207" s="53">
        <v>51.094999999999999</v>
      </c>
      <c r="AP207" s="53">
        <v>54.692000000000007</v>
      </c>
      <c r="AQ207" s="53">
        <v>35.814999999999998</v>
      </c>
      <c r="AR207" s="53">
        <v>21.405000000000001</v>
      </c>
      <c r="AS207" s="64"/>
      <c r="AT207" s="53"/>
      <c r="AU207" s="53"/>
      <c r="AV207" s="53"/>
      <c r="AW207" s="53"/>
      <c r="AX207" s="53"/>
      <c r="AY207" s="53"/>
      <c r="AZ207" s="53"/>
      <c r="BA207" s="53">
        <f t="shared" si="169"/>
        <v>-13.516</v>
      </c>
      <c r="BB207" s="53">
        <f t="shared" si="170"/>
        <v>159.423</v>
      </c>
      <c r="BC207" s="37"/>
      <c r="BD207" s="37"/>
      <c r="BE207" s="37"/>
    </row>
    <row r="208" spans="2:57" outlineLevel="2">
      <c r="B208" s="116" t="s">
        <v>235</v>
      </c>
      <c r="C208" s="83" t="s">
        <v>71</v>
      </c>
      <c r="D208" s="53"/>
      <c r="E208" s="53"/>
      <c r="F208" s="53"/>
      <c r="G208" s="53"/>
      <c r="H208" s="53">
        <v>0</v>
      </c>
      <c r="I208" s="53">
        <v>0</v>
      </c>
      <c r="J208" s="53">
        <v>0</v>
      </c>
      <c r="K208" s="53">
        <v>0</v>
      </c>
      <c r="L208" s="53">
        <v>0</v>
      </c>
      <c r="M208" s="53">
        <v>0</v>
      </c>
      <c r="N208" s="53">
        <v>0</v>
      </c>
      <c r="O208" s="53">
        <v>0</v>
      </c>
      <c r="P208" s="53">
        <v>0</v>
      </c>
      <c r="Q208" s="53">
        <v>0</v>
      </c>
      <c r="R208" s="53">
        <v>0</v>
      </c>
      <c r="S208" s="53">
        <v>0</v>
      </c>
      <c r="T208" s="53">
        <v>0</v>
      </c>
      <c r="U208" s="53">
        <v>0</v>
      </c>
      <c r="V208" s="53">
        <v>0</v>
      </c>
      <c r="W208" s="53">
        <v>0</v>
      </c>
      <c r="X208" s="53">
        <v>0</v>
      </c>
      <c r="Y208" s="53">
        <v>0</v>
      </c>
      <c r="Z208" s="53">
        <v>0</v>
      </c>
      <c r="AA208" s="53">
        <v>0</v>
      </c>
      <c r="AB208" s="53">
        <v>0</v>
      </c>
      <c r="AC208" s="53">
        <v>0</v>
      </c>
      <c r="AD208" s="53">
        <v>0</v>
      </c>
      <c r="AE208" s="53">
        <v>0</v>
      </c>
      <c r="AF208" s="53">
        <v>0</v>
      </c>
      <c r="AG208" s="53">
        <v>0</v>
      </c>
      <c r="AH208" s="53">
        <v>0</v>
      </c>
      <c r="AI208" s="53">
        <v>0</v>
      </c>
      <c r="AJ208" s="53">
        <v>24.277999999999999</v>
      </c>
      <c r="AK208" s="53">
        <v>-24.277999999999999</v>
      </c>
      <c r="AL208" s="53">
        <f>-AJ208</f>
        <v>-24.277999999999999</v>
      </c>
      <c r="AM208" s="53">
        <v>0</v>
      </c>
      <c r="AN208" s="53">
        <v>23.225999999999999</v>
      </c>
      <c r="AO208" s="53">
        <v>15.14</v>
      </c>
      <c r="AP208" s="53">
        <v>20.868000000000002</v>
      </c>
      <c r="AQ208" s="53">
        <v>5.9609999999999914</v>
      </c>
      <c r="AR208" s="53">
        <v>16.724</v>
      </c>
      <c r="AS208" s="64"/>
      <c r="AT208" s="53"/>
      <c r="AU208" s="53"/>
      <c r="AV208" s="53"/>
      <c r="AW208" s="53"/>
      <c r="AX208" s="53"/>
      <c r="AY208" s="53"/>
      <c r="AZ208" s="53"/>
      <c r="BA208" s="53">
        <f t="shared" si="169"/>
        <v>-24.277999999999999</v>
      </c>
      <c r="BB208" s="53">
        <f t="shared" si="170"/>
        <v>65.194999999999993</v>
      </c>
      <c r="BC208" s="37"/>
      <c r="BD208" s="37"/>
      <c r="BE208" s="37"/>
    </row>
    <row r="209" spans="2:57" outlineLevel="2">
      <c r="B209" s="116" t="s">
        <v>236</v>
      </c>
      <c r="C209" s="83" t="s">
        <v>71</v>
      </c>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v>-25.849</v>
      </c>
      <c r="AP209" s="53">
        <v>0</v>
      </c>
      <c r="AQ209" s="53">
        <v>0</v>
      </c>
      <c r="AR209" s="53">
        <v>0</v>
      </c>
      <c r="AS209" s="64"/>
      <c r="AT209" s="53"/>
      <c r="AU209" s="53"/>
      <c r="AV209" s="53"/>
      <c r="AW209" s="53"/>
      <c r="AX209" s="53"/>
      <c r="AY209" s="53"/>
      <c r="AZ209" s="53"/>
      <c r="BA209" s="53"/>
      <c r="BB209" s="53">
        <f>SUM(AN209:AR209)</f>
        <v>-25.849</v>
      </c>
      <c r="BC209" s="37"/>
      <c r="BD209" s="37"/>
      <c r="BE209" s="37"/>
    </row>
    <row r="210" spans="2:57" outlineLevel="2">
      <c r="B210" s="14" t="s">
        <v>237</v>
      </c>
      <c r="C210" s="83" t="s">
        <v>71</v>
      </c>
      <c r="D210" s="53"/>
      <c r="E210" s="53"/>
      <c r="F210" s="53"/>
      <c r="G210" s="53"/>
      <c r="H210" s="53">
        <v>0</v>
      </c>
      <c r="I210" s="53">
        <v>0</v>
      </c>
      <c r="J210" s="53">
        <v>0</v>
      </c>
      <c r="K210" s="53">
        <v>0</v>
      </c>
      <c r="L210" s="53">
        <v>0</v>
      </c>
      <c r="M210" s="53">
        <v>0</v>
      </c>
      <c r="N210" s="53">
        <v>0</v>
      </c>
      <c r="O210" s="53">
        <v>0</v>
      </c>
      <c r="P210" s="53">
        <v>0</v>
      </c>
      <c r="Q210" s="53">
        <v>0</v>
      </c>
      <c r="R210" s="53">
        <v>0</v>
      </c>
      <c r="S210" s="53">
        <v>2.6619999999999999</v>
      </c>
      <c r="T210" s="53">
        <v>14.021000000000001</v>
      </c>
      <c r="U210" s="53">
        <v>2.8729999999999976</v>
      </c>
      <c r="V210" s="53">
        <v>2.6400000000000006</v>
      </c>
      <c r="W210" s="53">
        <v>-2.5389999999999979</v>
      </c>
      <c r="X210" s="53">
        <v>4.5979999999999999</v>
      </c>
      <c r="Y210" s="53">
        <v>-3.383</v>
      </c>
      <c r="Z210" s="53">
        <v>1.996</v>
      </c>
      <c r="AA210" s="53">
        <v>0.39400000000000013</v>
      </c>
      <c r="AB210" s="53">
        <v>5.5430000000000001</v>
      </c>
      <c r="AC210" s="53">
        <v>-10.558</v>
      </c>
      <c r="AD210" s="53">
        <v>-0.16600000000000001</v>
      </c>
      <c r="AE210" s="53">
        <v>0.27400000000000002</v>
      </c>
      <c r="AF210" s="53">
        <v>-3.6859999999999999</v>
      </c>
      <c r="AG210" s="53">
        <v>-13.305</v>
      </c>
      <c r="AH210" s="53">
        <v>9.4459999999999997</v>
      </c>
      <c r="AI210" s="53">
        <v>-10.258000000000001</v>
      </c>
      <c r="AJ210" s="53">
        <v>5.0000000000000001E-3</v>
      </c>
      <c r="AK210" s="53">
        <v>34.093999999999994</v>
      </c>
      <c r="AL210" s="53">
        <f>42.826-AJ210-AK210</f>
        <v>8.7270000000000039</v>
      </c>
      <c r="AM210" s="53">
        <f>60.761-AJ210-AK210-AL210</f>
        <v>17.935000000000002</v>
      </c>
      <c r="AN210" s="53">
        <v>-19.513000000000002</v>
      </c>
      <c r="AO210" s="53">
        <v>-13.271999999999995</v>
      </c>
      <c r="AP210" s="53">
        <v>-6.9570000000000007</v>
      </c>
      <c r="AQ210" s="53">
        <v>8.259999999999998</v>
      </c>
      <c r="AR210" s="53">
        <v>-12.21</v>
      </c>
      <c r="AS210" s="64"/>
      <c r="AT210" s="53">
        <f t="shared" si="171"/>
        <v>0</v>
      </c>
      <c r="AU210" s="53">
        <f t="shared" si="172"/>
        <v>0</v>
      </c>
      <c r="AV210" s="53">
        <f t="shared" si="173"/>
        <v>2.6619999999999999</v>
      </c>
      <c r="AW210" s="53">
        <f t="shared" si="174"/>
        <v>16.995000000000001</v>
      </c>
      <c r="AX210" s="53">
        <f t="shared" si="175"/>
        <v>3.605</v>
      </c>
      <c r="AY210" s="53">
        <f t="shared" si="176"/>
        <v>-4.907</v>
      </c>
      <c r="AZ210" s="53">
        <f t="shared" si="168"/>
        <v>-17.803000000000001</v>
      </c>
      <c r="BA210" s="53">
        <f t="shared" si="169"/>
        <v>60.761000000000003</v>
      </c>
      <c r="BB210" s="53">
        <f t="shared" si="170"/>
        <v>-31.481999999999999</v>
      </c>
      <c r="BC210" s="37"/>
      <c r="BD210" s="37"/>
      <c r="BE210" s="37"/>
    </row>
    <row r="211" spans="2:57" ht="14.25" outlineLevel="2">
      <c r="B211" s="84" t="s">
        <v>238</v>
      </c>
      <c r="C211" s="83" t="s">
        <v>71</v>
      </c>
      <c r="D211" s="53"/>
      <c r="E211" s="53"/>
      <c r="F211" s="53"/>
      <c r="G211" s="53"/>
      <c r="H211" s="53">
        <v>0</v>
      </c>
      <c r="I211" s="53">
        <v>0</v>
      </c>
      <c r="J211" s="53">
        <v>0</v>
      </c>
      <c r="K211" s="53">
        <v>0</v>
      </c>
      <c r="L211" s="53">
        <v>0</v>
      </c>
      <c r="M211" s="53">
        <v>0</v>
      </c>
      <c r="N211" s="53">
        <v>0</v>
      </c>
      <c r="O211" s="53">
        <v>0</v>
      </c>
      <c r="P211" s="53">
        <v>0</v>
      </c>
      <c r="Q211" s="53">
        <v>0</v>
      </c>
      <c r="R211" s="53">
        <v>0</v>
      </c>
      <c r="S211" s="53">
        <v>0</v>
      </c>
      <c r="T211" s="53">
        <v>0</v>
      </c>
      <c r="U211" s="53">
        <v>0</v>
      </c>
      <c r="V211" s="53">
        <v>0</v>
      </c>
      <c r="W211" s="53">
        <v>0</v>
      </c>
      <c r="X211" s="53">
        <v>0</v>
      </c>
      <c r="Y211" s="53">
        <v>20.303000000000001</v>
      </c>
      <c r="Z211" s="53">
        <v>30.453999999999997</v>
      </c>
      <c r="AA211" s="53">
        <v>5.548</v>
      </c>
      <c r="AB211" s="53">
        <v>129.63399999999999</v>
      </c>
      <c r="AC211" s="53">
        <v>144.81299999999999</v>
      </c>
      <c r="AD211" s="53">
        <v>142.06399999999999</v>
      </c>
      <c r="AE211" s="53">
        <v>69.805000000000007</v>
      </c>
      <c r="AF211" s="53">
        <v>38.225000000000001</v>
      </c>
      <c r="AG211" s="53">
        <v>8.6169999999999973</v>
      </c>
      <c r="AH211" s="53">
        <v>35.332000000000008</v>
      </c>
      <c r="AI211" s="136">
        <v>-20.492000000000004</v>
      </c>
      <c r="AJ211" s="53">
        <v>41.86</v>
      </c>
      <c r="AK211" s="53">
        <v>30.480000000000004</v>
      </c>
      <c r="AL211" s="53">
        <f>105.108-AJ211-AK211</f>
        <v>32.768000000000001</v>
      </c>
      <c r="AM211" s="53">
        <f>102.722-AJ211-AK211-AL211</f>
        <v>-2.3860000000000099</v>
      </c>
      <c r="AN211" s="53">
        <v>16.347000000000001</v>
      </c>
      <c r="AO211" s="53">
        <v>12.738999999999997</v>
      </c>
      <c r="AP211" s="53">
        <v>6.7590000000000003</v>
      </c>
      <c r="AQ211" s="53">
        <v>-12.994999999999997</v>
      </c>
      <c r="AR211" s="53">
        <v>8.641</v>
      </c>
      <c r="AS211" s="159"/>
      <c r="AT211" s="53">
        <f t="shared" si="171"/>
        <v>0</v>
      </c>
      <c r="AU211" s="53">
        <f t="shared" si="172"/>
        <v>0</v>
      </c>
      <c r="AV211" s="53">
        <f t="shared" si="173"/>
        <v>0</v>
      </c>
      <c r="AW211" s="53">
        <f t="shared" si="174"/>
        <v>0</v>
      </c>
      <c r="AX211" s="53">
        <f t="shared" si="175"/>
        <v>56.305</v>
      </c>
      <c r="AY211" s="53">
        <f t="shared" si="176"/>
        <v>486.31599999999997</v>
      </c>
      <c r="AZ211" s="53">
        <f t="shared" si="168"/>
        <v>61.682000000000002</v>
      </c>
      <c r="BA211" s="53">
        <f t="shared" si="169"/>
        <v>102.72199999999999</v>
      </c>
      <c r="BB211" s="53">
        <f t="shared" si="170"/>
        <v>22.85</v>
      </c>
      <c r="BC211" s="37"/>
      <c r="BD211" s="37"/>
      <c r="BE211" s="37"/>
    </row>
    <row r="212" spans="2:57" outlineLevel="2">
      <c r="B212" s="14" t="s">
        <v>239</v>
      </c>
      <c r="C212" s="83" t="s">
        <v>71</v>
      </c>
      <c r="D212" s="53"/>
      <c r="E212" s="53"/>
      <c r="F212" s="53"/>
      <c r="G212" s="53"/>
      <c r="H212" s="53">
        <v>0</v>
      </c>
      <c r="I212" s="53">
        <v>0</v>
      </c>
      <c r="J212" s="53">
        <v>0</v>
      </c>
      <c r="K212" s="53">
        <v>0</v>
      </c>
      <c r="L212" s="53">
        <v>0</v>
      </c>
      <c r="M212" s="53">
        <v>0</v>
      </c>
      <c r="N212" s="53">
        <v>0</v>
      </c>
      <c r="O212" s="53">
        <v>0</v>
      </c>
      <c r="P212" s="53">
        <v>0</v>
      </c>
      <c r="Q212" s="53">
        <v>0</v>
      </c>
      <c r="R212" s="53">
        <v>0</v>
      </c>
      <c r="S212" s="53">
        <v>0</v>
      </c>
      <c r="T212" s="53">
        <v>0</v>
      </c>
      <c r="U212" s="53">
        <v>0</v>
      </c>
      <c r="V212" s="53">
        <v>0</v>
      </c>
      <c r="W212" s="53">
        <v>0</v>
      </c>
      <c r="X212" s="53">
        <v>0</v>
      </c>
      <c r="Y212" s="53">
        <v>0</v>
      </c>
      <c r="Z212" s="53">
        <v>40</v>
      </c>
      <c r="AA212" s="53">
        <v>0</v>
      </c>
      <c r="AB212" s="53">
        <v>0</v>
      </c>
      <c r="AC212" s="53">
        <v>0</v>
      </c>
      <c r="AD212" s="53">
        <v>-417.42</v>
      </c>
      <c r="AE212" s="53">
        <v>-86.359999999999957</v>
      </c>
      <c r="AF212" s="53">
        <v>0</v>
      </c>
      <c r="AG212" s="53">
        <v>0</v>
      </c>
      <c r="AH212" s="53">
        <v>0</v>
      </c>
      <c r="AI212" s="53">
        <v>0</v>
      </c>
      <c r="AJ212" s="53">
        <v>0</v>
      </c>
      <c r="AK212" s="53">
        <v>0</v>
      </c>
      <c r="AL212" s="53">
        <v>0</v>
      </c>
      <c r="AM212" s="53"/>
      <c r="AN212" s="53">
        <v>0</v>
      </c>
      <c r="AO212" s="53">
        <v>0</v>
      </c>
      <c r="AP212" s="53">
        <v>0</v>
      </c>
      <c r="AQ212" s="53">
        <v>0</v>
      </c>
      <c r="AR212" s="53">
        <v>0</v>
      </c>
      <c r="AS212" s="159"/>
      <c r="AT212" s="53">
        <f t="shared" si="171"/>
        <v>0</v>
      </c>
      <c r="AU212" s="53">
        <f t="shared" si="172"/>
        <v>0</v>
      </c>
      <c r="AV212" s="53">
        <f t="shared" si="173"/>
        <v>0</v>
      </c>
      <c r="AW212" s="53">
        <f t="shared" si="174"/>
        <v>0</v>
      </c>
      <c r="AX212" s="53">
        <f t="shared" si="175"/>
        <v>40</v>
      </c>
      <c r="AY212" s="53">
        <f t="shared" si="176"/>
        <v>-503.78</v>
      </c>
      <c r="AZ212" s="53">
        <f t="shared" si="168"/>
        <v>0</v>
      </c>
      <c r="BA212" s="53">
        <f t="shared" si="169"/>
        <v>0</v>
      </c>
      <c r="BB212" s="53">
        <f t="shared" si="170"/>
        <v>0</v>
      </c>
      <c r="BC212" s="37"/>
      <c r="BD212" s="37"/>
      <c r="BE212" s="37"/>
    </row>
    <row r="213" spans="2:57" outlineLevel="2">
      <c r="B213" s="14" t="s">
        <v>240</v>
      </c>
      <c r="C213" s="83" t="s">
        <v>71</v>
      </c>
      <c r="D213" s="53"/>
      <c r="E213" s="53"/>
      <c r="F213" s="53"/>
      <c r="G213" s="53"/>
      <c r="H213" s="53">
        <v>0</v>
      </c>
      <c r="I213" s="53">
        <v>0</v>
      </c>
      <c r="J213" s="53">
        <v>0</v>
      </c>
      <c r="K213" s="53">
        <v>0</v>
      </c>
      <c r="L213" s="53">
        <v>0</v>
      </c>
      <c r="M213" s="53">
        <v>0</v>
      </c>
      <c r="N213" s="53">
        <v>0</v>
      </c>
      <c r="O213" s="53">
        <v>0</v>
      </c>
      <c r="P213" s="53">
        <v>0</v>
      </c>
      <c r="Q213" s="53">
        <v>0</v>
      </c>
      <c r="R213" s="53">
        <v>0</v>
      </c>
      <c r="S213" s="53">
        <v>0</v>
      </c>
      <c r="T213" s="53">
        <v>0</v>
      </c>
      <c r="U213" s="53">
        <v>0</v>
      </c>
      <c r="V213" s="53">
        <v>0</v>
      </c>
      <c r="W213" s="53">
        <v>0</v>
      </c>
      <c r="X213" s="53">
        <v>0</v>
      </c>
      <c r="Y213" s="53">
        <v>0</v>
      </c>
      <c r="Z213" s="53">
        <v>-2.0430000000000001</v>
      </c>
      <c r="AA213" s="53">
        <v>-0.45599999999999996</v>
      </c>
      <c r="AB213" s="53">
        <v>0</v>
      </c>
      <c r="AC213" s="53">
        <v>-2.4009999999999998</v>
      </c>
      <c r="AD213" s="53">
        <v>-1.4730000000000001</v>
      </c>
      <c r="AE213" s="53">
        <v>-1.891</v>
      </c>
      <c r="AF213" s="53">
        <v>-0.53700000000000003</v>
      </c>
      <c r="AG213" s="53">
        <v>-6.5350000000000001</v>
      </c>
      <c r="AH213" s="53">
        <v>7.0720000000000001</v>
      </c>
      <c r="AI213" s="53">
        <v>0</v>
      </c>
      <c r="AJ213" s="53">
        <v>0</v>
      </c>
      <c r="AK213" s="53">
        <v>0</v>
      </c>
      <c r="AL213" s="53">
        <v>0</v>
      </c>
      <c r="AM213" s="53"/>
      <c r="AN213" s="53">
        <v>0</v>
      </c>
      <c r="AO213" s="53">
        <v>0</v>
      </c>
      <c r="AP213" s="53">
        <v>0</v>
      </c>
      <c r="AQ213" s="53">
        <v>0</v>
      </c>
      <c r="AR213" s="53">
        <v>0</v>
      </c>
      <c r="AS213" s="63"/>
      <c r="AT213" s="53">
        <f t="shared" si="171"/>
        <v>0</v>
      </c>
      <c r="AU213" s="53">
        <f t="shared" si="172"/>
        <v>0</v>
      </c>
      <c r="AV213" s="53">
        <f t="shared" si="173"/>
        <v>0</v>
      </c>
      <c r="AW213" s="53">
        <f t="shared" si="174"/>
        <v>0</v>
      </c>
      <c r="AX213" s="53">
        <f t="shared" si="175"/>
        <v>-2.4990000000000001</v>
      </c>
      <c r="AY213" s="53">
        <f t="shared" si="176"/>
        <v>-5.7649999999999997</v>
      </c>
      <c r="AZ213" s="53">
        <f t="shared" si="168"/>
        <v>0</v>
      </c>
      <c r="BA213" s="53">
        <f t="shared" si="169"/>
        <v>0</v>
      </c>
      <c r="BB213" s="53">
        <f t="shared" si="170"/>
        <v>0</v>
      </c>
      <c r="BC213" s="37"/>
      <c r="BD213" s="37"/>
      <c r="BE213" s="37"/>
    </row>
    <row r="214" spans="2:57" outlineLevel="2">
      <c r="B214" s="14" t="s">
        <v>241</v>
      </c>
      <c r="C214" s="83" t="s">
        <v>71</v>
      </c>
      <c r="D214" s="53"/>
      <c r="E214" s="53"/>
      <c r="F214" s="53"/>
      <c r="G214" s="53"/>
      <c r="H214" s="53">
        <v>63.518999999999998</v>
      </c>
      <c r="I214" s="53">
        <v>55.452999999999996</v>
      </c>
      <c r="J214" s="53">
        <v>53.196000000000005</v>
      </c>
      <c r="K214" s="53">
        <v>69.899000000000001</v>
      </c>
      <c r="L214" s="53">
        <v>91.070999999999998</v>
      </c>
      <c r="M214" s="53">
        <v>75.2</v>
      </c>
      <c r="N214" s="53">
        <v>66.597999999999985</v>
      </c>
      <c r="O214" s="53">
        <v>82.22</v>
      </c>
      <c r="P214" s="53">
        <v>103.032</v>
      </c>
      <c r="Q214" s="53">
        <v>108.05499999999999</v>
      </c>
      <c r="R214" s="53">
        <v>93.134000000000029</v>
      </c>
      <c r="S214" s="53">
        <v>58.59699999999998</v>
      </c>
      <c r="T214" s="53">
        <v>133.26400000000001</v>
      </c>
      <c r="U214" s="53">
        <v>210.93899999999996</v>
      </c>
      <c r="V214" s="53">
        <v>146.09300000000002</v>
      </c>
      <c r="W214" s="53">
        <v>106.98700000000002</v>
      </c>
      <c r="X214" s="53">
        <v>117.997</v>
      </c>
      <c r="Y214" s="53">
        <v>99.124000000000009</v>
      </c>
      <c r="Z214" s="53">
        <v>86.64</v>
      </c>
      <c r="AA214" s="53">
        <v>19.546999999999969</v>
      </c>
      <c r="AB214" s="53">
        <v>40.164999999999999</v>
      </c>
      <c r="AC214" s="53">
        <v>8.69</v>
      </c>
      <c r="AD214" s="53">
        <v>-3.4390000000000001</v>
      </c>
      <c r="AE214" s="53">
        <v>-22.834999999999997</v>
      </c>
      <c r="AF214" s="53">
        <v>66.165000000000006</v>
      </c>
      <c r="AG214" s="53">
        <v>147.85599999999999</v>
      </c>
      <c r="AH214" s="53">
        <v>-39.178000000000026</v>
      </c>
      <c r="AI214" s="53">
        <v>15.870000000000019</v>
      </c>
      <c r="AJ214" s="53">
        <v>109.017</v>
      </c>
      <c r="AK214" s="53">
        <v>84.527999999999992</v>
      </c>
      <c r="AL214" s="53">
        <f>283.225-AJ214-AK214</f>
        <v>89.680000000000035</v>
      </c>
      <c r="AM214" s="53">
        <f>119.255-AJ214-AK214-AL214</f>
        <v>-163.97000000000003</v>
      </c>
      <c r="AN214" s="53">
        <v>56.32</v>
      </c>
      <c r="AO214" s="53">
        <v>44.092000000000006</v>
      </c>
      <c r="AP214" s="53">
        <v>-97.586000000000013</v>
      </c>
      <c r="AQ214" s="53">
        <v>-11.503999999999994</v>
      </c>
      <c r="AR214" s="53">
        <v>28.6</v>
      </c>
      <c r="AS214" s="63"/>
      <c r="AT214" s="53">
        <f t="shared" si="171"/>
        <v>242.06700000000001</v>
      </c>
      <c r="AU214" s="53">
        <f t="shared" si="172"/>
        <v>315.089</v>
      </c>
      <c r="AV214" s="53">
        <f t="shared" si="173"/>
        <v>362.81799999999998</v>
      </c>
      <c r="AW214" s="53">
        <f t="shared" si="174"/>
        <v>597.28300000000002</v>
      </c>
      <c r="AX214" s="53">
        <f t="shared" si="175"/>
        <v>323.30799999999999</v>
      </c>
      <c r="AY214" s="53">
        <f t="shared" si="176"/>
        <v>22.581</v>
      </c>
      <c r="AZ214" s="53">
        <f t="shared" si="168"/>
        <v>190.71300000000002</v>
      </c>
      <c r="BA214" s="53">
        <f t="shared" si="169"/>
        <v>119.255</v>
      </c>
      <c r="BB214" s="53">
        <f t="shared" si="170"/>
        <v>-8.6780000000000008</v>
      </c>
      <c r="BC214" s="37"/>
      <c r="BD214" s="37"/>
      <c r="BE214" s="37"/>
    </row>
    <row r="215" spans="2:57" ht="14.25" outlineLevel="2">
      <c r="B215" s="14" t="s">
        <v>170</v>
      </c>
      <c r="C215" s="83" t="s">
        <v>71</v>
      </c>
      <c r="D215" s="53"/>
      <c r="E215" s="53"/>
      <c r="F215" s="53"/>
      <c r="G215" s="53"/>
      <c r="H215" s="53">
        <v>1.0640000000000001</v>
      </c>
      <c r="I215" s="53">
        <v>4.0620000000000003</v>
      </c>
      <c r="J215" s="53">
        <v>-3.7520000000000002</v>
      </c>
      <c r="K215" s="53">
        <v>0.95699999999999985</v>
      </c>
      <c r="L215" s="53">
        <v>-9.8829999999999991</v>
      </c>
      <c r="M215" s="53">
        <v>10.7</v>
      </c>
      <c r="N215" s="53">
        <v>-18.556000000000001</v>
      </c>
      <c r="O215" s="53">
        <v>-43.349000000000004</v>
      </c>
      <c r="P215" s="53">
        <v>-1.3240000000000001</v>
      </c>
      <c r="Q215" s="53">
        <v>-26.143999999999998</v>
      </c>
      <c r="R215" s="53">
        <v>-23.289000000000001</v>
      </c>
      <c r="S215" s="53">
        <v>-34.435999999999993</v>
      </c>
      <c r="T215" s="53">
        <v>-42.722000000000001</v>
      </c>
      <c r="U215" s="53">
        <v>-65.716000000000008</v>
      </c>
      <c r="V215" s="53">
        <v>-83.527999999999992</v>
      </c>
      <c r="W215" s="53">
        <v>-57.957999999999998</v>
      </c>
      <c r="X215" s="53">
        <v>-49.014000000000003</v>
      </c>
      <c r="Y215" s="53">
        <v>-124.25799999999998</v>
      </c>
      <c r="Z215" s="53">
        <v>-71.441000000000003</v>
      </c>
      <c r="AA215" s="53">
        <v>-86.054999999999978</v>
      </c>
      <c r="AB215" s="53">
        <v>-62.35</v>
      </c>
      <c r="AC215" s="53">
        <v>-87.388000000000005</v>
      </c>
      <c r="AD215" s="53">
        <v>-267.988</v>
      </c>
      <c r="AE215" s="53">
        <v>-276.82500000000005</v>
      </c>
      <c r="AF215" s="53">
        <v>-61.302</v>
      </c>
      <c r="AG215" s="53">
        <v>-168.87300000000002</v>
      </c>
      <c r="AH215" s="53">
        <v>-19.774000000000001</v>
      </c>
      <c r="AI215" s="136">
        <v>125.41000000000003</v>
      </c>
      <c r="AJ215" s="53">
        <v>-34.997999999999998</v>
      </c>
      <c r="AK215" s="53">
        <v>-25.585000000000001</v>
      </c>
      <c r="AL215" s="53">
        <f>-170.739-AJ215-AK215</f>
        <v>-110.15600000000001</v>
      </c>
      <c r="AM215" s="53">
        <f>289.811-AJ215-AK215-AL215</f>
        <v>460.54999999999995</v>
      </c>
      <c r="AN215" s="53">
        <v>11.13</v>
      </c>
      <c r="AO215" s="53">
        <v>-104.34699999999999</v>
      </c>
      <c r="AP215" s="53">
        <v>-30.826999999999998</v>
      </c>
      <c r="AQ215" s="53">
        <v>-8.1110000000000042</v>
      </c>
      <c r="AR215" s="53">
        <v>121.384</v>
      </c>
      <c r="AS215" s="63"/>
      <c r="AT215" s="53">
        <f t="shared" si="171"/>
        <v>2.331</v>
      </c>
      <c r="AU215" s="53">
        <f t="shared" si="172"/>
        <v>-61.088000000000008</v>
      </c>
      <c r="AV215" s="53">
        <f t="shared" si="173"/>
        <v>-85.192999999999998</v>
      </c>
      <c r="AW215" s="53">
        <f t="shared" si="174"/>
        <v>-249.92400000000001</v>
      </c>
      <c r="AX215" s="53">
        <f t="shared" si="175"/>
        <v>-330.76799999999997</v>
      </c>
      <c r="AY215" s="53">
        <f t="shared" si="176"/>
        <v>-694.55100000000004</v>
      </c>
      <c r="AZ215" s="53">
        <f t="shared" si="168"/>
        <v>-124.53899999999999</v>
      </c>
      <c r="BA215" s="53">
        <f t="shared" si="169"/>
        <v>289.81099999999992</v>
      </c>
      <c r="BB215" s="53">
        <f t="shared" si="170"/>
        <v>-132.155</v>
      </c>
      <c r="BC215" s="37"/>
      <c r="BD215" s="37"/>
      <c r="BE215" s="37"/>
    </row>
    <row r="216" spans="2:57" ht="14.25" outlineLevel="2">
      <c r="B216" s="14" t="s">
        <v>242</v>
      </c>
      <c r="C216" s="83" t="s">
        <v>71</v>
      </c>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v>211.149</v>
      </c>
      <c r="AB216" s="53">
        <v>136.798</v>
      </c>
      <c r="AC216" s="53">
        <v>155.51400000000001</v>
      </c>
      <c r="AD216" s="75">
        <v>0</v>
      </c>
      <c r="AE216" s="53">
        <v>353.37800000000004</v>
      </c>
      <c r="AF216" s="53">
        <v>164.91499999999999</v>
      </c>
      <c r="AG216" s="53">
        <v>158.518</v>
      </c>
      <c r="AH216" s="53">
        <v>175.46500000000003</v>
      </c>
      <c r="AI216" s="136">
        <v>165.51900000000001</v>
      </c>
      <c r="AJ216" s="53">
        <v>161.351</v>
      </c>
      <c r="AK216" s="53">
        <v>157.37299999999999</v>
      </c>
      <c r="AL216" s="53">
        <f>482.114-AJ216-AK216</f>
        <v>163.38999999999999</v>
      </c>
      <c r="AM216" s="53">
        <f>606.334-AJ216-AK216-AL216</f>
        <v>124.21999999999997</v>
      </c>
      <c r="AN216" s="53">
        <v>132.983</v>
      </c>
      <c r="AO216" s="53">
        <f>236.317-AN216</f>
        <v>103.334</v>
      </c>
      <c r="AP216" s="53">
        <v>133.33499999999998</v>
      </c>
      <c r="AQ216" s="53">
        <v>139.93900000000002</v>
      </c>
      <c r="AR216" s="53">
        <v>144.72499999999999</v>
      </c>
      <c r="AS216" s="63"/>
      <c r="AT216" s="53">
        <v>0</v>
      </c>
      <c r="AU216" s="53">
        <v>0</v>
      </c>
      <c r="AV216" s="53">
        <v>0</v>
      </c>
      <c r="AW216" s="53">
        <v>0</v>
      </c>
      <c r="AX216" s="53">
        <f t="shared" si="175"/>
        <v>211.149</v>
      </c>
      <c r="AY216" s="53">
        <f t="shared" si="176"/>
        <v>645.69000000000005</v>
      </c>
      <c r="AZ216" s="53">
        <f t="shared" si="168"/>
        <v>664.41700000000003</v>
      </c>
      <c r="BA216" s="53">
        <f t="shared" si="169"/>
        <v>606.33399999999995</v>
      </c>
      <c r="BB216" s="53">
        <f t="shared" si="170"/>
        <v>509.59100000000001</v>
      </c>
      <c r="BC216" s="37"/>
      <c r="BD216" s="37"/>
      <c r="BE216" s="37"/>
    </row>
    <row r="217" spans="2:57" outlineLevel="2">
      <c r="B217" s="14" t="s">
        <v>243</v>
      </c>
      <c r="C217" s="83" t="s">
        <v>71</v>
      </c>
      <c r="D217" s="53"/>
      <c r="E217" s="53"/>
      <c r="F217" s="53"/>
      <c r="G217" s="53"/>
      <c r="H217" s="53">
        <v>0</v>
      </c>
      <c r="I217" s="53">
        <v>0</v>
      </c>
      <c r="J217" s="53">
        <v>0</v>
      </c>
      <c r="K217" s="53">
        <v>0</v>
      </c>
      <c r="L217" s="53">
        <v>0</v>
      </c>
      <c r="M217" s="53">
        <v>0</v>
      </c>
      <c r="N217" s="53">
        <v>0</v>
      </c>
      <c r="O217" s="53">
        <v>0</v>
      </c>
      <c r="P217" s="53">
        <v>0</v>
      </c>
      <c r="Q217" s="53">
        <v>0</v>
      </c>
      <c r="R217" s="53">
        <v>0</v>
      </c>
      <c r="S217" s="53">
        <v>0</v>
      </c>
      <c r="T217" s="53">
        <v>0</v>
      </c>
      <c r="U217" s="53">
        <v>0</v>
      </c>
      <c r="V217" s="53">
        <v>0</v>
      </c>
      <c r="W217" s="53">
        <v>0</v>
      </c>
      <c r="X217" s="53">
        <v>0</v>
      </c>
      <c r="Y217" s="53">
        <v>0</v>
      </c>
      <c r="Z217" s="53">
        <v>0</v>
      </c>
      <c r="AA217" s="53">
        <v>0</v>
      </c>
      <c r="AB217" s="53">
        <v>0</v>
      </c>
      <c r="AC217" s="53">
        <v>0</v>
      </c>
      <c r="AD217" s="53">
        <v>0</v>
      </c>
      <c r="AE217" s="53">
        <v>-0.252</v>
      </c>
      <c r="AF217" s="53">
        <v>-0.59699999999999998</v>
      </c>
      <c r="AG217" s="53">
        <v>1.208</v>
      </c>
      <c r="AH217" s="53">
        <v>-1.8220000000000001</v>
      </c>
      <c r="AI217" s="53">
        <v>-5.1999999999999824E-2</v>
      </c>
      <c r="AJ217" s="53">
        <v>0.19700000000000001</v>
      </c>
      <c r="AK217" s="53">
        <v>0</v>
      </c>
      <c r="AL217" s="53">
        <f>0.197-AJ217-AK217</f>
        <v>0</v>
      </c>
      <c r="AM217" s="53">
        <f>0.197-AK217-AL217-AJ217</f>
        <v>0</v>
      </c>
      <c r="AN217" s="53">
        <v>0</v>
      </c>
      <c r="AO217" s="53">
        <v>0</v>
      </c>
      <c r="AP217" s="53">
        <v>0</v>
      </c>
      <c r="AQ217" s="53">
        <v>0</v>
      </c>
      <c r="AR217" s="53">
        <v>0</v>
      </c>
      <c r="AS217" s="63"/>
      <c r="AT217" s="53">
        <v>0</v>
      </c>
      <c r="AU217" s="53">
        <v>0</v>
      </c>
      <c r="AV217" s="53">
        <v>0</v>
      </c>
      <c r="AW217" s="53">
        <v>0</v>
      </c>
      <c r="AX217" s="53">
        <v>0</v>
      </c>
      <c r="AY217" s="53">
        <f t="shared" si="176"/>
        <v>-0.252</v>
      </c>
      <c r="AZ217" s="53">
        <f t="shared" si="168"/>
        <v>-1.2629999999999999</v>
      </c>
      <c r="BA217" s="53">
        <f t="shared" si="169"/>
        <v>0.19700000000000001</v>
      </c>
      <c r="BB217" s="53">
        <f t="shared" si="170"/>
        <v>0</v>
      </c>
      <c r="BC217" s="37"/>
      <c r="BD217" s="37"/>
      <c r="BE217" s="37"/>
    </row>
    <row r="218" spans="2:57" ht="13.5" outlineLevel="1">
      <c r="B218" s="10" t="s">
        <v>244</v>
      </c>
      <c r="C218" s="82" t="s">
        <v>71</v>
      </c>
      <c r="D218" s="57"/>
      <c r="E218" s="57"/>
      <c r="F218" s="57"/>
      <c r="G218" s="57"/>
      <c r="H218" s="57">
        <f t="shared" ref="H218:N218" si="177">SUM(H219:H226)</f>
        <v>-83.25</v>
      </c>
      <c r="I218" s="57">
        <f t="shared" si="177"/>
        <v>-117.751</v>
      </c>
      <c r="J218" s="57">
        <f t="shared" si="177"/>
        <v>-1.9870000000000019</v>
      </c>
      <c r="K218" s="57">
        <f t="shared" si="177"/>
        <v>-64.353999999999999</v>
      </c>
      <c r="L218" s="57">
        <f t="shared" si="177"/>
        <v>-37.18</v>
      </c>
      <c r="M218" s="57">
        <f t="shared" si="177"/>
        <v>-95.4</v>
      </c>
      <c r="N218" s="57">
        <f t="shared" si="177"/>
        <v>-100.00700000000001</v>
      </c>
      <c r="O218" s="57">
        <f t="shared" ref="O218:AH218" si="178">SUM(O219:O226)</f>
        <v>-59.447000000000003</v>
      </c>
      <c r="P218" s="57">
        <f t="shared" si="178"/>
        <v>-81.704000000000008</v>
      </c>
      <c r="Q218" s="57">
        <f t="shared" si="178"/>
        <v>-127.304</v>
      </c>
      <c r="R218" s="57">
        <f t="shared" si="178"/>
        <v>-8.9429999999999872</v>
      </c>
      <c r="S218" s="57">
        <f t="shared" si="178"/>
        <v>-194.30500000000001</v>
      </c>
      <c r="T218" s="57">
        <f t="shared" si="178"/>
        <v>-175.34800000000001</v>
      </c>
      <c r="U218" s="57">
        <f t="shared" si="178"/>
        <v>-143.125</v>
      </c>
      <c r="V218" s="57">
        <f t="shared" si="178"/>
        <v>-50.019000000000013</v>
      </c>
      <c r="W218" s="57">
        <f t="shared" si="178"/>
        <v>-83.667999999999978</v>
      </c>
      <c r="X218" s="57">
        <f t="shared" si="178"/>
        <v>-246.42699999999999</v>
      </c>
      <c r="Y218" s="57">
        <f t="shared" si="178"/>
        <v>-195.80200000000002</v>
      </c>
      <c r="Z218" s="57">
        <f t="shared" si="178"/>
        <v>43.739000000000019</v>
      </c>
      <c r="AA218" s="57">
        <f t="shared" si="178"/>
        <v>-343.82600000000002</v>
      </c>
      <c r="AB218" s="57">
        <f t="shared" si="178"/>
        <v>-272.33699999999999</v>
      </c>
      <c r="AC218" s="57">
        <f t="shared" si="178"/>
        <v>-592.24200000000008</v>
      </c>
      <c r="AD218" s="57">
        <f t="shared" si="178"/>
        <v>-233.67099999999999</v>
      </c>
      <c r="AE218" s="57">
        <f t="shared" si="178"/>
        <v>-893.2969999999998</v>
      </c>
      <c r="AF218" s="57">
        <f t="shared" si="178"/>
        <v>-279.048</v>
      </c>
      <c r="AG218" s="57">
        <f t="shared" si="178"/>
        <v>-544.78</v>
      </c>
      <c r="AH218" s="57">
        <f t="shared" si="178"/>
        <v>-534.08600000000001</v>
      </c>
      <c r="AI218" s="57">
        <f t="shared" ref="AI218:AO218" si="179">SUM(AI219:AI226)</f>
        <v>-399.73900000000009</v>
      </c>
      <c r="AJ218" s="57">
        <f t="shared" si="179"/>
        <v>-524.98</v>
      </c>
      <c r="AK218" s="57">
        <f t="shared" si="179"/>
        <v>-659.69599999999991</v>
      </c>
      <c r="AL218" s="57">
        <f t="shared" si="179"/>
        <v>-424.03</v>
      </c>
      <c r="AM218" s="57">
        <f t="shared" si="179"/>
        <v>-186.91399999999999</v>
      </c>
      <c r="AN218" s="57">
        <f t="shared" si="179"/>
        <v>-579.39700000000005</v>
      </c>
      <c r="AO218" s="57">
        <f t="shared" si="179"/>
        <v>-319.60700000000008</v>
      </c>
      <c r="AP218" s="57">
        <f>SUM(AP219:AP226)</f>
        <v>-583.702</v>
      </c>
      <c r="AQ218" s="57">
        <f>SUM(AQ219:AQ226)</f>
        <v>-380.59100000000007</v>
      </c>
      <c r="AR218" s="57">
        <f>SUM(AR219:AR226)</f>
        <v>-643.30899999999997</v>
      </c>
      <c r="AS218" s="63"/>
      <c r="AT218" s="57">
        <f t="shared" ref="AT218:AZ218" si="180">SUM(AT219:AT226)</f>
        <v>-267.34200000000004</v>
      </c>
      <c r="AU218" s="57">
        <f t="shared" si="180"/>
        <v>-292.03399999999999</v>
      </c>
      <c r="AV218" s="57">
        <f t="shared" si="180"/>
        <v>-412.25600000000009</v>
      </c>
      <c r="AW218" s="57">
        <f t="shared" si="180"/>
        <v>-452.16</v>
      </c>
      <c r="AX218" s="57">
        <f t="shared" si="180"/>
        <v>-742.31600000000003</v>
      </c>
      <c r="AY218" s="57">
        <f t="shared" si="180"/>
        <v>-1991.5469999999998</v>
      </c>
      <c r="AZ218" s="57">
        <f t="shared" si="180"/>
        <v>-1676.989</v>
      </c>
      <c r="BA218" s="57">
        <f t="shared" si="169"/>
        <v>-1795.62</v>
      </c>
      <c r="BB218" s="57">
        <f t="shared" si="170"/>
        <v>-1863.2970000000003</v>
      </c>
      <c r="BC218" s="37"/>
      <c r="BD218" s="37"/>
      <c r="BE218" s="37"/>
    </row>
    <row r="219" spans="2:57" ht="14.25" outlineLevel="2">
      <c r="B219" s="14" t="s">
        <v>245</v>
      </c>
      <c r="C219" s="83" t="s">
        <v>71</v>
      </c>
      <c r="D219" s="53"/>
      <c r="E219" s="53"/>
      <c r="F219" s="53"/>
      <c r="G219" s="53"/>
      <c r="H219" s="53">
        <v>-74.552999999999997</v>
      </c>
      <c r="I219" s="53">
        <v>-63.093000000000004</v>
      </c>
      <c r="J219" s="53">
        <v>-15.743</v>
      </c>
      <c r="K219" s="53">
        <v>-31.272999999999996</v>
      </c>
      <c r="L219" s="53">
        <v>-7.16</v>
      </c>
      <c r="M219" s="53">
        <v>-65.7</v>
      </c>
      <c r="N219" s="53">
        <v>-71.654999999999987</v>
      </c>
      <c r="O219" s="53">
        <v>-12.137</v>
      </c>
      <c r="P219" s="53">
        <v>-51.259</v>
      </c>
      <c r="Q219" s="53">
        <v>-46.608000000000004</v>
      </c>
      <c r="R219" s="53">
        <v>-7.9099999999999966</v>
      </c>
      <c r="S219" s="53">
        <v>-59.021000000000001</v>
      </c>
      <c r="T219" s="53">
        <v>-109.905</v>
      </c>
      <c r="U219" s="53">
        <v>-35.256</v>
      </c>
      <c r="V219" s="53">
        <v>-35.347000000000008</v>
      </c>
      <c r="W219" s="53">
        <v>-148.80699999999999</v>
      </c>
      <c r="X219" s="53">
        <v>-94.97</v>
      </c>
      <c r="Y219" s="53">
        <v>-64.193000000000012</v>
      </c>
      <c r="Z219" s="53">
        <v>49.77000000000001</v>
      </c>
      <c r="AA219" s="55">
        <v>-104.50899999999999</v>
      </c>
      <c r="AB219" s="55">
        <v>-138.161</v>
      </c>
      <c r="AC219" s="53">
        <v>-291.30500000000001</v>
      </c>
      <c r="AD219" s="53">
        <v>-93.578000000000003</v>
      </c>
      <c r="AE219" s="53">
        <v>-363.95299999999997</v>
      </c>
      <c r="AF219" s="53">
        <v>-34.627000000000002</v>
      </c>
      <c r="AG219" s="53">
        <v>-205.71699999999998</v>
      </c>
      <c r="AH219" s="53">
        <v>-228.00900000000001</v>
      </c>
      <c r="AI219" s="136">
        <v>-194.55100000000004</v>
      </c>
      <c r="AJ219" s="53">
        <v>-303.81900000000002</v>
      </c>
      <c r="AK219" s="53">
        <v>-129.16699999999997</v>
      </c>
      <c r="AL219" s="53">
        <f>-533.439-AJ219-AK219</f>
        <v>-100.45299999999997</v>
      </c>
      <c r="AM219" s="53">
        <f>-613.569-AJ219-AK219-AL219</f>
        <v>-80.13</v>
      </c>
      <c r="AN219" s="53">
        <v>-270.77699999999999</v>
      </c>
      <c r="AO219" s="53">
        <v>-225.01100000000002</v>
      </c>
      <c r="AP219" s="53">
        <v>-180.08199999999999</v>
      </c>
      <c r="AQ219" s="53">
        <v>-127.38400000000001</v>
      </c>
      <c r="AR219" s="53">
        <v>-307.49299999999999</v>
      </c>
      <c r="AS219" s="63"/>
      <c r="AT219" s="53">
        <f t="shared" ref="AT219:AT226" si="181">SUM(H219:K219)</f>
        <v>-184.66200000000001</v>
      </c>
      <c r="AU219" s="53">
        <f t="shared" ref="AU219:AU226" si="182">SUM(L219:O219)</f>
        <v>-156.65199999999999</v>
      </c>
      <c r="AV219" s="53">
        <f t="shared" ref="AV219:AV226" si="183">SUM(P219:S219)</f>
        <v>-164.798</v>
      </c>
      <c r="AW219" s="53">
        <f t="shared" ref="AW219:AW226" si="184">SUM(T219:W219)</f>
        <v>-329.315</v>
      </c>
      <c r="AX219" s="53">
        <f t="shared" ref="AX219:AX226" si="185">SUM(X219:AA219)</f>
        <v>-213.90199999999999</v>
      </c>
      <c r="AY219" s="53">
        <f t="shared" ref="AY219:AY226" si="186">SUM(AB219:AE219)</f>
        <v>-886.99699999999996</v>
      </c>
      <c r="AZ219" s="53">
        <f t="shared" ref="AZ219:AZ226" si="187">SUM(AF219:AI219)</f>
        <v>-662.904</v>
      </c>
      <c r="BA219" s="53">
        <f t="shared" si="169"/>
        <v>-613.56899999999996</v>
      </c>
      <c r="BB219" s="53">
        <f t="shared" si="170"/>
        <v>-803.25400000000002</v>
      </c>
      <c r="BC219" s="37"/>
      <c r="BD219" s="37"/>
      <c r="BE219" s="37"/>
    </row>
    <row r="220" spans="2:57" outlineLevel="2">
      <c r="B220" s="14" t="s">
        <v>160</v>
      </c>
      <c r="C220" s="83" t="s">
        <v>71</v>
      </c>
      <c r="D220" s="53"/>
      <c r="E220" s="53"/>
      <c r="F220" s="53"/>
      <c r="G220" s="53"/>
      <c r="H220" s="53">
        <v>8.2000000000000003E-2</v>
      </c>
      <c r="I220" s="53">
        <v>-0.35600000000000004</v>
      </c>
      <c r="J220" s="53">
        <v>-0.504</v>
      </c>
      <c r="K220" s="53">
        <v>0.44</v>
      </c>
      <c r="L220" s="53">
        <v>1.6719999999999999</v>
      </c>
      <c r="M220" s="53">
        <v>-2.1</v>
      </c>
      <c r="N220" s="53">
        <v>2.5620000000000003</v>
      </c>
      <c r="O220" s="53">
        <v>-6.78</v>
      </c>
      <c r="P220" s="53">
        <v>1.4370000000000001</v>
      </c>
      <c r="Q220" s="53">
        <v>-2.5209999999999999</v>
      </c>
      <c r="R220" s="53">
        <v>-0.75499999999999989</v>
      </c>
      <c r="S220" s="53">
        <v>-21.752000000000002</v>
      </c>
      <c r="T220" s="53">
        <v>-12.837</v>
      </c>
      <c r="U220" s="53">
        <v>-41.981999999999999</v>
      </c>
      <c r="V220" s="53">
        <v>19.289999999999996</v>
      </c>
      <c r="W220" s="53">
        <v>11.076000000000004</v>
      </c>
      <c r="X220" s="53">
        <v>-33.893000000000001</v>
      </c>
      <c r="Y220" s="53">
        <v>-5.2980000000000018</v>
      </c>
      <c r="Z220" s="53">
        <v>2.8440000000000012</v>
      </c>
      <c r="AA220" s="55">
        <v>-13.888999999999999</v>
      </c>
      <c r="AB220" s="55">
        <v>26.888999999999999</v>
      </c>
      <c r="AC220" s="53">
        <v>-28.672999999999998</v>
      </c>
      <c r="AD220" s="53">
        <v>42.854999999999997</v>
      </c>
      <c r="AE220" s="53">
        <v>2.3840000000000003</v>
      </c>
      <c r="AF220" s="53">
        <v>20.533000000000001</v>
      </c>
      <c r="AG220" s="53">
        <v>-21.218</v>
      </c>
      <c r="AH220" s="53">
        <v>-0.64700000000000135</v>
      </c>
      <c r="AI220" s="53">
        <v>-32.589000000000006</v>
      </c>
      <c r="AJ220" s="53">
        <v>-13.711</v>
      </c>
      <c r="AK220" s="53">
        <v>-71.623000000000005</v>
      </c>
      <c r="AL220" s="53">
        <f>-70.913-AJ220-AK220</f>
        <v>14.421000000000006</v>
      </c>
      <c r="AM220" s="53">
        <f>-47.823-AJ220-AK220-AL220</f>
        <v>23.089999999999996</v>
      </c>
      <c r="AN220" s="53">
        <v>-18.914999999999999</v>
      </c>
      <c r="AO220" s="53">
        <v>-32.916000000000004</v>
      </c>
      <c r="AP220" s="53">
        <v>61.203000000000003</v>
      </c>
      <c r="AQ220" s="53">
        <v>-5.742</v>
      </c>
      <c r="AR220" s="53">
        <v>-84.745000000000005</v>
      </c>
      <c r="AS220" s="63"/>
      <c r="AT220" s="53">
        <f t="shared" si="181"/>
        <v>-0.33800000000000002</v>
      </c>
      <c r="AU220" s="53">
        <f t="shared" si="182"/>
        <v>-4.6459999999999999</v>
      </c>
      <c r="AV220" s="53">
        <f t="shared" si="183"/>
        <v>-23.591000000000001</v>
      </c>
      <c r="AW220" s="53">
        <f t="shared" si="184"/>
        <v>-24.453000000000007</v>
      </c>
      <c r="AX220" s="53">
        <f t="shared" si="185"/>
        <v>-50.236000000000004</v>
      </c>
      <c r="AY220" s="53">
        <f t="shared" si="186"/>
        <v>43.454999999999998</v>
      </c>
      <c r="AZ220" s="53">
        <f t="shared" si="187"/>
        <v>-33.921000000000006</v>
      </c>
      <c r="BA220" s="53">
        <f t="shared" si="169"/>
        <v>-47.823</v>
      </c>
      <c r="BB220" s="53">
        <f t="shared" si="170"/>
        <v>3.63</v>
      </c>
      <c r="BC220" s="37"/>
      <c r="BD220" s="37"/>
      <c r="BE220" s="37"/>
    </row>
    <row r="221" spans="2:57" ht="14.25" outlineLevel="2">
      <c r="B221" s="14" t="s">
        <v>171</v>
      </c>
      <c r="C221" s="83" t="s">
        <v>71</v>
      </c>
      <c r="D221" s="53"/>
      <c r="E221" s="53"/>
      <c r="F221" s="53"/>
      <c r="G221" s="53"/>
      <c r="H221" s="53">
        <v>1.2310000000000001</v>
      </c>
      <c r="I221" s="53">
        <v>-0.56200000000000006</v>
      </c>
      <c r="J221" s="53">
        <v>-4.0129999999999999</v>
      </c>
      <c r="K221" s="53">
        <v>-6.109</v>
      </c>
      <c r="L221" s="53">
        <v>4.9160000000000004</v>
      </c>
      <c r="M221" s="53">
        <v>-1.7</v>
      </c>
      <c r="N221" s="53">
        <v>-12.646000000000001</v>
      </c>
      <c r="O221" s="53">
        <v>-29.351999999999997</v>
      </c>
      <c r="P221" s="53">
        <v>-3.3149999999999999</v>
      </c>
      <c r="Q221" s="53">
        <v>-14.520000000000001</v>
      </c>
      <c r="R221" s="53">
        <v>-13.189999999999996</v>
      </c>
      <c r="S221" s="53">
        <v>-55.323</v>
      </c>
      <c r="T221" s="53">
        <v>-4.6429999999999998</v>
      </c>
      <c r="U221" s="53">
        <v>-8.4439999999999991</v>
      </c>
      <c r="V221" s="53">
        <v>-7.1080000000000014</v>
      </c>
      <c r="W221" s="53">
        <v>3.6760000000000028</v>
      </c>
      <c r="X221" s="53">
        <v>-10.045</v>
      </c>
      <c r="Y221" s="53">
        <v>-8.4390000000000018</v>
      </c>
      <c r="Z221" s="53">
        <v>6.1330000000000009</v>
      </c>
      <c r="AA221" s="55">
        <v>-35.634</v>
      </c>
      <c r="AB221" s="55">
        <v>-87.16</v>
      </c>
      <c r="AC221" s="53">
        <v>-62.62</v>
      </c>
      <c r="AD221" s="53">
        <v>-100.91</v>
      </c>
      <c r="AE221" s="53">
        <v>-79.173999999999978</v>
      </c>
      <c r="AF221" s="53">
        <v>-27.952000000000002</v>
      </c>
      <c r="AG221" s="53">
        <v>-40.56</v>
      </c>
      <c r="AH221" s="53">
        <v>-40.876000000000005</v>
      </c>
      <c r="AI221" s="136">
        <v>4.4759999999999991</v>
      </c>
      <c r="AJ221" s="53">
        <v>2.1709999999999998</v>
      </c>
      <c r="AK221" s="53">
        <v>-30.071999999999999</v>
      </c>
      <c r="AL221" s="53">
        <f>-3.325-AJ221-AK221</f>
        <v>24.576000000000001</v>
      </c>
      <c r="AM221" s="53">
        <f>25.461-AJ221-AK221-AL221</f>
        <v>28.785999999999994</v>
      </c>
      <c r="AN221" s="53">
        <v>-30.738</v>
      </c>
      <c r="AO221" s="53">
        <v>231.61799999999999</v>
      </c>
      <c r="AP221" s="53">
        <f>191.622-AN221-AO221</f>
        <v>-9.2579999999999814</v>
      </c>
      <c r="AQ221" s="53">
        <v>46.053999999999974</v>
      </c>
      <c r="AR221" s="53">
        <v>133.452</v>
      </c>
      <c r="AS221" s="63"/>
      <c r="AT221" s="53">
        <f t="shared" si="181"/>
        <v>-9.4529999999999994</v>
      </c>
      <c r="AU221" s="53">
        <f t="shared" si="182"/>
        <v>-38.781999999999996</v>
      </c>
      <c r="AV221" s="53">
        <f t="shared" si="183"/>
        <v>-86.347999999999999</v>
      </c>
      <c r="AW221" s="53">
        <f t="shared" si="184"/>
        <v>-16.518999999999998</v>
      </c>
      <c r="AX221" s="53">
        <f t="shared" si="185"/>
        <v>-47.984999999999999</v>
      </c>
      <c r="AY221" s="53">
        <f t="shared" si="186"/>
        <v>-329.86399999999998</v>
      </c>
      <c r="AZ221" s="53">
        <f t="shared" si="187"/>
        <v>-104.91200000000001</v>
      </c>
      <c r="BA221" s="53">
        <f t="shared" si="169"/>
        <v>25.460999999999995</v>
      </c>
      <c r="BB221" s="53">
        <f t="shared" si="170"/>
        <v>237.67599999999999</v>
      </c>
      <c r="BC221" s="37"/>
      <c r="BD221" s="37"/>
      <c r="BE221" s="37"/>
    </row>
    <row r="222" spans="2:57" outlineLevel="2">
      <c r="B222" s="14" t="s">
        <v>246</v>
      </c>
      <c r="C222" s="83" t="s">
        <v>71</v>
      </c>
      <c r="D222" s="53"/>
      <c r="E222" s="53"/>
      <c r="F222" s="53"/>
      <c r="G222" s="53"/>
      <c r="H222" s="53">
        <v>1.8049999999999999</v>
      </c>
      <c r="I222" s="53">
        <v>-22.332999999999998</v>
      </c>
      <c r="J222" s="53">
        <v>18.178999999999998</v>
      </c>
      <c r="K222" s="53">
        <v>4.597999999999999</v>
      </c>
      <c r="L222" s="53">
        <v>0.64600000000000002</v>
      </c>
      <c r="M222" s="53">
        <v>-1.9</v>
      </c>
      <c r="N222" s="53">
        <v>-0.7</v>
      </c>
      <c r="O222" s="53">
        <v>42.358000000000004</v>
      </c>
      <c r="P222" s="53">
        <v>0</v>
      </c>
      <c r="Q222" s="53">
        <v>0</v>
      </c>
      <c r="R222" s="53">
        <v>0</v>
      </c>
      <c r="S222" s="53">
        <v>0</v>
      </c>
      <c r="T222" s="53">
        <v>0</v>
      </c>
      <c r="U222" s="53">
        <v>0</v>
      </c>
      <c r="V222" s="53">
        <v>0</v>
      </c>
      <c r="W222" s="53">
        <v>0</v>
      </c>
      <c r="X222" s="53">
        <v>0</v>
      </c>
      <c r="Y222" s="53">
        <v>0</v>
      </c>
      <c r="Z222" s="53">
        <v>0</v>
      </c>
      <c r="AA222" s="55">
        <v>0</v>
      </c>
      <c r="AB222" s="55">
        <v>0</v>
      </c>
      <c r="AC222" s="53">
        <v>0</v>
      </c>
      <c r="AD222" s="53">
        <v>0</v>
      </c>
      <c r="AE222" s="53">
        <v>0</v>
      </c>
      <c r="AF222" s="53">
        <v>0</v>
      </c>
      <c r="AG222" s="53">
        <v>0</v>
      </c>
      <c r="AH222" s="53">
        <v>0</v>
      </c>
      <c r="AI222" s="53">
        <v>0</v>
      </c>
      <c r="AJ222" s="53">
        <v>0</v>
      </c>
      <c r="AK222" s="53">
        <v>0</v>
      </c>
      <c r="AL222" s="53">
        <v>0</v>
      </c>
      <c r="AM222" s="53">
        <v>0</v>
      </c>
      <c r="AN222" s="53">
        <v>0</v>
      </c>
      <c r="AO222" s="53">
        <v>0</v>
      </c>
      <c r="AP222" s="53">
        <v>0</v>
      </c>
      <c r="AQ222" s="53">
        <v>0</v>
      </c>
      <c r="AR222" s="53">
        <v>0</v>
      </c>
      <c r="AS222" s="63"/>
      <c r="AT222" s="53">
        <f t="shared" si="181"/>
        <v>2.2489999999999988</v>
      </c>
      <c r="AU222" s="53">
        <f t="shared" si="182"/>
        <v>40.404000000000003</v>
      </c>
      <c r="AV222" s="53">
        <f t="shared" si="183"/>
        <v>0</v>
      </c>
      <c r="AW222" s="53">
        <f t="shared" si="184"/>
        <v>0</v>
      </c>
      <c r="AX222" s="53">
        <f t="shared" si="185"/>
        <v>0</v>
      </c>
      <c r="AY222" s="53">
        <f t="shared" si="186"/>
        <v>0</v>
      </c>
      <c r="AZ222" s="53">
        <f t="shared" si="187"/>
        <v>0</v>
      </c>
      <c r="BA222" s="53">
        <f t="shared" si="169"/>
        <v>0</v>
      </c>
      <c r="BB222" s="53">
        <f t="shared" si="170"/>
        <v>0</v>
      </c>
      <c r="BC222" s="37"/>
      <c r="BD222" s="37"/>
      <c r="BE222" s="37"/>
    </row>
    <row r="223" spans="2:57" outlineLevel="2">
      <c r="B223" s="14" t="s">
        <v>172</v>
      </c>
      <c r="C223" s="83" t="s">
        <v>71</v>
      </c>
      <c r="D223" s="53"/>
      <c r="E223" s="53"/>
      <c r="F223" s="53"/>
      <c r="G223" s="53"/>
      <c r="H223" s="53">
        <v>8.9719999999999995</v>
      </c>
      <c r="I223" s="53">
        <v>-11.823</v>
      </c>
      <c r="J223" s="53">
        <v>-3.4800000000000004</v>
      </c>
      <c r="K223" s="53">
        <v>-27.824999999999999</v>
      </c>
      <c r="L223" s="53">
        <v>-10.194000000000001</v>
      </c>
      <c r="M223" s="53">
        <v>-13.2</v>
      </c>
      <c r="N223" s="53">
        <v>-18.28</v>
      </c>
      <c r="O223" s="53">
        <v>-18.158000000000001</v>
      </c>
      <c r="P223" s="53">
        <v>-7.6239999999999997</v>
      </c>
      <c r="Q223" s="53">
        <v>-23.781000000000002</v>
      </c>
      <c r="R223" s="53">
        <v>-33.188000000000002</v>
      </c>
      <c r="S223" s="53">
        <v>-38.113</v>
      </c>
      <c r="T223" s="53">
        <v>-18.945</v>
      </c>
      <c r="U223" s="53">
        <v>-27.600999999999999</v>
      </c>
      <c r="V223" s="53">
        <v>-53.514000000000003</v>
      </c>
      <c r="W223" s="53">
        <v>12.648999999999994</v>
      </c>
      <c r="X223" s="53">
        <v>-65.111000000000004</v>
      </c>
      <c r="Y223" s="53">
        <v>-59.624000000000002</v>
      </c>
      <c r="Z223" s="53">
        <v>-33.891999999999996</v>
      </c>
      <c r="AA223" s="55">
        <v>-3.22199999999998</v>
      </c>
      <c r="AB223" s="55">
        <v>-35.412999999999997</v>
      </c>
      <c r="AC223" s="53">
        <v>-64.242000000000004</v>
      </c>
      <c r="AD223" s="53">
        <v>-61.540999999999997</v>
      </c>
      <c r="AE223" s="53">
        <v>-96.054999999999978</v>
      </c>
      <c r="AF223" s="53">
        <v>-84.790999999999997</v>
      </c>
      <c r="AG223" s="53">
        <v>-108.43700000000001</v>
      </c>
      <c r="AH223" s="53">
        <v>-125.38099999999997</v>
      </c>
      <c r="AI223" s="53">
        <v>-80.349000000000046</v>
      </c>
      <c r="AJ223" s="53">
        <v>-158.88399999999999</v>
      </c>
      <c r="AK223" s="53">
        <v>-195.10600000000002</v>
      </c>
      <c r="AL223" s="53">
        <f>-580.864-AJ223-AK223</f>
        <v>-226.874</v>
      </c>
      <c r="AM223" s="53">
        <f>-576.89-AJ223-AK223-AL223</f>
        <v>3.9740000000000464</v>
      </c>
      <c r="AN223" s="53">
        <v>-133.226</v>
      </c>
      <c r="AO223" s="53">
        <v>-183.37900000000002</v>
      </c>
      <c r="AP223" s="53">
        <v>-167.79199999999997</v>
      </c>
      <c r="AQ223" s="53">
        <v>-64.021000000000015</v>
      </c>
      <c r="AR223" s="53">
        <v>-102.812</v>
      </c>
      <c r="AS223" s="63"/>
      <c r="AT223" s="53">
        <f t="shared" si="181"/>
        <v>-34.155999999999999</v>
      </c>
      <c r="AU223" s="53">
        <f t="shared" si="182"/>
        <v>-59.832000000000001</v>
      </c>
      <c r="AV223" s="53">
        <f t="shared" si="183"/>
        <v>-102.706</v>
      </c>
      <c r="AW223" s="53">
        <f t="shared" si="184"/>
        <v>-87.411000000000001</v>
      </c>
      <c r="AX223" s="55">
        <f t="shared" si="185"/>
        <v>-161.84899999999999</v>
      </c>
      <c r="AY223" s="53">
        <f t="shared" si="186"/>
        <v>-257.25099999999998</v>
      </c>
      <c r="AZ223" s="53">
        <v>-377.8</v>
      </c>
      <c r="BA223" s="53">
        <f t="shared" si="169"/>
        <v>-576.89</v>
      </c>
      <c r="BB223" s="53">
        <f t="shared" si="170"/>
        <v>-548.41800000000001</v>
      </c>
      <c r="BC223" s="37"/>
      <c r="BD223" s="37"/>
      <c r="BE223" s="37"/>
    </row>
    <row r="224" spans="2:57" outlineLevel="1">
      <c r="B224" s="14" t="s">
        <v>166</v>
      </c>
      <c r="C224" s="83" t="s">
        <v>71</v>
      </c>
      <c r="D224" s="53"/>
      <c r="E224" s="53"/>
      <c r="F224" s="53"/>
      <c r="G224" s="53"/>
      <c r="H224" s="53">
        <v>-0.38100000000000001</v>
      </c>
      <c r="I224" s="53">
        <v>0.189</v>
      </c>
      <c r="J224" s="53">
        <v>-3.4409999999999998</v>
      </c>
      <c r="K224" s="53">
        <v>-3.5149999999999997</v>
      </c>
      <c r="L224" s="53">
        <v>-5.798</v>
      </c>
      <c r="M224" s="53">
        <v>-13.8</v>
      </c>
      <c r="N224" s="53">
        <v>1.4450000000000003</v>
      </c>
      <c r="O224" s="53">
        <v>-22.837000000000003</v>
      </c>
      <c r="P224" s="53">
        <v>-22.329000000000001</v>
      </c>
      <c r="Q224" s="53">
        <v>-38.725000000000001</v>
      </c>
      <c r="R224" s="53">
        <v>52.376000000000005</v>
      </c>
      <c r="S224" s="53">
        <v>-11.648000000000003</v>
      </c>
      <c r="T224" s="53">
        <v>-13.814</v>
      </c>
      <c r="U224" s="53">
        <v>-29.908000000000001</v>
      </c>
      <c r="V224" s="53">
        <v>34.968000000000004</v>
      </c>
      <c r="W224" s="53">
        <v>46.807000000000002</v>
      </c>
      <c r="X224" s="53">
        <v>-16.207000000000001</v>
      </c>
      <c r="Y224" s="53">
        <v>-36.552999999999997</v>
      </c>
      <c r="Z224" s="53">
        <v>34.098999999999997</v>
      </c>
      <c r="AA224" s="55">
        <v>10.319000000000001</v>
      </c>
      <c r="AB224" s="55">
        <v>103.312</v>
      </c>
      <c r="AC224" s="53">
        <v>53.165999999999997</v>
      </c>
      <c r="AD224" s="53">
        <v>2.548</v>
      </c>
      <c r="AE224" s="53">
        <v>26.33499999999998</v>
      </c>
      <c r="AF224" s="53">
        <v>26.81</v>
      </c>
      <c r="AG224" s="53">
        <v>13.391000000000002</v>
      </c>
      <c r="AH224" s="53">
        <v>7.2620000000000005</v>
      </c>
      <c r="AI224" s="53">
        <v>39.203999999999994</v>
      </c>
      <c r="AJ224" s="53">
        <v>72.33</v>
      </c>
      <c r="AK224" s="53">
        <v>-66.367999999999995</v>
      </c>
      <c r="AL224" s="53">
        <f>55.87-AJ224-AK224</f>
        <v>49.907999999999994</v>
      </c>
      <c r="AM224" s="53">
        <f>30.867-AJ224-AK224-AL224</f>
        <v>-25.002999999999993</v>
      </c>
      <c r="AN224" s="53">
        <v>12.332000000000001</v>
      </c>
      <c r="AO224" s="53">
        <v>33.345999999999997</v>
      </c>
      <c r="AP224" s="53">
        <v>-138.749</v>
      </c>
      <c r="AQ224" s="53">
        <v>-91.828000000000003</v>
      </c>
      <c r="AR224" s="53">
        <v>-136.761</v>
      </c>
      <c r="AS224" s="63"/>
      <c r="AT224" s="53">
        <f t="shared" si="181"/>
        <v>-7.1479999999999997</v>
      </c>
      <c r="AU224" s="53">
        <f t="shared" si="182"/>
        <v>-40.99</v>
      </c>
      <c r="AV224" s="53">
        <f t="shared" si="183"/>
        <v>-20.326000000000001</v>
      </c>
      <c r="AW224" s="53">
        <f t="shared" si="184"/>
        <v>38.053000000000004</v>
      </c>
      <c r="AX224" s="55">
        <f t="shared" si="185"/>
        <v>-8.3420000000000005</v>
      </c>
      <c r="AY224" s="53">
        <f t="shared" si="186"/>
        <v>185.36099999999999</v>
      </c>
      <c r="AZ224" s="53">
        <v>146.173</v>
      </c>
      <c r="BA224" s="53">
        <f t="shared" si="169"/>
        <v>30.867000000000004</v>
      </c>
      <c r="BB224" s="53">
        <f t="shared" si="170"/>
        <v>-184.899</v>
      </c>
      <c r="BC224" s="37"/>
      <c r="BD224" s="37"/>
      <c r="BE224" s="37"/>
    </row>
    <row r="225" spans="2:57" outlineLevel="2">
      <c r="B225" s="14" t="s">
        <v>247</v>
      </c>
      <c r="C225" s="83" t="s">
        <v>71</v>
      </c>
      <c r="D225" s="53"/>
      <c r="E225" s="53"/>
      <c r="F225" s="53"/>
      <c r="G225" s="53"/>
      <c r="H225" s="53">
        <v>-4.3479999999999999</v>
      </c>
      <c r="I225" s="53">
        <v>-6.7450000000000001</v>
      </c>
      <c r="J225" s="53">
        <v>2.2850000000000001</v>
      </c>
      <c r="K225" s="53">
        <v>3.8949999999999996</v>
      </c>
      <c r="L225" s="53">
        <v>-2.536</v>
      </c>
      <c r="M225" s="53">
        <v>-1</v>
      </c>
      <c r="N225" s="53">
        <v>2.1</v>
      </c>
      <c r="O225" s="53">
        <v>1.4359999999999999</v>
      </c>
      <c r="P225" s="53">
        <v>0</v>
      </c>
      <c r="Q225" s="53">
        <v>0</v>
      </c>
      <c r="R225" s="53">
        <v>0</v>
      </c>
      <c r="S225" s="53">
        <v>0</v>
      </c>
      <c r="T225" s="53">
        <v>0</v>
      </c>
      <c r="U225" s="53">
        <v>0</v>
      </c>
      <c r="V225" s="53">
        <v>0</v>
      </c>
      <c r="W225" s="53">
        <v>0</v>
      </c>
      <c r="X225" s="53">
        <v>0</v>
      </c>
      <c r="Y225" s="53">
        <v>0</v>
      </c>
      <c r="Z225" s="53">
        <v>0</v>
      </c>
      <c r="AA225" s="55">
        <v>0</v>
      </c>
      <c r="AB225" s="55">
        <v>0</v>
      </c>
      <c r="AC225" s="53">
        <v>0</v>
      </c>
      <c r="AD225" s="53">
        <v>0</v>
      </c>
      <c r="AE225" s="53">
        <v>0</v>
      </c>
      <c r="AF225" s="53">
        <v>0</v>
      </c>
      <c r="AG225" s="53">
        <v>0</v>
      </c>
      <c r="AH225" s="53">
        <v>0</v>
      </c>
      <c r="AI225" s="53">
        <v>0</v>
      </c>
      <c r="AJ225" s="53">
        <v>0</v>
      </c>
      <c r="AK225" s="53">
        <v>0</v>
      </c>
      <c r="AL225" s="53">
        <v>0</v>
      </c>
      <c r="AM225" s="53">
        <v>0</v>
      </c>
      <c r="AN225" s="53">
        <v>0</v>
      </c>
      <c r="AO225" s="53">
        <v>0</v>
      </c>
      <c r="AP225" s="53">
        <v>0</v>
      </c>
      <c r="AQ225" s="53">
        <v>0</v>
      </c>
      <c r="AR225" s="53">
        <v>0</v>
      </c>
      <c r="AS225" s="63"/>
      <c r="AT225" s="53">
        <f t="shared" si="181"/>
        <v>-4.9130000000000003</v>
      </c>
      <c r="AU225" s="53">
        <f t="shared" si="182"/>
        <v>0</v>
      </c>
      <c r="AV225" s="53">
        <f t="shared" si="183"/>
        <v>0</v>
      </c>
      <c r="AW225" s="53">
        <f t="shared" si="184"/>
        <v>0</v>
      </c>
      <c r="AX225" s="55">
        <f t="shared" si="185"/>
        <v>0</v>
      </c>
      <c r="AY225" s="53">
        <f t="shared" si="186"/>
        <v>0</v>
      </c>
      <c r="AZ225" s="53">
        <f t="shared" si="187"/>
        <v>0</v>
      </c>
      <c r="BA225" s="53">
        <f t="shared" si="169"/>
        <v>0</v>
      </c>
      <c r="BB225" s="53">
        <f t="shared" si="170"/>
        <v>0</v>
      </c>
      <c r="BC225" s="37"/>
      <c r="BD225" s="37"/>
      <c r="BE225" s="37"/>
    </row>
    <row r="226" spans="2:57" outlineLevel="2">
      <c r="B226" s="14" t="s">
        <v>165</v>
      </c>
      <c r="C226" s="83" t="s">
        <v>71</v>
      </c>
      <c r="D226" s="53"/>
      <c r="E226" s="53"/>
      <c r="F226" s="53"/>
      <c r="G226" s="53"/>
      <c r="H226" s="53">
        <v>-16.058</v>
      </c>
      <c r="I226" s="53">
        <v>-13.027999999999999</v>
      </c>
      <c r="J226" s="53">
        <v>4.7299999999999969</v>
      </c>
      <c r="K226" s="53">
        <v>-4.5649999999999977</v>
      </c>
      <c r="L226" s="53">
        <v>-18.725999999999999</v>
      </c>
      <c r="M226" s="53">
        <v>4</v>
      </c>
      <c r="N226" s="53">
        <v>-2.833000000000002</v>
      </c>
      <c r="O226" s="53">
        <v>-13.977</v>
      </c>
      <c r="P226" s="53">
        <v>1.3859999999999999</v>
      </c>
      <c r="Q226" s="53">
        <v>-1.149</v>
      </c>
      <c r="R226" s="53">
        <v>-6.2759999999999998</v>
      </c>
      <c r="S226" s="53">
        <v>-8.4480000000000004</v>
      </c>
      <c r="T226" s="53">
        <v>-15.204000000000001</v>
      </c>
      <c r="U226" s="53">
        <v>6.6000000000000003E-2</v>
      </c>
      <c r="V226" s="53">
        <v>-8.3079999999999998</v>
      </c>
      <c r="W226" s="53">
        <v>-9.0689999999999991</v>
      </c>
      <c r="X226" s="53">
        <v>-26.201000000000001</v>
      </c>
      <c r="Y226" s="53">
        <v>-21.695</v>
      </c>
      <c r="Z226" s="53">
        <v>-15.214999999999996</v>
      </c>
      <c r="AA226" s="55">
        <v>-196.89100000000002</v>
      </c>
      <c r="AB226" s="53">
        <v>-141.804</v>
      </c>
      <c r="AC226" s="53">
        <v>-198.56800000000001</v>
      </c>
      <c r="AD226" s="53">
        <v>-23.045000000000002</v>
      </c>
      <c r="AE226" s="53">
        <v>-382.83399999999995</v>
      </c>
      <c r="AF226" s="53">
        <v>-179.02099999999999</v>
      </c>
      <c r="AG226" s="53">
        <v>-182.239</v>
      </c>
      <c r="AH226" s="53">
        <v>-146.435</v>
      </c>
      <c r="AI226" s="53">
        <v>-135.93</v>
      </c>
      <c r="AJ226" s="53">
        <v>-123.06699999999999</v>
      </c>
      <c r="AK226" s="53">
        <v>-167.36</v>
      </c>
      <c r="AL226" s="53">
        <f>-476.035-AJ226-AK226</f>
        <v>-185.608</v>
      </c>
      <c r="AM226" s="53">
        <f>-613.666-AJ226-AK226-AL226</f>
        <v>-137.63100000000003</v>
      </c>
      <c r="AN226" s="53">
        <v>-138.07300000000001</v>
      </c>
      <c r="AO226" s="53">
        <v>-143.26500000000001</v>
      </c>
      <c r="AP226" s="53">
        <v>-149.024</v>
      </c>
      <c r="AQ226" s="53">
        <v>-137.67000000000002</v>
      </c>
      <c r="AR226" s="53">
        <v>-144.94999999999999</v>
      </c>
      <c r="AS226" s="63"/>
      <c r="AT226" s="53">
        <f t="shared" si="181"/>
        <v>-28.920999999999999</v>
      </c>
      <c r="AU226" s="53">
        <f t="shared" si="182"/>
        <v>-31.536000000000001</v>
      </c>
      <c r="AV226" s="53">
        <f t="shared" si="183"/>
        <v>-14.487</v>
      </c>
      <c r="AW226" s="53">
        <f t="shared" si="184"/>
        <v>-32.515000000000001</v>
      </c>
      <c r="AX226" s="55">
        <f t="shared" si="185"/>
        <v>-260.00200000000001</v>
      </c>
      <c r="AY226" s="53">
        <f t="shared" si="186"/>
        <v>-746.25099999999998</v>
      </c>
      <c r="AZ226" s="53">
        <f t="shared" si="187"/>
        <v>-643.625</v>
      </c>
      <c r="BA226" s="53">
        <f t="shared" si="169"/>
        <v>-613.66600000000005</v>
      </c>
      <c r="BB226" s="53">
        <f t="shared" si="170"/>
        <v>-568.03200000000004</v>
      </c>
      <c r="BC226" s="37"/>
      <c r="BD226" s="37"/>
      <c r="BE226" s="37"/>
    </row>
    <row r="227" spans="2:57" ht="13.5" outlineLevel="1">
      <c r="B227" s="10" t="s">
        <v>248</v>
      </c>
      <c r="C227" s="82" t="s">
        <v>71</v>
      </c>
      <c r="D227" s="57"/>
      <c r="E227" s="57"/>
      <c r="F227" s="57"/>
      <c r="G227" s="57"/>
      <c r="H227" s="57">
        <f t="shared" ref="H227:AB227" si="188">SUM(H228:H235)</f>
        <v>11.275000000000006</v>
      </c>
      <c r="I227" s="57">
        <f t="shared" si="188"/>
        <v>-46.897999999999996</v>
      </c>
      <c r="J227" s="57">
        <f t="shared" si="188"/>
        <v>-41.878</v>
      </c>
      <c r="K227" s="57">
        <f t="shared" si="188"/>
        <v>-54.433999999999997</v>
      </c>
      <c r="L227" s="57">
        <f t="shared" si="188"/>
        <v>-159.053</v>
      </c>
      <c r="M227" s="57">
        <f t="shared" si="188"/>
        <v>-49.900000000000006</v>
      </c>
      <c r="N227" s="57">
        <f t="shared" si="188"/>
        <v>-32.83299999999997</v>
      </c>
      <c r="O227" s="57">
        <f t="shared" si="188"/>
        <v>-130.142</v>
      </c>
      <c r="P227" s="57">
        <f t="shared" si="188"/>
        <v>-48.725999999999999</v>
      </c>
      <c r="Q227" s="57">
        <f t="shared" si="188"/>
        <v>-114.306</v>
      </c>
      <c r="R227" s="57">
        <f t="shared" si="188"/>
        <v>-46.179000000000016</v>
      </c>
      <c r="S227" s="57">
        <f t="shared" si="188"/>
        <v>-135.39099999999996</v>
      </c>
      <c r="T227" s="57">
        <f t="shared" si="188"/>
        <v>19.449000000000012</v>
      </c>
      <c r="U227" s="57">
        <f t="shared" si="188"/>
        <v>22.294000000000011</v>
      </c>
      <c r="V227" s="57">
        <f t="shared" si="188"/>
        <v>-254.17600000000002</v>
      </c>
      <c r="W227" s="57">
        <f t="shared" si="188"/>
        <v>-228.833</v>
      </c>
      <c r="X227" s="57">
        <f>SUM(X228:X235)</f>
        <v>-0.65899999999999004</v>
      </c>
      <c r="Y227" s="57">
        <f t="shared" si="188"/>
        <v>-422.03700000000003</v>
      </c>
      <c r="Z227" s="57">
        <f t="shared" si="188"/>
        <v>-286.58099999999996</v>
      </c>
      <c r="AA227" s="57">
        <f t="shared" si="188"/>
        <v>-215.85900000000001</v>
      </c>
      <c r="AB227" s="57">
        <f t="shared" si="188"/>
        <v>-670.3610000000001</v>
      </c>
      <c r="AC227" s="57">
        <f t="shared" ref="AC227:AH227" si="189">SUM(AC228:AC235)</f>
        <v>492.90599999999995</v>
      </c>
      <c r="AD227" s="57">
        <f t="shared" si="189"/>
        <v>-6.8620000000000019</v>
      </c>
      <c r="AE227" s="57">
        <f t="shared" si="189"/>
        <v>9.3430000000000035</v>
      </c>
      <c r="AF227" s="57">
        <f t="shared" si="189"/>
        <v>-61.596999999999994</v>
      </c>
      <c r="AG227" s="57">
        <f t="shared" si="189"/>
        <v>-81.577999999999946</v>
      </c>
      <c r="AH227" s="57">
        <f t="shared" si="189"/>
        <v>164.42699999999996</v>
      </c>
      <c r="AI227" s="57">
        <f t="shared" ref="AI227:AO227" si="190">SUM(AI228:AI235)</f>
        <v>-161.39200000000005</v>
      </c>
      <c r="AJ227" s="57">
        <f t="shared" si="190"/>
        <v>34.256999999999977</v>
      </c>
      <c r="AK227" s="57">
        <f t="shared" si="190"/>
        <v>-94.804999999999993</v>
      </c>
      <c r="AL227" s="57">
        <f t="shared" si="190"/>
        <v>-147.77999999999997</v>
      </c>
      <c r="AM227" s="57">
        <f t="shared" si="190"/>
        <v>-1222.078</v>
      </c>
      <c r="AN227" s="57">
        <f t="shared" si="190"/>
        <v>-1.7440000000000211</v>
      </c>
      <c r="AO227" s="57">
        <f t="shared" si="190"/>
        <v>-362.50399999999991</v>
      </c>
      <c r="AP227" s="57">
        <f>SUM(AP228:AP235)</f>
        <v>-526.13499999999999</v>
      </c>
      <c r="AQ227" s="57">
        <f>SUM(AQ228:AQ235)</f>
        <v>-729.59400000000005</v>
      </c>
      <c r="AR227" s="57">
        <f>SUM(AR228:AR235)</f>
        <v>-272.85000000000002</v>
      </c>
      <c r="AS227" s="63"/>
      <c r="AT227" s="57">
        <f t="shared" ref="AT227:BA227" si="191">SUM(AT228:AT235)</f>
        <v>-131.935</v>
      </c>
      <c r="AU227" s="57">
        <f t="shared" si="191"/>
        <v>-371.928</v>
      </c>
      <c r="AV227" s="57">
        <f t="shared" si="191"/>
        <v>-344.60199999999998</v>
      </c>
      <c r="AW227" s="57">
        <f t="shared" si="191"/>
        <v>-441.26599999999996</v>
      </c>
      <c r="AX227" s="57">
        <f t="shared" si="191"/>
        <v>-925.13599999999997</v>
      </c>
      <c r="AY227" s="57">
        <f t="shared" si="191"/>
        <v>-174.97400000000002</v>
      </c>
      <c r="AZ227" s="57">
        <f t="shared" si="191"/>
        <v>-140.13999999999999</v>
      </c>
      <c r="BA227" s="57">
        <f t="shared" si="191"/>
        <v>-1430.4059999999999</v>
      </c>
      <c r="BB227" s="57">
        <f t="shared" si="170"/>
        <v>-1619.9769999999999</v>
      </c>
      <c r="BC227" s="37"/>
      <c r="BD227" s="37"/>
      <c r="BE227" s="37"/>
    </row>
    <row r="228" spans="2:57" ht="14.25" outlineLevel="2">
      <c r="B228" s="14" t="s">
        <v>249</v>
      </c>
      <c r="C228" s="83" t="s">
        <v>71</v>
      </c>
      <c r="D228" s="53"/>
      <c r="E228" s="53"/>
      <c r="F228" s="53"/>
      <c r="G228" s="53"/>
      <c r="H228" s="53">
        <v>46.195</v>
      </c>
      <c r="I228" s="53">
        <v>16.841999999999999</v>
      </c>
      <c r="J228" s="53">
        <v>-22.196000000000002</v>
      </c>
      <c r="K228" s="53">
        <v>-20.616999999999994</v>
      </c>
      <c r="L228" s="53">
        <v>-48.026000000000003</v>
      </c>
      <c r="M228" s="53">
        <v>44.5</v>
      </c>
      <c r="N228" s="53">
        <v>28.446000000000005</v>
      </c>
      <c r="O228" s="53">
        <v>-25.799000000000003</v>
      </c>
      <c r="P228" s="53">
        <v>-2.4039999999999999</v>
      </c>
      <c r="Q228" s="53">
        <v>-2.1260000000000003</v>
      </c>
      <c r="R228" s="53">
        <v>75.686999999999998</v>
      </c>
      <c r="S228" s="53">
        <v>150.47800000000001</v>
      </c>
      <c r="T228" s="53">
        <v>100.40600000000001</v>
      </c>
      <c r="U228" s="53">
        <v>11.012</v>
      </c>
      <c r="V228" s="53">
        <v>19.757000000000005</v>
      </c>
      <c r="W228" s="53">
        <v>77.378999999999991</v>
      </c>
      <c r="X228" s="85">
        <v>93.727000000000004</v>
      </c>
      <c r="Y228" s="53">
        <v>10.932000000000002</v>
      </c>
      <c r="Z228" s="53">
        <v>-61.104000000000006</v>
      </c>
      <c r="AA228" s="53">
        <v>-18.195999999999998</v>
      </c>
      <c r="AB228" s="53">
        <v>-386.23200000000003</v>
      </c>
      <c r="AC228" s="53">
        <v>505.08600000000001</v>
      </c>
      <c r="AD228" s="53">
        <v>2.1659999999999968</v>
      </c>
      <c r="AE228" s="53">
        <v>29.234000000000009</v>
      </c>
      <c r="AF228" s="53">
        <v>49.808999999999997</v>
      </c>
      <c r="AG228" s="53">
        <v>131.31800000000001</v>
      </c>
      <c r="AH228" s="53">
        <v>53.569999999999993</v>
      </c>
      <c r="AI228" s="136">
        <v>154.44300000000001</v>
      </c>
      <c r="AJ228" s="53">
        <v>182.25399999999999</v>
      </c>
      <c r="AK228" s="55">
        <v>55.168999999999997</v>
      </c>
      <c r="AL228" s="53">
        <f>392.199-AJ228-AK228</f>
        <v>154.77600000000001</v>
      </c>
      <c r="AM228" s="53">
        <f>-497.049-AJ228-AK228-AL228</f>
        <v>-889.24800000000005</v>
      </c>
      <c r="AN228" s="53">
        <v>286.60199999999998</v>
      </c>
      <c r="AO228" s="55">
        <f>-18.102</f>
        <v>-18.102</v>
      </c>
      <c r="AP228" s="55">
        <v>-85.341000000000008</v>
      </c>
      <c r="AQ228" s="55">
        <v>-227.988</v>
      </c>
      <c r="AR228" s="55">
        <v>-108.828</v>
      </c>
      <c r="AS228" s="63"/>
      <c r="AT228" s="53">
        <f t="shared" ref="AT228:AT237" si="192">SUM(H228:K228)</f>
        <v>20.224</v>
      </c>
      <c r="AU228" s="53">
        <f t="shared" ref="AU228:AU237" si="193">SUM(L228:O228)</f>
        <v>-0.87900000000000134</v>
      </c>
      <c r="AV228" s="53">
        <f t="shared" ref="AV228:AV237" si="194">SUM(P228:S228)</f>
        <v>221.63499999999999</v>
      </c>
      <c r="AW228" s="53">
        <f t="shared" ref="AW228:AW237" si="195">SUM(T228:W228)</f>
        <v>208.554</v>
      </c>
      <c r="AX228" s="53">
        <f t="shared" ref="AX228:AX237" si="196">SUM(X228:AA228)</f>
        <v>25.359000000000002</v>
      </c>
      <c r="AY228" s="53">
        <f t="shared" ref="AY228:AY237" si="197">SUM(AB228:AE228)</f>
        <v>150.25399999999999</v>
      </c>
      <c r="AZ228" s="53">
        <f t="shared" ref="AZ228:AZ235" si="198">SUM(AF228:AI228)</f>
        <v>389.14</v>
      </c>
      <c r="BA228" s="53">
        <f>SUM(AJ228:AM228)</f>
        <v>-497.04900000000004</v>
      </c>
      <c r="BB228" s="53">
        <f t="shared" si="170"/>
        <v>-44.829000000000008</v>
      </c>
      <c r="BC228" s="37"/>
      <c r="BD228" s="37"/>
      <c r="BE228" s="37"/>
    </row>
    <row r="229" spans="2:57" outlineLevel="2">
      <c r="B229" s="14" t="s">
        <v>250</v>
      </c>
      <c r="C229" s="83" t="s">
        <v>71</v>
      </c>
      <c r="D229" s="53"/>
      <c r="E229" s="53"/>
      <c r="F229" s="53"/>
      <c r="G229" s="53"/>
      <c r="H229" s="53">
        <v>7.601</v>
      </c>
      <c r="I229" s="53">
        <v>4.1559999999999997</v>
      </c>
      <c r="J229" s="53">
        <v>-4.3679999999999994</v>
      </c>
      <c r="K229" s="53">
        <v>0.87300000000000022</v>
      </c>
      <c r="L229" s="53">
        <v>-0.43099999999999999</v>
      </c>
      <c r="M229" s="53">
        <v>7.6</v>
      </c>
      <c r="N229" s="53">
        <v>-2.0209999999999999</v>
      </c>
      <c r="O229" s="53">
        <v>4.8770000000000007</v>
      </c>
      <c r="P229" s="53">
        <v>-2.516</v>
      </c>
      <c r="Q229" s="53">
        <v>3.6029999999999998</v>
      </c>
      <c r="R229" s="53">
        <v>-41.271000000000001</v>
      </c>
      <c r="S229" s="53">
        <v>-22.929000000000002</v>
      </c>
      <c r="T229" s="53">
        <v>-3.0790000000000002</v>
      </c>
      <c r="U229" s="53">
        <v>1.4830000000000001</v>
      </c>
      <c r="V229" s="53">
        <v>-3.6739999999999999</v>
      </c>
      <c r="W229" s="53">
        <v>0.64100000000000046</v>
      </c>
      <c r="X229" s="85">
        <v>5.9470000000000001</v>
      </c>
      <c r="Y229" s="53">
        <v>1.9900000000000002</v>
      </c>
      <c r="Z229" s="53">
        <v>2.617</v>
      </c>
      <c r="AA229" s="55">
        <v>-10.742000000000001</v>
      </c>
      <c r="AB229" s="53">
        <v>3.0779999999999998</v>
      </c>
      <c r="AC229" s="53">
        <v>-1.22</v>
      </c>
      <c r="AD229" s="53">
        <v>1.159</v>
      </c>
      <c r="AE229" s="53">
        <v>-1.607</v>
      </c>
      <c r="AF229" s="53">
        <v>0.84299999999999997</v>
      </c>
      <c r="AG229" s="53">
        <v>25.442</v>
      </c>
      <c r="AH229" s="53">
        <v>50.915999999999997</v>
      </c>
      <c r="AI229" s="53">
        <v>-34.106999999999992</v>
      </c>
      <c r="AJ229" s="53">
        <v>1.661</v>
      </c>
      <c r="AK229" s="53">
        <v>9.2319999999999993</v>
      </c>
      <c r="AL229" s="53">
        <f>9.435-AJ229-AK229</f>
        <v>-1.4579999999999984</v>
      </c>
      <c r="AM229" s="53">
        <f>41.532-AJ229-AK229-AL229</f>
        <v>32.096999999999994</v>
      </c>
      <c r="AN229" s="53">
        <v>-43.488</v>
      </c>
      <c r="AO229" s="53">
        <v>-2.0140000000000029</v>
      </c>
      <c r="AP229" s="53">
        <v>8.480000000000004</v>
      </c>
      <c r="AQ229" s="53">
        <v>-5.7060000000000031</v>
      </c>
      <c r="AR229" s="53">
        <v>10.346</v>
      </c>
      <c r="AS229" s="63"/>
      <c r="AT229" s="53">
        <f t="shared" si="192"/>
        <v>8.2620000000000005</v>
      </c>
      <c r="AU229" s="53">
        <f t="shared" si="193"/>
        <v>10.025</v>
      </c>
      <c r="AV229" s="53">
        <f t="shared" si="194"/>
        <v>-63.113</v>
      </c>
      <c r="AW229" s="53">
        <f t="shared" si="195"/>
        <v>-4.6289999999999996</v>
      </c>
      <c r="AX229" s="53">
        <f t="shared" si="196"/>
        <v>-0.18800000000000061</v>
      </c>
      <c r="AY229" s="53">
        <f t="shared" si="197"/>
        <v>1.41</v>
      </c>
      <c r="AZ229" s="53">
        <f t="shared" si="198"/>
        <v>43.094000000000001</v>
      </c>
      <c r="BA229" s="53">
        <f t="shared" ref="BA229:BA234" si="199">SUM(AJ229:AM229)</f>
        <v>41.531999999999996</v>
      </c>
      <c r="BB229" s="53">
        <f t="shared" si="170"/>
        <v>-42.728000000000002</v>
      </c>
      <c r="BC229" s="37"/>
      <c r="BD229" s="37"/>
      <c r="BE229" s="37"/>
    </row>
    <row r="230" spans="2:57" outlineLevel="2">
      <c r="B230" s="14" t="s">
        <v>183</v>
      </c>
      <c r="C230" s="83" t="s">
        <v>71</v>
      </c>
      <c r="D230" s="53"/>
      <c r="E230" s="53"/>
      <c r="F230" s="53"/>
      <c r="G230" s="53"/>
      <c r="H230" s="53">
        <v>11.19</v>
      </c>
      <c r="I230" s="53">
        <v>12.919000000000002</v>
      </c>
      <c r="J230" s="53">
        <v>14.861999999999997</v>
      </c>
      <c r="K230" s="53">
        <v>-3.465999999999994</v>
      </c>
      <c r="L230" s="53">
        <v>-7.4589999999999996</v>
      </c>
      <c r="M230" s="53">
        <v>14.8</v>
      </c>
      <c r="N230" s="53">
        <v>12.596999999999998</v>
      </c>
      <c r="O230" s="53">
        <v>-5.1359999999999992</v>
      </c>
      <c r="P230" s="53">
        <v>-2.625</v>
      </c>
      <c r="Q230" s="53">
        <v>15.339</v>
      </c>
      <c r="R230" s="53">
        <v>13.636000000000001</v>
      </c>
      <c r="S230" s="53">
        <v>-158.566</v>
      </c>
      <c r="T230" s="53">
        <v>15.893000000000001</v>
      </c>
      <c r="U230" s="53">
        <v>28.929000000000002</v>
      </c>
      <c r="V230" s="53">
        <v>17.350999999999999</v>
      </c>
      <c r="W230" s="53">
        <v>-53.122</v>
      </c>
      <c r="X230" s="85">
        <v>35.337000000000003</v>
      </c>
      <c r="Y230" s="53">
        <v>32.36399999999999</v>
      </c>
      <c r="Z230" s="53">
        <v>39.323000000000008</v>
      </c>
      <c r="AA230" s="55">
        <v>-62.375</v>
      </c>
      <c r="AB230" s="53">
        <v>87.43</v>
      </c>
      <c r="AC230" s="53">
        <v>56.615000000000002</v>
      </c>
      <c r="AD230" s="53">
        <v>108.67400000000001</v>
      </c>
      <c r="AE230" s="53">
        <v>-118.93000000000004</v>
      </c>
      <c r="AF230" s="53">
        <v>30.227</v>
      </c>
      <c r="AG230" s="53">
        <v>49.39</v>
      </c>
      <c r="AH230" s="53">
        <v>113.616</v>
      </c>
      <c r="AI230" s="53">
        <v>-186.77199999999999</v>
      </c>
      <c r="AJ230" s="53">
        <v>43.734999999999999</v>
      </c>
      <c r="AK230" s="53">
        <v>172.005</v>
      </c>
      <c r="AL230" s="53">
        <f>287.682-AJ230-AK230</f>
        <v>71.942000000000007</v>
      </c>
      <c r="AM230" s="53">
        <f>133.142-AJ230-AK230-AL230</f>
        <v>-154.54000000000002</v>
      </c>
      <c r="AN230" s="55">
        <v>66.778000000000006</v>
      </c>
      <c r="AO230" s="55">
        <v>109.443</v>
      </c>
      <c r="AP230" s="55">
        <v>201.28699999999998</v>
      </c>
      <c r="AQ230" s="55">
        <v>-189.66199999999998</v>
      </c>
      <c r="AR230" s="55">
        <v>203.601</v>
      </c>
      <c r="AS230" s="63"/>
      <c r="AT230" s="53">
        <f t="shared" si="192"/>
        <v>35.505000000000003</v>
      </c>
      <c r="AU230" s="53">
        <f t="shared" si="193"/>
        <v>14.802</v>
      </c>
      <c r="AV230" s="53">
        <f t="shared" si="194"/>
        <v>-132.21600000000001</v>
      </c>
      <c r="AW230" s="53">
        <f t="shared" si="195"/>
        <v>9.0510000000000019</v>
      </c>
      <c r="AX230" s="53">
        <f t="shared" si="196"/>
        <v>44.649000000000001</v>
      </c>
      <c r="AY230" s="53">
        <f t="shared" si="197"/>
        <v>133.78899999999999</v>
      </c>
      <c r="AZ230" s="53">
        <f t="shared" si="198"/>
        <v>6.4610000000000127</v>
      </c>
      <c r="BA230" s="53">
        <f t="shared" si="199"/>
        <v>133.142</v>
      </c>
      <c r="BB230" s="53">
        <f t="shared" si="170"/>
        <v>187.846</v>
      </c>
      <c r="BC230" s="37"/>
      <c r="BD230" s="37"/>
      <c r="BE230" s="37"/>
    </row>
    <row r="231" spans="2:57" outlineLevel="2">
      <c r="B231" s="14" t="s">
        <v>251</v>
      </c>
      <c r="C231" s="83" t="s">
        <v>71</v>
      </c>
      <c r="D231" s="53"/>
      <c r="E231" s="53"/>
      <c r="F231" s="53"/>
      <c r="G231" s="53"/>
      <c r="H231" s="53">
        <v>-3.3319999999999999</v>
      </c>
      <c r="I231" s="53">
        <v>7.2929999999999993</v>
      </c>
      <c r="J231" s="53">
        <v>3.5420000000000016</v>
      </c>
      <c r="K231" s="53">
        <v>5.2509999999999977</v>
      </c>
      <c r="L231" s="53">
        <v>5.4870000000000001</v>
      </c>
      <c r="M231" s="53">
        <v>-0.5</v>
      </c>
      <c r="N231" s="53">
        <v>-5.1070000000000002</v>
      </c>
      <c r="O231" s="53">
        <v>3.0369999999999999</v>
      </c>
      <c r="P231" s="53">
        <v>1.1259999999999999</v>
      </c>
      <c r="Q231" s="53">
        <v>-17.204000000000001</v>
      </c>
      <c r="R231" s="53">
        <v>-6.0399999999999991</v>
      </c>
      <c r="S231" s="53">
        <v>-21.151</v>
      </c>
      <c r="T231" s="53">
        <v>17.48</v>
      </c>
      <c r="U231" s="53">
        <v>3.4029999999999987</v>
      </c>
      <c r="V231" s="53">
        <v>0.45200000000000001</v>
      </c>
      <c r="W231" s="53">
        <v>-2.8509999999999973</v>
      </c>
      <c r="X231" s="85">
        <v>61.878999999999998</v>
      </c>
      <c r="Y231" s="53">
        <v>-48.616</v>
      </c>
      <c r="Z231" s="53">
        <v>-9.89</v>
      </c>
      <c r="AA231" s="55">
        <v>-47.906999999999996</v>
      </c>
      <c r="AB231" s="53">
        <v>-74.686000000000007</v>
      </c>
      <c r="AC231" s="53">
        <v>40.551000000000002</v>
      </c>
      <c r="AD231" s="53">
        <v>-56.639000000000003</v>
      </c>
      <c r="AE231" s="53">
        <v>61.713999999999999</v>
      </c>
      <c r="AF231" s="53">
        <v>-57.027000000000001</v>
      </c>
      <c r="AG231" s="53">
        <v>-19.185999999999993</v>
      </c>
      <c r="AH231" s="53">
        <v>17.632999999999996</v>
      </c>
      <c r="AI231" s="53">
        <v>-65.997</v>
      </c>
      <c r="AJ231" s="53">
        <v>-11.223000000000001</v>
      </c>
      <c r="AK231" s="53">
        <v>-9.5080000000000009</v>
      </c>
      <c r="AL231" s="53">
        <f>-67.283-AJ231-AK231</f>
        <v>-46.552</v>
      </c>
      <c r="AM231" s="53">
        <f>5.247-AJ231-AK231-AL231</f>
        <v>72.53</v>
      </c>
      <c r="AN231" s="55">
        <v>37.414000000000001</v>
      </c>
      <c r="AO231" s="55">
        <v>42.703000000000003</v>
      </c>
      <c r="AP231" s="55">
        <v>-55.113</v>
      </c>
      <c r="AQ231" s="55">
        <v>7.7019999999999982</v>
      </c>
      <c r="AR231" s="55">
        <v>82.899000000000001</v>
      </c>
      <c r="AS231" s="63"/>
      <c r="AT231" s="53">
        <f t="shared" si="192"/>
        <v>12.753999999999998</v>
      </c>
      <c r="AU231" s="53">
        <f t="shared" si="193"/>
        <v>2.9169999999999998</v>
      </c>
      <c r="AV231" s="53">
        <f t="shared" si="194"/>
        <v>-43.268999999999998</v>
      </c>
      <c r="AW231" s="53">
        <f t="shared" si="195"/>
        <v>18.484000000000002</v>
      </c>
      <c r="AX231" s="53">
        <f t="shared" si="196"/>
        <v>-44.533999999999999</v>
      </c>
      <c r="AY231" s="53">
        <f t="shared" si="197"/>
        <v>-29.060000000000002</v>
      </c>
      <c r="AZ231" s="53">
        <f t="shared" si="198"/>
        <v>-124.577</v>
      </c>
      <c r="BA231" s="53">
        <f t="shared" si="199"/>
        <v>5.2469999999999999</v>
      </c>
      <c r="BB231" s="53">
        <f t="shared" si="170"/>
        <v>32.706000000000003</v>
      </c>
      <c r="BC231" s="37"/>
      <c r="BD231" s="37"/>
      <c r="BE231" s="37"/>
    </row>
    <row r="232" spans="2:57" ht="14.25" outlineLevel="2">
      <c r="B232" s="14" t="s">
        <v>184</v>
      </c>
      <c r="C232" s="83" t="s">
        <v>71</v>
      </c>
      <c r="D232" s="53"/>
      <c r="E232" s="53"/>
      <c r="F232" s="53"/>
      <c r="G232" s="53"/>
      <c r="H232" s="53">
        <v>-1.5429999999999999</v>
      </c>
      <c r="I232" s="53">
        <v>-3.7619999999999996</v>
      </c>
      <c r="J232" s="53">
        <v>18.154</v>
      </c>
      <c r="K232" s="53">
        <v>5.1310000000000002</v>
      </c>
      <c r="L232" s="53">
        <v>-23.795000000000002</v>
      </c>
      <c r="M232" s="53">
        <v>2.8</v>
      </c>
      <c r="N232" s="53">
        <v>7.511000000000001</v>
      </c>
      <c r="O232" s="53">
        <v>-19.387999999999998</v>
      </c>
      <c r="P232" s="53">
        <v>7.4640000000000004</v>
      </c>
      <c r="Q232" s="53">
        <v>-3.2170000000000005</v>
      </c>
      <c r="R232" s="53">
        <v>7.59</v>
      </c>
      <c r="S232" s="53">
        <v>45.58</v>
      </c>
      <c r="T232" s="53">
        <v>-36.555999999999997</v>
      </c>
      <c r="U232" s="53">
        <v>114.858</v>
      </c>
      <c r="V232" s="53">
        <v>-71.042000000000002</v>
      </c>
      <c r="W232" s="53">
        <v>-42.290999999999997</v>
      </c>
      <c r="X232" s="85">
        <v>-37.350999999999999</v>
      </c>
      <c r="Y232" s="53">
        <v>-3.4359999999999999</v>
      </c>
      <c r="Z232" s="53">
        <v>-30.475000000000001</v>
      </c>
      <c r="AA232" s="55">
        <v>-23.872</v>
      </c>
      <c r="AB232" s="53">
        <v>-11.916</v>
      </c>
      <c r="AC232" s="53">
        <v>-43.798999999999999</v>
      </c>
      <c r="AD232" s="53">
        <v>9.51</v>
      </c>
      <c r="AE232" s="53">
        <v>6.2880000000000038</v>
      </c>
      <c r="AF232" s="53">
        <v>-33.826999999999998</v>
      </c>
      <c r="AG232" s="53">
        <v>-12.633000000000003</v>
      </c>
      <c r="AH232" s="53">
        <v>35.117000000000004</v>
      </c>
      <c r="AI232" s="136">
        <v>1.1379999999999981</v>
      </c>
      <c r="AJ232" s="53">
        <v>-25.588999999999999</v>
      </c>
      <c r="AK232" s="53">
        <v>-55.379999999999995</v>
      </c>
      <c r="AL232" s="53">
        <f>-95.616-AJ232-AK232</f>
        <v>-14.647000000000006</v>
      </c>
      <c r="AM232" s="53">
        <f>-148.898-AJ232-AK232-AL232</f>
        <v>-53.281999999999996</v>
      </c>
      <c r="AN232" s="55">
        <v>-83.953999999999994</v>
      </c>
      <c r="AO232" s="55">
        <v>-369.10699999999997</v>
      </c>
      <c r="AP232" s="55">
        <v>-255.62299999999999</v>
      </c>
      <c r="AQ232" s="55">
        <v>-81.389999999999986</v>
      </c>
      <c r="AR232" s="55">
        <v>-123.88200000000001</v>
      </c>
      <c r="AS232" s="63"/>
      <c r="AT232" s="53">
        <f t="shared" si="192"/>
        <v>17.98</v>
      </c>
      <c r="AU232" s="53">
        <f t="shared" si="193"/>
        <v>-32.872</v>
      </c>
      <c r="AV232" s="53">
        <f t="shared" si="194"/>
        <v>57.417000000000002</v>
      </c>
      <c r="AW232" s="53">
        <f t="shared" si="195"/>
        <v>-35.030999999999992</v>
      </c>
      <c r="AX232" s="53">
        <f t="shared" si="196"/>
        <v>-95.134</v>
      </c>
      <c r="AY232" s="53">
        <f t="shared" si="197"/>
        <v>-39.917000000000002</v>
      </c>
      <c r="AZ232" s="53">
        <f t="shared" si="198"/>
        <v>-10.204999999999998</v>
      </c>
      <c r="BA232" s="53">
        <f t="shared" si="199"/>
        <v>-148.898</v>
      </c>
      <c r="BB232" s="53">
        <f t="shared" si="170"/>
        <v>-790.07399999999996</v>
      </c>
      <c r="BC232" s="37"/>
      <c r="BD232" s="37"/>
      <c r="BE232" s="37"/>
    </row>
    <row r="233" spans="2:57" ht="14.25" outlineLevel="1">
      <c r="B233" s="14" t="s">
        <v>189</v>
      </c>
      <c r="C233" s="83" t="s">
        <v>71</v>
      </c>
      <c r="D233" s="53"/>
      <c r="E233" s="53"/>
      <c r="F233" s="53"/>
      <c r="G233" s="53"/>
      <c r="H233" s="53">
        <v>-5.67</v>
      </c>
      <c r="I233" s="53">
        <v>-11.345999999999998</v>
      </c>
      <c r="J233" s="53">
        <v>3.3829999999999991</v>
      </c>
      <c r="K233" s="53">
        <v>21.966999999999999</v>
      </c>
      <c r="L233" s="53">
        <v>-8.6940000000000008</v>
      </c>
      <c r="M233" s="53">
        <v>-17.7</v>
      </c>
      <c r="N233" s="53">
        <v>0.97399999999999665</v>
      </c>
      <c r="O233" s="53">
        <v>-4.4089999999999989</v>
      </c>
      <c r="P233" s="53">
        <v>-3.0430000000000001</v>
      </c>
      <c r="Q233" s="53">
        <v>-2.8570000000000002</v>
      </c>
      <c r="R233" s="53">
        <v>14.698999999999998</v>
      </c>
      <c r="S233" s="53">
        <v>-52.070999999999998</v>
      </c>
      <c r="T233" s="53">
        <v>8.9039999999999999</v>
      </c>
      <c r="U233" s="53">
        <v>-2.6289999999999996</v>
      </c>
      <c r="V233" s="53">
        <v>-16.992000000000004</v>
      </c>
      <c r="W233" s="53">
        <v>-52.853999999999985</v>
      </c>
      <c r="X233" s="85">
        <v>-48.447000000000003</v>
      </c>
      <c r="Y233" s="53">
        <v>-274.3</v>
      </c>
      <c r="Z233" s="53">
        <v>-131.17699999999996</v>
      </c>
      <c r="AA233" s="55">
        <v>36.729999999999961</v>
      </c>
      <c r="AB233" s="53">
        <v>-229.71700000000001</v>
      </c>
      <c r="AC233" s="53">
        <v>-7.9690000000000003</v>
      </c>
      <c r="AD233" s="53">
        <v>-21.806000000000004</v>
      </c>
      <c r="AE233" s="53">
        <v>102.74200000000002</v>
      </c>
      <c r="AF233" s="53">
        <v>26.602</v>
      </c>
      <c r="AG233" s="53">
        <v>-95.96</v>
      </c>
      <c r="AH233" s="53">
        <v>90.933999999999997</v>
      </c>
      <c r="AI233" s="136">
        <v>52.975999999999999</v>
      </c>
      <c r="AJ233" s="55">
        <v>-12.832000000000001</v>
      </c>
      <c r="AK233" s="55">
        <v>-145.63399999999999</v>
      </c>
      <c r="AL233" s="55">
        <f>-334.959-AJ233-AK233</f>
        <v>-176.49300000000002</v>
      </c>
      <c r="AM233" s="55">
        <f>-114.2-AJ233-AK233-AL233</f>
        <v>220.75900000000001</v>
      </c>
      <c r="AN233" s="53">
        <v>-114.821</v>
      </c>
      <c r="AO233" s="53">
        <v>-22.018999999999998</v>
      </c>
      <c r="AP233" s="53">
        <v>-162.196</v>
      </c>
      <c r="AQ233" s="53">
        <v>-79.810999999999979</v>
      </c>
      <c r="AR233" s="55">
        <v>-103.53</v>
      </c>
      <c r="AS233" s="63"/>
      <c r="AT233" s="53">
        <f t="shared" si="192"/>
        <v>8.3339999999999996</v>
      </c>
      <c r="AU233" s="53">
        <f t="shared" si="193"/>
        <v>-29.829000000000001</v>
      </c>
      <c r="AV233" s="53">
        <f t="shared" si="194"/>
        <v>-43.271999999999998</v>
      </c>
      <c r="AW233" s="53">
        <f t="shared" si="195"/>
        <v>-63.570999999999991</v>
      </c>
      <c r="AX233" s="55">
        <f t="shared" si="196"/>
        <v>-417.19400000000002</v>
      </c>
      <c r="AY233" s="53">
        <f t="shared" si="197"/>
        <v>-156.75</v>
      </c>
      <c r="AZ233" s="53">
        <f t="shared" si="198"/>
        <v>74.552000000000007</v>
      </c>
      <c r="BA233" s="53">
        <f t="shared" si="199"/>
        <v>-114.19999999999999</v>
      </c>
      <c r="BB233" s="53">
        <f t="shared" si="170"/>
        <v>-378.84699999999998</v>
      </c>
      <c r="BC233" s="37"/>
      <c r="BD233" s="37"/>
      <c r="BE233" s="37"/>
    </row>
    <row r="234" spans="2:57" ht="14.25" outlineLevel="2">
      <c r="B234" s="14" t="s">
        <v>252</v>
      </c>
      <c r="C234" s="83" t="s">
        <v>71</v>
      </c>
      <c r="D234" s="53"/>
      <c r="E234" s="53"/>
      <c r="F234" s="53"/>
      <c r="G234" s="53"/>
      <c r="H234" s="53">
        <v>-43.165999999999997</v>
      </c>
      <c r="I234" s="53">
        <v>-73</v>
      </c>
      <c r="J234" s="53">
        <v>-55.254999999999995</v>
      </c>
      <c r="K234" s="53">
        <v>-63.573000000000008</v>
      </c>
      <c r="L234" s="53">
        <v>-76.135000000000005</v>
      </c>
      <c r="M234" s="53">
        <v>-101.4</v>
      </c>
      <c r="N234" s="53">
        <v>-75.232999999999976</v>
      </c>
      <c r="O234" s="53">
        <v>-83.323999999999984</v>
      </c>
      <c r="P234" s="53">
        <v>-46.728000000000002</v>
      </c>
      <c r="Q234" s="53">
        <v>-107.84399999999999</v>
      </c>
      <c r="R234" s="53">
        <v>-110.48000000000002</v>
      </c>
      <c r="S234" s="53">
        <v>-76.731999999999971</v>
      </c>
      <c r="T234" s="53">
        <v>-83.599000000000004</v>
      </c>
      <c r="U234" s="53">
        <v>-134.762</v>
      </c>
      <c r="V234" s="53">
        <v>-200.02800000000002</v>
      </c>
      <c r="W234" s="53">
        <v>-155.73500000000001</v>
      </c>
      <c r="X234" s="53">
        <v>-101.852</v>
      </c>
      <c r="Y234" s="53">
        <v>-129.75899999999999</v>
      </c>
      <c r="Z234" s="53">
        <v>-95.875</v>
      </c>
      <c r="AA234" s="55">
        <v>-54.509999999999991</v>
      </c>
      <c r="AB234" s="53">
        <v>-33.252000000000002</v>
      </c>
      <c r="AC234" s="53">
        <v>-21.137</v>
      </c>
      <c r="AD234" s="53">
        <v>-10.944000000000001</v>
      </c>
      <c r="AE234" s="53">
        <v>-6.695999999999998</v>
      </c>
      <c r="AF234" s="53">
        <v>-36.323999999999998</v>
      </c>
      <c r="AG234" s="53">
        <v>-101.05</v>
      </c>
      <c r="AH234" s="53">
        <v>-46.738</v>
      </c>
      <c r="AI234" s="136">
        <v>-30.526000000000025</v>
      </c>
      <c r="AJ234" s="55">
        <v>-93.873999999999995</v>
      </c>
      <c r="AK234" s="55">
        <v>-46.721000000000004</v>
      </c>
      <c r="AL234" s="55">
        <f>-189.323-AJ234-AK234</f>
        <v>-48.728000000000009</v>
      </c>
      <c r="AM234" s="55">
        <f>-250.608-AJ234-AK234-AL234</f>
        <v>-61.284999999999997</v>
      </c>
      <c r="AN234" s="55">
        <v>-104.589</v>
      </c>
      <c r="AO234" s="55">
        <v>-6.9379999999999997</v>
      </c>
      <c r="AP234" s="55">
        <v>-8.6470000000000056</v>
      </c>
      <c r="AQ234" s="55">
        <v>-4.5060000000000002</v>
      </c>
      <c r="AR234" s="55">
        <v>-17.843</v>
      </c>
      <c r="AS234" s="63"/>
      <c r="AT234" s="53">
        <f t="shared" si="192"/>
        <v>-234.994</v>
      </c>
      <c r="AU234" s="53">
        <f t="shared" si="193"/>
        <v>-336.09199999999998</v>
      </c>
      <c r="AV234" s="53">
        <f t="shared" si="194"/>
        <v>-341.78399999999999</v>
      </c>
      <c r="AW234" s="53">
        <f t="shared" si="195"/>
        <v>-574.12400000000002</v>
      </c>
      <c r="AX234" s="55">
        <f t="shared" si="196"/>
        <v>-381.99599999999998</v>
      </c>
      <c r="AY234" s="53">
        <f t="shared" si="197"/>
        <v>-72.028999999999996</v>
      </c>
      <c r="AZ234" s="53">
        <f t="shared" si="198"/>
        <v>-214.63800000000003</v>
      </c>
      <c r="BA234" s="53">
        <f t="shared" si="199"/>
        <v>-250.608</v>
      </c>
      <c r="BB234" s="53">
        <f t="shared" si="170"/>
        <v>-124.68</v>
      </c>
      <c r="BC234" s="37"/>
      <c r="BD234" s="37"/>
      <c r="BE234" s="37"/>
    </row>
    <row r="235" spans="2:57" ht="14.25" outlineLevel="2">
      <c r="B235" s="14" t="s">
        <v>193</v>
      </c>
      <c r="C235" s="83" t="s">
        <v>71</v>
      </c>
      <c r="D235" s="53"/>
      <c r="E235" s="53"/>
      <c r="F235" s="53"/>
      <c r="G235" s="53"/>
      <c r="H235" s="53">
        <v>0</v>
      </c>
      <c r="I235" s="53">
        <v>0</v>
      </c>
      <c r="J235" s="53">
        <v>0</v>
      </c>
      <c r="K235" s="53">
        <v>0</v>
      </c>
      <c r="L235" s="53">
        <v>0</v>
      </c>
      <c r="M235" s="53">
        <v>0</v>
      </c>
      <c r="N235" s="53">
        <v>0</v>
      </c>
      <c r="O235" s="53">
        <v>0</v>
      </c>
      <c r="P235" s="53">
        <v>0</v>
      </c>
      <c r="Q235" s="53">
        <v>0</v>
      </c>
      <c r="R235" s="53">
        <v>0</v>
      </c>
      <c r="S235" s="53">
        <v>0</v>
      </c>
      <c r="T235" s="53">
        <v>0</v>
      </c>
      <c r="U235" s="53">
        <v>0</v>
      </c>
      <c r="V235" s="53">
        <v>0</v>
      </c>
      <c r="W235" s="53">
        <v>0</v>
      </c>
      <c r="X235" s="85">
        <v>-9.8989999999999991</v>
      </c>
      <c r="Y235" s="53">
        <v>-11.212</v>
      </c>
      <c r="Z235" s="53">
        <v>0</v>
      </c>
      <c r="AA235" s="55">
        <v>-34.987000000000002</v>
      </c>
      <c r="AB235" s="53">
        <v>-25.065999999999999</v>
      </c>
      <c r="AC235" s="53">
        <v>-35.220999999999997</v>
      </c>
      <c r="AD235" s="53">
        <v>-38.981999999999999</v>
      </c>
      <c r="AE235" s="53">
        <v>-63.402000000000001</v>
      </c>
      <c r="AF235" s="53">
        <v>-41.9</v>
      </c>
      <c r="AG235" s="53">
        <v>-58.899000000000008</v>
      </c>
      <c r="AH235" s="53">
        <v>-150.62099999999998</v>
      </c>
      <c r="AI235" s="136">
        <v>-52.547000000000025</v>
      </c>
      <c r="AJ235" s="53">
        <v>-49.875</v>
      </c>
      <c r="AK235" s="53">
        <v>-73.968000000000004</v>
      </c>
      <c r="AL235" s="53">
        <f>-210.463-AJ235-AK235</f>
        <v>-86.61999999999999</v>
      </c>
      <c r="AM235" s="53">
        <f>-599.572-AJ235-AK235-AL235</f>
        <v>-389.10899999999998</v>
      </c>
      <c r="AN235" s="53">
        <v>-45.686</v>
      </c>
      <c r="AO235" s="53">
        <v>-96.47</v>
      </c>
      <c r="AP235" s="53">
        <v>-168.98199999999997</v>
      </c>
      <c r="AQ235" s="53">
        <v>-148.233</v>
      </c>
      <c r="AR235" s="53">
        <v>-215.613</v>
      </c>
      <c r="AS235" s="63"/>
      <c r="AT235" s="53">
        <f t="shared" si="192"/>
        <v>0</v>
      </c>
      <c r="AU235" s="53">
        <f t="shared" si="193"/>
        <v>0</v>
      </c>
      <c r="AV235" s="53">
        <f t="shared" si="194"/>
        <v>0</v>
      </c>
      <c r="AW235" s="53">
        <f t="shared" si="195"/>
        <v>0</v>
      </c>
      <c r="AX235" s="55">
        <f t="shared" si="196"/>
        <v>-56.097999999999999</v>
      </c>
      <c r="AY235" s="53">
        <f t="shared" si="197"/>
        <v>-162.67099999999999</v>
      </c>
      <c r="AZ235" s="53">
        <f t="shared" si="198"/>
        <v>-303.96699999999998</v>
      </c>
      <c r="BA235" s="53">
        <f>SUM(AJ235:AM235)</f>
        <v>-599.572</v>
      </c>
      <c r="BB235" s="53">
        <f t="shared" si="170"/>
        <v>-459.37099999999998</v>
      </c>
      <c r="BC235" s="37"/>
      <c r="BD235" s="37"/>
      <c r="BE235" s="37"/>
    </row>
    <row r="236" spans="2:57" ht="13.5" outlineLevel="2">
      <c r="B236" s="10" t="s">
        <v>253</v>
      </c>
      <c r="C236" s="10" t="s">
        <v>71</v>
      </c>
      <c r="D236" s="53"/>
      <c r="E236" s="53"/>
      <c r="F236" s="53"/>
      <c r="G236" s="53"/>
      <c r="H236" s="57">
        <f t="shared" ref="H236:AP236" si="200">H227+H218+H183+H182</f>
        <v>175.41825134745793</v>
      </c>
      <c r="I236" s="57">
        <f t="shared" si="200"/>
        <v>76.515594335257106</v>
      </c>
      <c r="J236" s="57">
        <f t="shared" si="200"/>
        <v>185.76848304249199</v>
      </c>
      <c r="K236" s="57">
        <f t="shared" si="200"/>
        <v>180.82503008479301</v>
      </c>
      <c r="L236" s="57">
        <f t="shared" si="200"/>
        <v>164.91712802851561</v>
      </c>
      <c r="M236" s="57">
        <f t="shared" si="200"/>
        <v>149.42805760076294</v>
      </c>
      <c r="N236" s="57">
        <f t="shared" si="200"/>
        <v>62.579388312373212</v>
      </c>
      <c r="O236" s="57">
        <f t="shared" si="200"/>
        <v>139.77019430683742</v>
      </c>
      <c r="P236" s="57">
        <f t="shared" si="200"/>
        <v>229.95800000000008</v>
      </c>
      <c r="Q236" s="57">
        <f t="shared" si="200"/>
        <v>145.48799999999977</v>
      </c>
      <c r="R236" s="57">
        <f t="shared" si="200"/>
        <v>256.74000000000018</v>
      </c>
      <c r="S236" s="57">
        <f t="shared" si="200"/>
        <v>24.593000000000245</v>
      </c>
      <c r="T236" s="57">
        <f t="shared" si="200"/>
        <v>347.16199999999935</v>
      </c>
      <c r="U236" s="57">
        <f t="shared" si="200"/>
        <v>544.11600000000021</v>
      </c>
      <c r="V236" s="57">
        <f t="shared" si="200"/>
        <v>283.59500000000077</v>
      </c>
      <c r="W236" s="57">
        <f t="shared" si="200"/>
        <v>150.76199999999869</v>
      </c>
      <c r="X236" s="57">
        <f t="shared" si="200"/>
        <v>241.56299999999962</v>
      </c>
      <c r="Y236" s="57">
        <f t="shared" si="200"/>
        <v>-262.67600000000004</v>
      </c>
      <c r="Z236" s="57">
        <f t="shared" si="200"/>
        <v>163.61999999999978</v>
      </c>
      <c r="AA236" s="57">
        <f t="shared" si="200"/>
        <v>108.98700000000017</v>
      </c>
      <c r="AB236" s="57">
        <f t="shared" si="200"/>
        <v>226.35099999999983</v>
      </c>
      <c r="AC236" s="57">
        <f t="shared" si="200"/>
        <v>244.59599999999898</v>
      </c>
      <c r="AD236" s="57">
        <f t="shared" si="200"/>
        <v>342.20300000000179</v>
      </c>
      <c r="AE236" s="57">
        <f t="shared" si="200"/>
        <v>158.75829999999968</v>
      </c>
      <c r="AF236" s="57">
        <f t="shared" si="200"/>
        <v>674.49600000000066</v>
      </c>
      <c r="AG236" s="57">
        <f t="shared" si="200"/>
        <v>357.53599999999926</v>
      </c>
      <c r="AH236" s="57">
        <f t="shared" si="200"/>
        <v>775.70100000000127</v>
      </c>
      <c r="AI236" s="57">
        <f t="shared" si="200"/>
        <v>523.12750096783873</v>
      </c>
      <c r="AJ236" s="57">
        <f t="shared" si="200"/>
        <v>918.72379250999734</v>
      </c>
      <c r="AK236" s="57">
        <f t="shared" si="200"/>
        <v>516.15189063999981</v>
      </c>
      <c r="AL236" s="57">
        <f t="shared" si="200"/>
        <v>688.41686254245292</v>
      </c>
      <c r="AM236" s="57">
        <f t="shared" si="200"/>
        <v>561.95052823552055</v>
      </c>
      <c r="AN236" s="57">
        <f t="shared" si="200"/>
        <v>885.01626157325461</v>
      </c>
      <c r="AO236" s="57">
        <f t="shared" si="200"/>
        <v>648.96996458754381</v>
      </c>
      <c r="AP236" s="57">
        <f t="shared" si="200"/>
        <v>277.38885333680241</v>
      </c>
      <c r="AQ236" s="57">
        <f>AQ227+AQ218+AQ183+AQ182</f>
        <v>286.77039271766665</v>
      </c>
      <c r="AR236" s="57">
        <f>AR227+AR218+AR183+AR182</f>
        <v>626.28874735000034</v>
      </c>
      <c r="AS236" s="63"/>
      <c r="AT236" s="57">
        <f t="shared" si="192"/>
        <v>618.52735881000012</v>
      </c>
      <c r="AU236" s="57">
        <f t="shared" si="193"/>
        <v>516.69476824848925</v>
      </c>
      <c r="AV236" s="57">
        <f t="shared" si="194"/>
        <v>656.77900000000022</v>
      </c>
      <c r="AW236" s="57">
        <f t="shared" si="195"/>
        <v>1325.6349999999989</v>
      </c>
      <c r="AX236" s="57">
        <f t="shared" si="196"/>
        <v>251.49399999999952</v>
      </c>
      <c r="AY236" s="57">
        <f>SUM(AB236:AE236)</f>
        <v>971.90830000000028</v>
      </c>
      <c r="AZ236" s="57">
        <f>SUM(AF236:AI236)</f>
        <v>2330.8605009678399</v>
      </c>
      <c r="BA236" s="57">
        <f>BA227+BA218+BA183+BA182</f>
        <v>2682.8150739279699</v>
      </c>
      <c r="BB236" s="57">
        <f t="shared" si="170"/>
        <v>2098.1454722152675</v>
      </c>
      <c r="BC236" s="37"/>
      <c r="BD236" s="37"/>
      <c r="BE236" s="37"/>
    </row>
    <row r="237" spans="2:57" ht="13.5" outlineLevel="1">
      <c r="B237" s="2" t="s">
        <v>254</v>
      </c>
      <c r="C237" s="2" t="s">
        <v>71</v>
      </c>
      <c r="D237" s="75"/>
      <c r="E237" s="75"/>
      <c r="F237" s="75"/>
      <c r="G237" s="75"/>
      <c r="H237" s="75">
        <v>0</v>
      </c>
      <c r="I237" s="75">
        <v>0</v>
      </c>
      <c r="J237" s="75">
        <v>0</v>
      </c>
      <c r="K237" s="75">
        <v>0</v>
      </c>
      <c r="L237" s="75">
        <v>0</v>
      </c>
      <c r="M237" s="75">
        <v>0</v>
      </c>
      <c r="N237" s="75">
        <v>0</v>
      </c>
      <c r="O237" s="75">
        <v>0</v>
      </c>
      <c r="P237" s="75">
        <v>0</v>
      </c>
      <c r="Q237" s="75">
        <v>0</v>
      </c>
      <c r="R237" s="75">
        <v>0</v>
      </c>
      <c r="S237" s="75">
        <v>0</v>
      </c>
      <c r="T237" s="75">
        <v>0</v>
      </c>
      <c r="U237" s="75">
        <v>0</v>
      </c>
      <c r="V237" s="75">
        <v>0</v>
      </c>
      <c r="W237" s="75">
        <v>0</v>
      </c>
      <c r="X237" s="75">
        <v>0</v>
      </c>
      <c r="Y237" s="75">
        <v>0</v>
      </c>
      <c r="Z237" s="75">
        <v>0</v>
      </c>
      <c r="AA237" s="75">
        <v>0</v>
      </c>
      <c r="AB237" s="75">
        <v>0</v>
      </c>
      <c r="AC237" s="75">
        <v>0</v>
      </c>
      <c r="AD237" s="75">
        <v>0</v>
      </c>
      <c r="AE237" s="75">
        <v>0</v>
      </c>
      <c r="AF237" s="75">
        <v>0</v>
      </c>
      <c r="AG237" s="75">
        <v>-10.074</v>
      </c>
      <c r="AH237" s="75">
        <v>11.843</v>
      </c>
      <c r="AI237" s="75">
        <v>2.0359999999999996</v>
      </c>
      <c r="AJ237" s="75">
        <v>5.6210000000000004</v>
      </c>
      <c r="AK237" s="75">
        <v>0</v>
      </c>
      <c r="AL237" s="75">
        <f>5.621-AJ237-AK237</f>
        <v>0</v>
      </c>
      <c r="AM237" s="75">
        <f>5.621-AJ237-AK237-AL237</f>
        <v>0</v>
      </c>
      <c r="AN237" s="53">
        <v>0</v>
      </c>
      <c r="AO237" s="75">
        <v>-9.6039999999999992</v>
      </c>
      <c r="AP237" s="75">
        <v>0</v>
      </c>
      <c r="AQ237" s="75">
        <v>0</v>
      </c>
      <c r="AR237" s="75">
        <v>0</v>
      </c>
      <c r="AS237" s="63"/>
      <c r="AT237" s="53">
        <f t="shared" si="192"/>
        <v>0</v>
      </c>
      <c r="AU237" s="53">
        <f t="shared" si="193"/>
        <v>0</v>
      </c>
      <c r="AV237" s="53">
        <f t="shared" si="194"/>
        <v>0</v>
      </c>
      <c r="AW237" s="53">
        <f t="shared" si="195"/>
        <v>0</v>
      </c>
      <c r="AX237" s="53">
        <f t="shared" si="196"/>
        <v>0</v>
      </c>
      <c r="AY237" s="53">
        <f t="shared" si="197"/>
        <v>0</v>
      </c>
      <c r="AZ237" s="53">
        <f>SUM(AF237:AI237)</f>
        <v>3.8049999999999997</v>
      </c>
      <c r="BA237" s="53">
        <f>SUM(AJ237:AM237)</f>
        <v>5.6210000000000004</v>
      </c>
      <c r="BB237" s="53">
        <f t="shared" si="170"/>
        <v>-9.6039999999999992</v>
      </c>
      <c r="BC237" s="37"/>
      <c r="BD237" s="37"/>
      <c r="BE237" s="37"/>
    </row>
    <row r="238" spans="2:57" ht="13.5" outlineLevel="1">
      <c r="B238" s="10" t="s">
        <v>255</v>
      </c>
      <c r="C238" s="10" t="s">
        <v>71</v>
      </c>
      <c r="D238" s="57"/>
      <c r="E238" s="57"/>
      <c r="F238" s="57"/>
      <c r="G238" s="57"/>
      <c r="H238" s="57">
        <f t="shared" ref="H238:AD238" si="201">SUM(H236,H237)</f>
        <v>175.41825134745793</v>
      </c>
      <c r="I238" s="57">
        <f t="shared" si="201"/>
        <v>76.515594335257106</v>
      </c>
      <c r="J238" s="57">
        <f t="shared" si="201"/>
        <v>185.76848304249199</v>
      </c>
      <c r="K238" s="57">
        <f t="shared" si="201"/>
        <v>180.82503008479301</v>
      </c>
      <c r="L238" s="57">
        <f t="shared" si="201"/>
        <v>164.91712802851561</v>
      </c>
      <c r="M238" s="57">
        <f t="shared" si="201"/>
        <v>149.42805760076294</v>
      </c>
      <c r="N238" s="57">
        <f t="shared" si="201"/>
        <v>62.579388312373212</v>
      </c>
      <c r="O238" s="57">
        <f t="shared" si="201"/>
        <v>139.77019430683742</v>
      </c>
      <c r="P238" s="57">
        <f t="shared" si="201"/>
        <v>229.95800000000008</v>
      </c>
      <c r="Q238" s="57">
        <f t="shared" si="201"/>
        <v>145.48799999999977</v>
      </c>
      <c r="R238" s="57">
        <f t="shared" si="201"/>
        <v>256.74000000000018</v>
      </c>
      <c r="S238" s="57">
        <f t="shared" si="201"/>
        <v>24.593000000000245</v>
      </c>
      <c r="T238" s="57">
        <f t="shared" si="201"/>
        <v>347.16199999999935</v>
      </c>
      <c r="U238" s="57">
        <f t="shared" si="201"/>
        <v>544.11600000000021</v>
      </c>
      <c r="V238" s="57">
        <f t="shared" si="201"/>
        <v>283.59500000000077</v>
      </c>
      <c r="W238" s="57">
        <f t="shared" si="201"/>
        <v>150.76199999999869</v>
      </c>
      <c r="X238" s="57">
        <f t="shared" si="201"/>
        <v>241.56299999999962</v>
      </c>
      <c r="Y238" s="57">
        <f t="shared" si="201"/>
        <v>-262.67600000000004</v>
      </c>
      <c r="Z238" s="57">
        <f t="shared" si="201"/>
        <v>163.61999999999978</v>
      </c>
      <c r="AA238" s="57">
        <f t="shared" si="201"/>
        <v>108.98700000000017</v>
      </c>
      <c r="AB238" s="57">
        <f t="shared" si="201"/>
        <v>226.35099999999983</v>
      </c>
      <c r="AC238" s="57">
        <f t="shared" si="201"/>
        <v>244.59599999999898</v>
      </c>
      <c r="AD238" s="57">
        <f t="shared" si="201"/>
        <v>342.20300000000179</v>
      </c>
      <c r="AE238" s="57">
        <f t="shared" ref="AE238:AQ238" si="202">SUM(AE236,AE237)</f>
        <v>158.75829999999968</v>
      </c>
      <c r="AF238" s="57">
        <f t="shared" si="202"/>
        <v>674.49600000000066</v>
      </c>
      <c r="AG238" s="57">
        <f t="shared" si="202"/>
        <v>347.46199999999925</v>
      </c>
      <c r="AH238" s="57">
        <f t="shared" si="202"/>
        <v>787.54400000000123</v>
      </c>
      <c r="AI238" s="57">
        <f t="shared" si="202"/>
        <v>525.16350096783867</v>
      </c>
      <c r="AJ238" s="57">
        <f t="shared" si="202"/>
        <v>924.34479250999732</v>
      </c>
      <c r="AK238" s="57">
        <f t="shared" si="202"/>
        <v>516.15189063999981</v>
      </c>
      <c r="AL238" s="57">
        <f t="shared" si="202"/>
        <v>688.41686254245292</v>
      </c>
      <c r="AM238" s="57">
        <f t="shared" si="202"/>
        <v>561.95052823552055</v>
      </c>
      <c r="AN238" s="57">
        <f t="shared" si="202"/>
        <v>885.01626157325461</v>
      </c>
      <c r="AO238" s="57">
        <f t="shared" si="202"/>
        <v>639.36596458754377</v>
      </c>
      <c r="AP238" s="57">
        <f t="shared" si="202"/>
        <v>277.38885333680241</v>
      </c>
      <c r="AQ238" s="57">
        <f t="shared" si="202"/>
        <v>286.77039271766665</v>
      </c>
      <c r="AR238" s="57">
        <f>SUM(AR236,AR237)</f>
        <v>626.28874735000034</v>
      </c>
      <c r="AS238" s="63"/>
      <c r="AT238" s="57">
        <f t="shared" ref="AT238:BA238" si="203">SUM(AT236,AT237)</f>
        <v>618.52735881000012</v>
      </c>
      <c r="AU238" s="57">
        <f t="shared" si="203"/>
        <v>516.69476824848925</v>
      </c>
      <c r="AV238" s="57">
        <f t="shared" si="203"/>
        <v>656.77900000000022</v>
      </c>
      <c r="AW238" s="57">
        <f t="shared" si="203"/>
        <v>1325.6349999999989</v>
      </c>
      <c r="AX238" s="57">
        <f t="shared" si="203"/>
        <v>251.49399999999952</v>
      </c>
      <c r="AY238" s="57">
        <f t="shared" si="203"/>
        <v>971.90830000000028</v>
      </c>
      <c r="AZ238" s="57">
        <f t="shared" si="203"/>
        <v>2334.6655009678398</v>
      </c>
      <c r="BA238" s="57">
        <f t="shared" si="203"/>
        <v>2688.43607392797</v>
      </c>
      <c r="BB238" s="57">
        <f t="shared" si="170"/>
        <v>2088.5414722152673</v>
      </c>
      <c r="BC238" s="37"/>
      <c r="BD238" s="37"/>
      <c r="BE238" s="37"/>
    </row>
    <row r="239" spans="2:57" ht="13.5" outlineLevel="2">
      <c r="B239" s="10" t="s">
        <v>256</v>
      </c>
      <c r="C239" s="82" t="s">
        <v>71</v>
      </c>
      <c r="D239" s="57"/>
      <c r="E239" s="57"/>
      <c r="F239" s="57"/>
      <c r="G239" s="57"/>
      <c r="H239" s="57">
        <f t="shared" ref="H239:AD239" si="204">SUM(H240:H249)</f>
        <v>-149.53200000000001</v>
      </c>
      <c r="I239" s="57">
        <f t="shared" si="204"/>
        <v>32.554000000000023</v>
      </c>
      <c r="J239" s="57">
        <f t="shared" si="204"/>
        <v>-158.87</v>
      </c>
      <c r="K239" s="57">
        <f t="shared" si="204"/>
        <v>-133.14699999999999</v>
      </c>
      <c r="L239" s="57">
        <f t="shared" si="204"/>
        <v>149.279</v>
      </c>
      <c r="M239" s="57">
        <f t="shared" si="204"/>
        <v>-2507.1999999999998</v>
      </c>
      <c r="N239" s="57">
        <f t="shared" si="204"/>
        <v>268.19399999999933</v>
      </c>
      <c r="O239" s="57">
        <f t="shared" si="204"/>
        <v>-49.104999999999606</v>
      </c>
      <c r="P239" s="57">
        <f t="shared" si="204"/>
        <v>-258.34500000000003</v>
      </c>
      <c r="Q239" s="57">
        <f t="shared" si="204"/>
        <v>60.397000000000048</v>
      </c>
      <c r="R239" s="57">
        <f t="shared" si="204"/>
        <v>-4761.6849999999995</v>
      </c>
      <c r="S239" s="57">
        <f t="shared" si="204"/>
        <v>60.936999999999898</v>
      </c>
      <c r="T239" s="57">
        <f t="shared" si="204"/>
        <v>33.900000000000006</v>
      </c>
      <c r="U239" s="57">
        <f t="shared" si="204"/>
        <v>-797.17499999999995</v>
      </c>
      <c r="V239" s="57">
        <f t="shared" si="204"/>
        <v>-40.215999999999973</v>
      </c>
      <c r="W239" s="57">
        <f t="shared" si="204"/>
        <v>-134.28200000000004</v>
      </c>
      <c r="X239" s="57">
        <f t="shared" si="204"/>
        <v>-129.26000000000002</v>
      </c>
      <c r="Y239" s="57">
        <f t="shared" si="204"/>
        <v>-1345.4479999999999</v>
      </c>
      <c r="Z239" s="57">
        <f t="shared" si="204"/>
        <v>491.32500466000027</v>
      </c>
      <c r="AA239" s="57">
        <f t="shared" si="204"/>
        <v>-3394.5581638885205</v>
      </c>
      <c r="AB239" s="57">
        <f t="shared" si="204"/>
        <v>1892.4590000000007</v>
      </c>
      <c r="AC239" s="57">
        <f t="shared" si="204"/>
        <v>-886.95699999999988</v>
      </c>
      <c r="AD239" s="57">
        <f t="shared" si="204"/>
        <v>809.30499999999961</v>
      </c>
      <c r="AE239" s="57">
        <f>SUM(AE240:AE249)</f>
        <v>285.08100000000115</v>
      </c>
      <c r="AF239" s="57">
        <f>SUM(AF240:AF249)</f>
        <v>-1169.259</v>
      </c>
      <c r="AG239" s="57">
        <f>SUM(AG240:AG249)</f>
        <v>-331.19699999999966</v>
      </c>
      <c r="AH239" s="57">
        <f>SUM(AH240:AH249)</f>
        <v>505.05599999999856</v>
      </c>
      <c r="AI239" s="57">
        <f t="shared" ref="AI239:AN239" si="205">SUM(AI240:AI249)</f>
        <v>146.89900000000091</v>
      </c>
      <c r="AJ239" s="57">
        <f t="shared" si="205"/>
        <v>-383.404</v>
      </c>
      <c r="AK239" s="57">
        <f t="shared" si="205"/>
        <v>-964.21900000000005</v>
      </c>
      <c r="AL239" s="57">
        <f t="shared" si="205"/>
        <v>513.11800000000017</v>
      </c>
      <c r="AM239" s="57">
        <f t="shared" si="205"/>
        <v>-1361.6910000000003</v>
      </c>
      <c r="AN239" s="57">
        <f t="shared" si="205"/>
        <v>-725.94499999999994</v>
      </c>
      <c r="AO239" s="57">
        <f>SUM(AO240:AO250)</f>
        <v>301.34799999999984</v>
      </c>
      <c r="AP239" s="57">
        <f>SUM(AP240:AP250)</f>
        <v>173.33700000000002</v>
      </c>
      <c r="AQ239" s="57">
        <f>SUM(AQ240:AQ250)</f>
        <v>1706.8340000000003</v>
      </c>
      <c r="AR239" s="57">
        <f>SUM(AR240:AR250)</f>
        <v>-395.95</v>
      </c>
      <c r="AS239" s="63"/>
      <c r="AT239" s="57">
        <f t="shared" ref="AT239:BA239" si="206">SUM(AT240:AT249)</f>
        <v>-408.995</v>
      </c>
      <c r="AU239" s="57">
        <f t="shared" si="206"/>
        <v>-2138.8320000000003</v>
      </c>
      <c r="AV239" s="57">
        <f t="shared" si="206"/>
        <v>-4898.6959999999999</v>
      </c>
      <c r="AW239" s="57">
        <f t="shared" si="206"/>
        <v>-937.77299999999991</v>
      </c>
      <c r="AX239" s="57">
        <f t="shared" si="206"/>
        <v>-4377.9411592285196</v>
      </c>
      <c r="AY239" s="57">
        <f t="shared" si="206"/>
        <v>2099.8880000000013</v>
      </c>
      <c r="AZ239" s="57">
        <f t="shared" si="206"/>
        <v>-848.50099999999998</v>
      </c>
      <c r="BA239" s="57">
        <f t="shared" si="206"/>
        <v>-2196.1960000000004</v>
      </c>
      <c r="BB239" s="57">
        <f t="shared" si="170"/>
        <v>1455.5740000000003</v>
      </c>
      <c r="BC239" s="37"/>
      <c r="BD239" s="37"/>
      <c r="BE239" s="37"/>
    </row>
    <row r="240" spans="2:57" outlineLevel="2">
      <c r="B240" s="14" t="s">
        <v>257</v>
      </c>
      <c r="C240" s="83" t="s">
        <v>71</v>
      </c>
      <c r="D240" s="53"/>
      <c r="E240" s="53"/>
      <c r="F240" s="53"/>
      <c r="G240" s="53"/>
      <c r="H240" s="53">
        <v>-0.307</v>
      </c>
      <c r="I240" s="53">
        <v>-0.192</v>
      </c>
      <c r="J240" s="53">
        <v>-0.17100000000000004</v>
      </c>
      <c r="K240" s="53">
        <v>-5.8169999999999993</v>
      </c>
      <c r="L240" s="53">
        <v>0.17100000000000001</v>
      </c>
      <c r="M240" s="53">
        <v>5.6</v>
      </c>
      <c r="N240" s="53">
        <v>7.5000000000000178E-2</v>
      </c>
      <c r="O240" s="53">
        <v>-1.000000000000334E-3</v>
      </c>
      <c r="P240" s="53">
        <v>5.0000000000000001E-3</v>
      </c>
      <c r="Q240" s="53">
        <v>0</v>
      </c>
      <c r="R240" s="53">
        <v>-38.624000000000002</v>
      </c>
      <c r="S240" s="53">
        <v>-4.7959999999999994</v>
      </c>
      <c r="T240" s="53">
        <v>4.7060000000000004</v>
      </c>
      <c r="U240" s="53">
        <v>2.8000000000000001E-2</v>
      </c>
      <c r="V240" s="53">
        <v>-7.2999999999999995E-2</v>
      </c>
      <c r="W240" s="53">
        <v>-1.2790000000000004</v>
      </c>
      <c r="X240" s="53">
        <v>0</v>
      </c>
      <c r="Y240" s="53">
        <v>-112.21899999999999</v>
      </c>
      <c r="Z240" s="53">
        <v>114.72499999999999</v>
      </c>
      <c r="AA240" s="53">
        <v>8.7569999999999997</v>
      </c>
      <c r="AB240" s="53">
        <v>-9.3550000000000004</v>
      </c>
      <c r="AC240" s="53">
        <v>0.14499999999999999</v>
      </c>
      <c r="AD240" s="53">
        <v>3.0000000000000001E-3</v>
      </c>
      <c r="AE240" s="53">
        <v>2.4000000000000909E-2</v>
      </c>
      <c r="AF240" s="53">
        <v>2.4E-2</v>
      </c>
      <c r="AG240" s="53">
        <v>-3.8540000000000001</v>
      </c>
      <c r="AH240" s="53">
        <v>3.8559999999999999</v>
      </c>
      <c r="AI240" s="53">
        <v>-4.3999999999999595E-2</v>
      </c>
      <c r="AJ240" s="53">
        <v>0.27100000000000002</v>
      </c>
      <c r="AK240" s="53">
        <v>-6.0000000000000026E-2</v>
      </c>
      <c r="AL240" s="53">
        <f>0.167-AJ240-AK240</f>
        <v>-4.3999999999999984E-2</v>
      </c>
      <c r="AM240" s="53">
        <f>0.233-AJ240-AK240-AL240</f>
        <v>6.6000000000000003E-2</v>
      </c>
      <c r="AN240" s="53">
        <v>-3.5999999999999997E-2</v>
      </c>
      <c r="AO240" s="53">
        <v>-6.0000000000000053E-3</v>
      </c>
      <c r="AP240" s="53">
        <v>1.262</v>
      </c>
      <c r="AQ240" s="53">
        <v>-1.22</v>
      </c>
      <c r="AR240" s="53">
        <v>0</v>
      </c>
      <c r="AS240" s="63"/>
      <c r="AT240" s="53">
        <f t="shared" ref="AT240:AT250" si="207">SUM(H240:K240)</f>
        <v>-6.4869999999999992</v>
      </c>
      <c r="AU240" s="53">
        <f t="shared" ref="AU240:AU250" si="208">SUM(L240:O240)</f>
        <v>5.8449999999999998</v>
      </c>
      <c r="AV240" s="53">
        <f t="shared" ref="AV240:AV250" si="209">SUM(P240:S240)</f>
        <v>-43.414999999999999</v>
      </c>
      <c r="AW240" s="53">
        <f t="shared" ref="AW240:AW250" si="210">SUM(T240:W240)</f>
        <v>3.3819999999999992</v>
      </c>
      <c r="AX240" s="53">
        <f t="shared" ref="AX240:AX250" si="211">SUM(X240:AA240)</f>
        <v>11.263</v>
      </c>
      <c r="AY240" s="53">
        <f t="shared" ref="AY240:AY250" si="212">SUM(AB240:AE240)</f>
        <v>-9.1829999999999998</v>
      </c>
      <c r="AZ240" s="53">
        <f t="shared" ref="AZ240:AZ250" si="213">SUM(AF240:AI240)</f>
        <v>-1.7999999999999794E-2</v>
      </c>
      <c r="BA240" s="53">
        <f>SUM(AJ240:AM240)</f>
        <v>0.23300000000000001</v>
      </c>
      <c r="BB240" s="53">
        <f t="shared" si="170"/>
        <v>0</v>
      </c>
      <c r="BC240" s="37"/>
      <c r="BD240" s="37"/>
      <c r="BE240" s="37"/>
    </row>
    <row r="241" spans="2:57" outlineLevel="2">
      <c r="B241" s="14" t="s">
        <v>258</v>
      </c>
      <c r="C241" s="83" t="s">
        <v>71</v>
      </c>
      <c r="D241" s="53"/>
      <c r="E241" s="53"/>
      <c r="F241" s="53"/>
      <c r="G241" s="53"/>
      <c r="H241" s="53">
        <v>-25.995000000000001</v>
      </c>
      <c r="I241" s="53">
        <v>-33.036999999999992</v>
      </c>
      <c r="J241" s="53">
        <v>-28.799000000000007</v>
      </c>
      <c r="K241" s="53">
        <v>-29.349000000000004</v>
      </c>
      <c r="L241" s="53">
        <v>-48.957999999999998</v>
      </c>
      <c r="M241" s="53">
        <v>-36.5</v>
      </c>
      <c r="N241" s="53">
        <v>-44.182999999999993</v>
      </c>
      <c r="O241" s="53">
        <v>-31.182000000000016</v>
      </c>
      <c r="P241" s="53">
        <v>-51.82</v>
      </c>
      <c r="Q241" s="53">
        <v>-48.079000000000001</v>
      </c>
      <c r="R241" s="53">
        <v>-53.643000000000008</v>
      </c>
      <c r="S241" s="53">
        <v>-45.396999999999991</v>
      </c>
      <c r="T241" s="53">
        <v>-40.972000000000001</v>
      </c>
      <c r="U241" s="53">
        <v>-85.841000000000008</v>
      </c>
      <c r="V241" s="53">
        <v>-114.12699999999998</v>
      </c>
      <c r="W241" s="53">
        <v>7.3369999999999891</v>
      </c>
      <c r="X241" s="53">
        <v>-109.366</v>
      </c>
      <c r="Y241" s="53">
        <v>-103.89399999999999</v>
      </c>
      <c r="Z241" s="53">
        <v>-91.7</v>
      </c>
      <c r="AA241" s="53">
        <v>-282.83700000000005</v>
      </c>
      <c r="AB241" s="53">
        <v>-117.884</v>
      </c>
      <c r="AC241" s="53">
        <v>-129.583</v>
      </c>
      <c r="AD241" s="53">
        <v>-120.768</v>
      </c>
      <c r="AE241" s="53">
        <v>-155.48299999999995</v>
      </c>
      <c r="AF241" s="53">
        <v>-85.820999999999998</v>
      </c>
      <c r="AG241" s="53">
        <v>-60.186000000000007</v>
      </c>
      <c r="AH241" s="53">
        <v>-52.923000000000002</v>
      </c>
      <c r="AI241" s="53">
        <v>30.664000000000016</v>
      </c>
      <c r="AJ241" s="53">
        <v>-41.055999999999997</v>
      </c>
      <c r="AK241" s="53">
        <v>-46.388999999999996</v>
      </c>
      <c r="AL241" s="53">
        <f>-179.331-AJ241-AK241</f>
        <v>-91.885999999999981</v>
      </c>
      <c r="AM241" s="53">
        <f>-513.477-AJ241-AK241-AL241</f>
        <v>-334.14600000000002</v>
      </c>
      <c r="AN241" s="53">
        <v>-101.818</v>
      </c>
      <c r="AO241" s="53">
        <v>-130.90500000000003</v>
      </c>
      <c r="AP241" s="53">
        <v>-182.58600000000001</v>
      </c>
      <c r="AQ241" s="53">
        <v>-327.57699999999994</v>
      </c>
      <c r="AR241" s="53">
        <v>-122.268</v>
      </c>
      <c r="AS241" s="63"/>
      <c r="AT241" s="53">
        <f t="shared" si="207"/>
        <v>-117.18</v>
      </c>
      <c r="AU241" s="53">
        <f t="shared" si="208"/>
        <v>-160.82300000000001</v>
      </c>
      <c r="AV241" s="53">
        <f t="shared" si="209"/>
        <v>-198.93899999999999</v>
      </c>
      <c r="AW241" s="53">
        <f t="shared" si="210"/>
        <v>-233.60300000000001</v>
      </c>
      <c r="AX241" s="53">
        <f t="shared" si="211"/>
        <v>-587.79700000000003</v>
      </c>
      <c r="AY241" s="53">
        <f t="shared" si="212"/>
        <v>-523.71799999999996</v>
      </c>
      <c r="AZ241" s="53">
        <f t="shared" si="213"/>
        <v>-168.26599999999999</v>
      </c>
      <c r="BA241" s="53">
        <f t="shared" ref="BA241:BA250" si="214">SUM(AJ241:AM241)</f>
        <v>-513.47699999999998</v>
      </c>
      <c r="BB241" s="53">
        <f t="shared" si="170"/>
        <v>-742.88599999999997</v>
      </c>
      <c r="BC241" s="37"/>
      <c r="BD241" s="37"/>
      <c r="BE241" s="37"/>
    </row>
    <row r="242" spans="2:57" outlineLevel="2">
      <c r="B242" s="14" t="s">
        <v>259</v>
      </c>
      <c r="C242" s="83" t="s">
        <v>71</v>
      </c>
      <c r="D242" s="53"/>
      <c r="E242" s="53"/>
      <c r="F242" s="53"/>
      <c r="G242" s="53"/>
      <c r="H242" s="53">
        <v>-3.0569999999999999</v>
      </c>
      <c r="I242" s="53">
        <v>-2.4730000000000003</v>
      </c>
      <c r="J242" s="53">
        <v>-20.290000000000003</v>
      </c>
      <c r="K242" s="53">
        <v>13.351000000000004</v>
      </c>
      <c r="L242" s="53">
        <v>-3.706</v>
      </c>
      <c r="M242" s="53">
        <v>-10.6</v>
      </c>
      <c r="N242" s="53">
        <v>-11.679</v>
      </c>
      <c r="O242" s="53">
        <v>-19.741</v>
      </c>
      <c r="P242" s="53">
        <v>-24.306000000000001</v>
      </c>
      <c r="Q242" s="53">
        <v>6.0890000000000022</v>
      </c>
      <c r="R242" s="53">
        <v>-28.993000000000002</v>
      </c>
      <c r="S242" s="53">
        <v>-27.615000000000002</v>
      </c>
      <c r="T242" s="53">
        <v>-33.283000000000001</v>
      </c>
      <c r="U242" s="53">
        <v>-6.5450000000000017</v>
      </c>
      <c r="V242" s="53">
        <v>-8.7370000000000001</v>
      </c>
      <c r="W242" s="53">
        <v>-83.825999999999993</v>
      </c>
      <c r="X242" s="53">
        <v>-25.076000000000001</v>
      </c>
      <c r="Y242" s="53">
        <v>-11.628</v>
      </c>
      <c r="Z242" s="53">
        <v>-52.143999999999998</v>
      </c>
      <c r="AA242" s="53">
        <v>-31.430999999999997</v>
      </c>
      <c r="AB242" s="53">
        <v>-36.529000000000003</v>
      </c>
      <c r="AC242" s="53">
        <v>-38.125</v>
      </c>
      <c r="AD242" s="53">
        <v>-56.932000000000002</v>
      </c>
      <c r="AE242" s="53">
        <v>-80.686999999999983</v>
      </c>
      <c r="AF242" s="53">
        <v>-30.800999999999998</v>
      </c>
      <c r="AG242" s="53">
        <v>-61.649999999999991</v>
      </c>
      <c r="AH242" s="53">
        <v>-48.754000000000019</v>
      </c>
      <c r="AI242" s="53">
        <v>-102.61500000000001</v>
      </c>
      <c r="AJ242" s="53">
        <v>-63.759</v>
      </c>
      <c r="AK242" s="53">
        <v>-138.69600000000003</v>
      </c>
      <c r="AL242" s="53">
        <f>-291.299-AJ242-AK242</f>
        <v>-88.843999999999937</v>
      </c>
      <c r="AM242" s="53">
        <f>-292.837-AJ242-AK242-AL242</f>
        <v>-1.5380000000000109</v>
      </c>
      <c r="AN242" s="53">
        <v>-96.828999999999994</v>
      </c>
      <c r="AO242" s="53">
        <v>-66.567999999999998</v>
      </c>
      <c r="AP242" s="53">
        <v>-42.64500000000001</v>
      </c>
      <c r="AQ242" s="53">
        <v>-91.472999999999985</v>
      </c>
      <c r="AR242" s="53">
        <v>-68.382999999999996</v>
      </c>
      <c r="AS242" s="63"/>
      <c r="AT242" s="53">
        <f t="shared" si="207"/>
        <v>-12.468999999999999</v>
      </c>
      <c r="AU242" s="53">
        <f t="shared" si="208"/>
        <v>-45.725999999999999</v>
      </c>
      <c r="AV242" s="53">
        <f t="shared" si="209"/>
        <v>-74.825000000000003</v>
      </c>
      <c r="AW242" s="53">
        <f t="shared" si="210"/>
        <v>-132.39099999999999</v>
      </c>
      <c r="AX242" s="53">
        <f t="shared" si="211"/>
        <v>-120.279</v>
      </c>
      <c r="AY242" s="53">
        <f t="shared" si="212"/>
        <v>-212.273</v>
      </c>
      <c r="AZ242" s="53">
        <f t="shared" si="213"/>
        <v>-243.82000000000002</v>
      </c>
      <c r="BA242" s="53">
        <f t="shared" si="214"/>
        <v>-292.83699999999999</v>
      </c>
      <c r="BB242" s="53">
        <f t="shared" si="170"/>
        <v>-297.51499999999999</v>
      </c>
      <c r="BC242" s="37"/>
      <c r="BD242" s="37"/>
      <c r="BE242" s="37"/>
    </row>
    <row r="243" spans="2:57" outlineLevel="2">
      <c r="B243" s="14" t="s">
        <v>260</v>
      </c>
      <c r="C243" s="83" t="s">
        <v>71</v>
      </c>
      <c r="D243" s="53"/>
      <c r="E243" s="53"/>
      <c r="F243" s="53"/>
      <c r="G243" s="53"/>
      <c r="H243" s="53">
        <v>0</v>
      </c>
      <c r="I243" s="53">
        <v>0</v>
      </c>
      <c r="J243" s="53">
        <v>0</v>
      </c>
      <c r="K243" s="53">
        <v>0</v>
      </c>
      <c r="L243" s="53">
        <v>0</v>
      </c>
      <c r="M243" s="53">
        <v>0</v>
      </c>
      <c r="N243" s="53">
        <v>0</v>
      </c>
      <c r="O243" s="53">
        <v>0</v>
      </c>
      <c r="P243" s="53">
        <v>0</v>
      </c>
      <c r="Q243" s="53">
        <v>0</v>
      </c>
      <c r="R243" s="53">
        <v>0</v>
      </c>
      <c r="S243" s="53">
        <v>0</v>
      </c>
      <c r="T243" s="53">
        <v>0</v>
      </c>
      <c r="U243" s="53">
        <v>0</v>
      </c>
      <c r="V243" s="53">
        <v>0</v>
      </c>
      <c r="W243" s="53">
        <v>0</v>
      </c>
      <c r="X243" s="53">
        <v>0</v>
      </c>
      <c r="Y243" s="53">
        <v>0</v>
      </c>
      <c r="Z243" s="53">
        <v>0</v>
      </c>
      <c r="AA243" s="53">
        <v>0</v>
      </c>
      <c r="AB243" s="53">
        <v>0</v>
      </c>
      <c r="AC243" s="53">
        <v>0</v>
      </c>
      <c r="AD243" s="53">
        <v>0</v>
      </c>
      <c r="AE243" s="53">
        <v>0</v>
      </c>
      <c r="AF243" s="53">
        <v>0</v>
      </c>
      <c r="AG243" s="53">
        <v>0</v>
      </c>
      <c r="AH243" s="53">
        <v>0</v>
      </c>
      <c r="AI243" s="53">
        <v>0</v>
      </c>
      <c r="AJ243" s="53">
        <v>0</v>
      </c>
      <c r="AK243" s="53">
        <v>0</v>
      </c>
      <c r="AL243" s="53">
        <v>0</v>
      </c>
      <c r="AM243" s="53">
        <v>0</v>
      </c>
      <c r="AN243" s="53">
        <v>0</v>
      </c>
      <c r="AO243" s="53">
        <v>0</v>
      </c>
      <c r="AP243" s="53">
        <v>0</v>
      </c>
      <c r="AQ243" s="53">
        <v>0</v>
      </c>
      <c r="AR243" s="53">
        <v>0</v>
      </c>
      <c r="AS243" s="63"/>
      <c r="AT243" s="53">
        <f t="shared" si="207"/>
        <v>0</v>
      </c>
      <c r="AU243" s="53">
        <f t="shared" si="208"/>
        <v>0</v>
      </c>
      <c r="AV243" s="53">
        <f t="shared" si="209"/>
        <v>0</v>
      </c>
      <c r="AW243" s="53">
        <f t="shared" si="210"/>
        <v>0</v>
      </c>
      <c r="AX243" s="53">
        <f t="shared" si="211"/>
        <v>0</v>
      </c>
      <c r="AY243" s="53">
        <f t="shared" si="212"/>
        <v>0</v>
      </c>
      <c r="AZ243" s="53">
        <f t="shared" si="213"/>
        <v>0</v>
      </c>
      <c r="BA243" s="53">
        <f t="shared" si="214"/>
        <v>0</v>
      </c>
      <c r="BB243" s="53">
        <f t="shared" si="170"/>
        <v>0</v>
      </c>
      <c r="BC243" s="37"/>
      <c r="BD243" s="37"/>
      <c r="BE243" s="37"/>
    </row>
    <row r="244" spans="2:57" outlineLevel="2">
      <c r="B244" s="14" t="s">
        <v>261</v>
      </c>
      <c r="C244" s="83" t="s">
        <v>71</v>
      </c>
      <c r="D244" s="53"/>
      <c r="E244" s="53"/>
      <c r="F244" s="53"/>
      <c r="G244" s="53"/>
      <c r="H244" s="53">
        <v>0</v>
      </c>
      <c r="I244" s="53">
        <v>2.7E-2</v>
      </c>
      <c r="J244" s="53">
        <v>0</v>
      </c>
      <c r="K244" s="53">
        <v>-13.545999999999999</v>
      </c>
      <c r="L244" s="53">
        <v>0</v>
      </c>
      <c r="M244" s="53">
        <v>0</v>
      </c>
      <c r="N244" s="53">
        <v>0</v>
      </c>
      <c r="O244" s="53">
        <v>0</v>
      </c>
      <c r="P244" s="53">
        <v>0</v>
      </c>
      <c r="Q244" s="53">
        <v>-215.381</v>
      </c>
      <c r="R244" s="53">
        <v>-17.188999999999993</v>
      </c>
      <c r="S244" s="53">
        <v>-4837.7950000000001</v>
      </c>
      <c r="T244" s="53">
        <v>-46.728999999999999</v>
      </c>
      <c r="U244" s="53">
        <v>-47.617999999999995</v>
      </c>
      <c r="V244" s="53">
        <v>56.451999999999998</v>
      </c>
      <c r="W244" s="53">
        <v>-562.20299999999997</v>
      </c>
      <c r="X244" s="53">
        <v>0</v>
      </c>
      <c r="Y244" s="53">
        <v>-155.626</v>
      </c>
      <c r="Z244" s="53">
        <v>-51.466000000000008</v>
      </c>
      <c r="AA244" s="53">
        <v>-165.98299999999998</v>
      </c>
      <c r="AB244" s="53">
        <v>-3136.3969999999999</v>
      </c>
      <c r="AC244" s="53">
        <v>-242.91300000000001</v>
      </c>
      <c r="AD244" s="53">
        <v>-100.974</v>
      </c>
      <c r="AE244" s="53">
        <v>266.30500000000029</v>
      </c>
      <c r="AF244" s="53">
        <v>-630.64099999999996</v>
      </c>
      <c r="AG244" s="53">
        <v>0</v>
      </c>
      <c r="AH244" s="53">
        <v>0</v>
      </c>
      <c r="AI244" s="53">
        <v>0</v>
      </c>
      <c r="AJ244" s="53">
        <v>0</v>
      </c>
      <c r="AK244" s="53">
        <v>0</v>
      </c>
      <c r="AL244" s="53">
        <v>0</v>
      </c>
      <c r="AM244" s="53">
        <v>0</v>
      </c>
      <c r="AN244" s="53">
        <v>0</v>
      </c>
      <c r="AO244" s="53">
        <v>0</v>
      </c>
      <c r="AP244" s="53">
        <v>0</v>
      </c>
      <c r="AQ244" s="53">
        <v>0</v>
      </c>
      <c r="AR244" s="53">
        <v>-2.4380000000000002</v>
      </c>
      <c r="AS244" s="63"/>
      <c r="AT244" s="53">
        <f t="shared" si="207"/>
        <v>-13.519</v>
      </c>
      <c r="AU244" s="53">
        <f t="shared" si="208"/>
        <v>0</v>
      </c>
      <c r="AV244" s="53">
        <f t="shared" si="209"/>
        <v>-5070.3649999999998</v>
      </c>
      <c r="AW244" s="53">
        <f t="shared" si="210"/>
        <v>-600.09799999999996</v>
      </c>
      <c r="AX244" s="53">
        <f t="shared" si="211"/>
        <v>-373.07499999999999</v>
      </c>
      <c r="AY244" s="53">
        <f t="shared" si="212"/>
        <v>-3213.9789999999998</v>
      </c>
      <c r="AZ244" s="53">
        <f t="shared" si="213"/>
        <v>-630.64099999999996</v>
      </c>
      <c r="BA244" s="53">
        <f t="shared" si="214"/>
        <v>0</v>
      </c>
      <c r="BB244" s="53">
        <f t="shared" si="170"/>
        <v>0</v>
      </c>
      <c r="BC244" s="37"/>
      <c r="BD244" s="37"/>
      <c r="BE244" s="37"/>
    </row>
    <row r="245" spans="2:57" outlineLevel="2">
      <c r="B245" s="14" t="s">
        <v>262</v>
      </c>
      <c r="C245" s="83" t="s">
        <v>71</v>
      </c>
      <c r="D245" s="53"/>
      <c r="E245" s="53"/>
      <c r="F245" s="53"/>
      <c r="G245" s="53"/>
      <c r="H245" s="53">
        <v>0</v>
      </c>
      <c r="I245" s="53">
        <v>0</v>
      </c>
      <c r="J245" s="53">
        <v>0</v>
      </c>
      <c r="K245" s="53">
        <v>0</v>
      </c>
      <c r="L245" s="53">
        <v>0</v>
      </c>
      <c r="M245" s="53">
        <v>0</v>
      </c>
      <c r="N245" s="53">
        <v>0</v>
      </c>
      <c r="O245" s="53">
        <v>0</v>
      </c>
      <c r="P245" s="53">
        <v>0</v>
      </c>
      <c r="Q245" s="53">
        <v>0</v>
      </c>
      <c r="R245" s="53">
        <v>0</v>
      </c>
      <c r="S245" s="53">
        <v>0</v>
      </c>
      <c r="T245" s="53">
        <v>0</v>
      </c>
      <c r="U245" s="53">
        <v>0</v>
      </c>
      <c r="V245" s="53">
        <v>0</v>
      </c>
      <c r="W245" s="53">
        <v>0</v>
      </c>
      <c r="X245" s="53">
        <v>0</v>
      </c>
      <c r="Y245" s="53">
        <v>0</v>
      </c>
      <c r="Z245" s="53">
        <v>0</v>
      </c>
      <c r="AA245" s="53">
        <v>0</v>
      </c>
      <c r="AB245" s="53">
        <v>0</v>
      </c>
      <c r="AC245" s="53">
        <v>0</v>
      </c>
      <c r="AD245" s="53">
        <v>0</v>
      </c>
      <c r="AE245" s="53">
        <v>0</v>
      </c>
      <c r="AF245" s="53">
        <v>0</v>
      </c>
      <c r="AG245" s="53">
        <v>0</v>
      </c>
      <c r="AH245" s="53">
        <v>0</v>
      </c>
      <c r="AI245" s="53">
        <v>0</v>
      </c>
      <c r="AJ245" s="53">
        <v>0</v>
      </c>
      <c r="AK245" s="53">
        <v>0</v>
      </c>
      <c r="AL245" s="53">
        <v>0</v>
      </c>
      <c r="AM245" s="53">
        <v>0</v>
      </c>
      <c r="AN245" s="53">
        <v>0</v>
      </c>
      <c r="AO245" s="53">
        <v>0</v>
      </c>
      <c r="AP245" s="53">
        <v>0</v>
      </c>
      <c r="AQ245" s="53">
        <v>0</v>
      </c>
      <c r="AR245" s="53">
        <v>0</v>
      </c>
      <c r="AS245" s="63"/>
      <c r="AT245" s="53">
        <f t="shared" si="207"/>
        <v>0</v>
      </c>
      <c r="AU245" s="53">
        <f t="shared" si="208"/>
        <v>0</v>
      </c>
      <c r="AV245" s="53">
        <f t="shared" si="209"/>
        <v>0</v>
      </c>
      <c r="AW245" s="53">
        <f t="shared" si="210"/>
        <v>0</v>
      </c>
      <c r="AX245" s="53">
        <f t="shared" si="211"/>
        <v>0</v>
      </c>
      <c r="AY245" s="53">
        <f t="shared" si="212"/>
        <v>0</v>
      </c>
      <c r="AZ245" s="53">
        <f t="shared" si="213"/>
        <v>0</v>
      </c>
      <c r="BA245" s="53">
        <f t="shared" si="214"/>
        <v>0</v>
      </c>
      <c r="BB245" s="53">
        <f t="shared" si="170"/>
        <v>0</v>
      </c>
      <c r="BC245" s="37"/>
      <c r="BD245" s="37"/>
      <c r="BE245" s="37"/>
    </row>
    <row r="246" spans="2:57" outlineLevel="2">
      <c r="B246" s="14" t="s">
        <v>263</v>
      </c>
      <c r="C246" s="83" t="s">
        <v>71</v>
      </c>
      <c r="D246" s="53"/>
      <c r="E246" s="53"/>
      <c r="F246" s="53"/>
      <c r="G246" s="53"/>
      <c r="H246" s="53">
        <v>0</v>
      </c>
      <c r="I246" s="53">
        <v>0</v>
      </c>
      <c r="J246" s="53">
        <v>0</v>
      </c>
      <c r="K246" s="53">
        <v>0</v>
      </c>
      <c r="L246" s="53">
        <v>0</v>
      </c>
      <c r="M246" s="53">
        <v>0</v>
      </c>
      <c r="N246" s="53">
        <v>0</v>
      </c>
      <c r="O246" s="53">
        <v>0</v>
      </c>
      <c r="P246" s="53">
        <v>0</v>
      </c>
      <c r="Q246" s="53">
        <v>0</v>
      </c>
      <c r="R246" s="53">
        <v>0.90200000000000002</v>
      </c>
      <c r="S246" s="53">
        <v>7.0149999999999997</v>
      </c>
      <c r="T246" s="53">
        <v>5.2119999999999997</v>
      </c>
      <c r="U246" s="53">
        <v>0</v>
      </c>
      <c r="V246" s="53">
        <v>0</v>
      </c>
      <c r="W246" s="53">
        <v>3.9489999999999998</v>
      </c>
      <c r="X246" s="53">
        <v>0</v>
      </c>
      <c r="Y246" s="53">
        <v>2.8969999999999998</v>
      </c>
      <c r="Z246" s="53">
        <v>3.780004660000515</v>
      </c>
      <c r="AA246" s="53">
        <v>4.4578361114794678</v>
      </c>
      <c r="AB246" s="53">
        <v>201.96100000000001</v>
      </c>
      <c r="AC246" s="53">
        <v>1.1299999999999999</v>
      </c>
      <c r="AD246" s="53">
        <v>-4.0000000000000001E-3</v>
      </c>
      <c r="AE246" s="53">
        <v>-0.13100000000002865</v>
      </c>
      <c r="AF246" s="53">
        <v>3.194</v>
      </c>
      <c r="AG246" s="53">
        <v>0</v>
      </c>
      <c r="AH246" s="53">
        <v>0</v>
      </c>
      <c r="AI246" s="53">
        <v>0</v>
      </c>
      <c r="AJ246" s="53">
        <v>0</v>
      </c>
      <c r="AK246" s="53">
        <v>0</v>
      </c>
      <c r="AL246" s="53">
        <v>0</v>
      </c>
      <c r="AM246" s="53">
        <v>0</v>
      </c>
      <c r="AN246" s="53">
        <v>0</v>
      </c>
      <c r="AO246" s="53">
        <v>0</v>
      </c>
      <c r="AP246" s="53">
        <v>0</v>
      </c>
      <c r="AQ246" s="53">
        <v>0</v>
      </c>
      <c r="AR246" s="53">
        <v>1E-3</v>
      </c>
      <c r="AS246" s="63"/>
      <c r="AT246" s="53">
        <f t="shared" si="207"/>
        <v>0</v>
      </c>
      <c r="AU246" s="53">
        <f t="shared" si="208"/>
        <v>0</v>
      </c>
      <c r="AV246" s="53">
        <f t="shared" si="209"/>
        <v>7.9169999999999998</v>
      </c>
      <c r="AW246" s="53">
        <f t="shared" si="210"/>
        <v>9.1609999999999996</v>
      </c>
      <c r="AX246" s="53">
        <f t="shared" si="211"/>
        <v>11.134840771479983</v>
      </c>
      <c r="AY246" s="53">
        <f t="shared" si="212"/>
        <v>202.95599999999999</v>
      </c>
      <c r="AZ246" s="53">
        <f t="shared" si="213"/>
        <v>3.194</v>
      </c>
      <c r="BA246" s="53">
        <f t="shared" si="214"/>
        <v>0</v>
      </c>
      <c r="BB246" s="53">
        <f t="shared" si="170"/>
        <v>0</v>
      </c>
      <c r="BC246" s="37"/>
      <c r="BD246" s="37"/>
      <c r="BE246" s="37"/>
    </row>
    <row r="247" spans="2:57" outlineLevel="2">
      <c r="B247" s="14" t="s">
        <v>264</v>
      </c>
      <c r="C247" s="83" t="s">
        <v>71</v>
      </c>
      <c r="D247" s="53"/>
      <c r="E247" s="53"/>
      <c r="F247" s="53"/>
      <c r="G247" s="53"/>
      <c r="H247" s="53">
        <v>0</v>
      </c>
      <c r="I247" s="53">
        <v>0</v>
      </c>
      <c r="J247" s="53">
        <v>0</v>
      </c>
      <c r="K247" s="53">
        <v>0</v>
      </c>
      <c r="L247" s="53">
        <v>0</v>
      </c>
      <c r="M247" s="53">
        <v>0</v>
      </c>
      <c r="N247" s="53">
        <v>0</v>
      </c>
      <c r="O247" s="53">
        <v>0</v>
      </c>
      <c r="P247" s="53">
        <v>0</v>
      </c>
      <c r="Q247" s="53">
        <v>0</v>
      </c>
      <c r="R247" s="53">
        <v>0</v>
      </c>
      <c r="S247" s="53">
        <v>0</v>
      </c>
      <c r="T247" s="53">
        <v>0</v>
      </c>
      <c r="U247" s="53">
        <v>0</v>
      </c>
      <c r="V247" s="53">
        <v>0</v>
      </c>
      <c r="W247" s="53">
        <v>0</v>
      </c>
      <c r="X247" s="53">
        <v>0</v>
      </c>
      <c r="Y247" s="53">
        <v>0</v>
      </c>
      <c r="Z247" s="53">
        <v>0</v>
      </c>
      <c r="AA247" s="53">
        <v>0</v>
      </c>
      <c r="AB247" s="53">
        <v>0</v>
      </c>
      <c r="AC247" s="53">
        <v>0</v>
      </c>
      <c r="AD247" s="53">
        <v>0</v>
      </c>
      <c r="AE247" s="53">
        <v>0</v>
      </c>
      <c r="AF247" s="53">
        <v>0</v>
      </c>
      <c r="AG247" s="53">
        <v>0</v>
      </c>
      <c r="AH247" s="53">
        <v>0</v>
      </c>
      <c r="AI247" s="53">
        <v>0</v>
      </c>
      <c r="AJ247" s="53">
        <v>0</v>
      </c>
      <c r="AK247" s="53">
        <v>0</v>
      </c>
      <c r="AL247" s="53">
        <v>0</v>
      </c>
      <c r="AM247" s="53">
        <v>0</v>
      </c>
      <c r="AN247" s="53">
        <v>0</v>
      </c>
      <c r="AO247" s="53">
        <v>0</v>
      </c>
      <c r="AP247" s="53">
        <v>0</v>
      </c>
      <c r="AQ247" s="53">
        <v>0</v>
      </c>
      <c r="AR247" s="53">
        <v>0</v>
      </c>
      <c r="AS247" s="63"/>
      <c r="AT247" s="53">
        <f t="shared" si="207"/>
        <v>0</v>
      </c>
      <c r="AU247" s="53">
        <f t="shared" si="208"/>
        <v>0</v>
      </c>
      <c r="AV247" s="53">
        <f t="shared" si="209"/>
        <v>0</v>
      </c>
      <c r="AW247" s="53">
        <f t="shared" si="210"/>
        <v>0</v>
      </c>
      <c r="AX247" s="53">
        <f t="shared" si="211"/>
        <v>0</v>
      </c>
      <c r="AY247" s="53">
        <f t="shared" si="212"/>
        <v>0</v>
      </c>
      <c r="AZ247" s="53">
        <f t="shared" si="213"/>
        <v>0</v>
      </c>
      <c r="BA247" s="53">
        <f t="shared" si="214"/>
        <v>0</v>
      </c>
      <c r="BB247" s="53">
        <f t="shared" si="170"/>
        <v>0</v>
      </c>
      <c r="BC247" s="37"/>
      <c r="BD247" s="37"/>
      <c r="BE247" s="37"/>
    </row>
    <row r="248" spans="2:57" outlineLevel="2">
      <c r="B248" s="14" t="s">
        <v>265</v>
      </c>
      <c r="C248" s="83" t="s">
        <v>71</v>
      </c>
      <c r="D248" s="53"/>
      <c r="E248" s="53"/>
      <c r="F248" s="53"/>
      <c r="G248" s="53"/>
      <c r="H248" s="53">
        <v>0</v>
      </c>
      <c r="I248" s="53">
        <v>0</v>
      </c>
      <c r="J248" s="53">
        <v>0</v>
      </c>
      <c r="K248" s="53">
        <v>0</v>
      </c>
      <c r="L248" s="53">
        <v>0</v>
      </c>
      <c r="M248" s="53">
        <v>0</v>
      </c>
      <c r="N248" s="53">
        <v>0</v>
      </c>
      <c r="O248" s="53">
        <v>0</v>
      </c>
      <c r="P248" s="53">
        <v>0</v>
      </c>
      <c r="Q248" s="53">
        <v>0</v>
      </c>
      <c r="R248" s="53">
        <v>0</v>
      </c>
      <c r="S248" s="53">
        <v>0</v>
      </c>
      <c r="T248" s="53">
        <v>0</v>
      </c>
      <c r="U248" s="53">
        <v>0</v>
      </c>
      <c r="V248" s="53">
        <v>0</v>
      </c>
      <c r="W248" s="53">
        <v>0</v>
      </c>
      <c r="X248" s="53">
        <v>0</v>
      </c>
      <c r="Y248" s="53">
        <v>0</v>
      </c>
      <c r="Z248" s="53">
        <v>0</v>
      </c>
      <c r="AA248" s="53">
        <v>0</v>
      </c>
      <c r="AB248" s="53">
        <v>0</v>
      </c>
      <c r="AC248" s="53">
        <v>0</v>
      </c>
      <c r="AD248" s="53">
        <v>0</v>
      </c>
      <c r="AE248" s="53">
        <v>0</v>
      </c>
      <c r="AF248" s="53">
        <v>0</v>
      </c>
      <c r="AG248" s="53">
        <v>1250</v>
      </c>
      <c r="AH248" s="53">
        <v>0</v>
      </c>
      <c r="AI248" s="53">
        <v>0</v>
      </c>
      <c r="AJ248" s="53">
        <v>0</v>
      </c>
      <c r="AK248" s="53">
        <v>0</v>
      </c>
      <c r="AL248" s="53">
        <v>0</v>
      </c>
      <c r="AM248" s="53">
        <v>0</v>
      </c>
      <c r="AN248" s="53">
        <v>0</v>
      </c>
      <c r="AO248" s="53">
        <v>0</v>
      </c>
      <c r="AP248" s="53">
        <v>0</v>
      </c>
      <c r="AQ248" s="53">
        <v>0</v>
      </c>
      <c r="AR248" s="53">
        <v>0</v>
      </c>
      <c r="AS248" s="63"/>
      <c r="AT248" s="53">
        <f t="shared" si="207"/>
        <v>0</v>
      </c>
      <c r="AU248" s="53">
        <f t="shared" si="208"/>
        <v>0</v>
      </c>
      <c r="AV248" s="53">
        <f t="shared" si="209"/>
        <v>0</v>
      </c>
      <c r="AW248" s="53">
        <f t="shared" si="210"/>
        <v>0</v>
      </c>
      <c r="AX248" s="53">
        <f t="shared" si="211"/>
        <v>0</v>
      </c>
      <c r="AY248" s="53">
        <f t="shared" si="212"/>
        <v>0</v>
      </c>
      <c r="AZ248" s="53">
        <f t="shared" si="213"/>
        <v>1250</v>
      </c>
      <c r="BA248" s="53">
        <f t="shared" si="214"/>
        <v>0</v>
      </c>
      <c r="BB248" s="53">
        <f t="shared" si="170"/>
        <v>0</v>
      </c>
      <c r="BC248" s="37"/>
      <c r="BD248" s="37"/>
      <c r="BE248" s="37"/>
    </row>
    <row r="249" spans="2:57" outlineLevel="2">
      <c r="B249" s="14" t="s">
        <v>266</v>
      </c>
      <c r="C249" s="83" t="s">
        <v>71</v>
      </c>
      <c r="D249" s="53"/>
      <c r="E249" s="53"/>
      <c r="F249" s="53"/>
      <c r="G249" s="53"/>
      <c r="H249" s="53">
        <v>-120.173</v>
      </c>
      <c r="I249" s="53">
        <v>68.229000000000013</v>
      </c>
      <c r="J249" s="53">
        <v>-109.61000000000001</v>
      </c>
      <c r="K249" s="53">
        <v>-97.786000000000001</v>
      </c>
      <c r="L249" s="53">
        <v>201.77199999999999</v>
      </c>
      <c r="M249" s="53">
        <v>-2465.6999999999998</v>
      </c>
      <c r="N249" s="53">
        <v>323.98099999999931</v>
      </c>
      <c r="O249" s="53">
        <v>1.8190000000004147</v>
      </c>
      <c r="P249" s="53">
        <v>-182.22400000000005</v>
      </c>
      <c r="Q249" s="53">
        <v>317.76800000000003</v>
      </c>
      <c r="R249" s="53">
        <v>-4624.1379999999999</v>
      </c>
      <c r="S249" s="53">
        <v>4969.5249999999996</v>
      </c>
      <c r="T249" s="53">
        <v>144.96600000000001</v>
      </c>
      <c r="U249" s="53">
        <v>-657.19899999999996</v>
      </c>
      <c r="V249" s="53">
        <v>26.268999999999998</v>
      </c>
      <c r="W249" s="53">
        <v>501.74</v>
      </c>
      <c r="X249" s="53">
        <v>5.1820000000000004</v>
      </c>
      <c r="Y249" s="53">
        <v>-964.97799999999995</v>
      </c>
      <c r="Z249" s="53">
        <v>568.12999999999977</v>
      </c>
      <c r="AA249" s="55">
        <v>-2927.5219999999999</v>
      </c>
      <c r="AB249" s="53">
        <v>4990.6630000000005</v>
      </c>
      <c r="AC249" s="53">
        <v>-477.61099999999988</v>
      </c>
      <c r="AD249" s="53">
        <v>1087.9799999999996</v>
      </c>
      <c r="AE249" s="53">
        <v>255.05300000000079</v>
      </c>
      <c r="AF249" s="53">
        <v>-425.21399999999994</v>
      </c>
      <c r="AG249" s="53">
        <v>-1455.5069999999996</v>
      </c>
      <c r="AH249" s="53">
        <v>602.87699999999859</v>
      </c>
      <c r="AI249" s="53">
        <v>218.89400000000091</v>
      </c>
      <c r="AJ249" s="53">
        <v>-278.86</v>
      </c>
      <c r="AK249" s="53">
        <v>-779.07399999999996</v>
      </c>
      <c r="AL249" s="53">
        <f>-364.042-AJ249-AK249</f>
        <v>693.89200000000005</v>
      </c>
      <c r="AM249" s="53">
        <f>-1390.115-AJ249-AK249-AL249</f>
        <v>-1026.0730000000003</v>
      </c>
      <c r="AN249" s="53">
        <v>-527.26199999999994</v>
      </c>
      <c r="AO249" s="53">
        <v>515.07599999999991</v>
      </c>
      <c r="AP249" s="53">
        <v>397.30600000000004</v>
      </c>
      <c r="AQ249" s="53">
        <v>2127.1040000000003</v>
      </c>
      <c r="AR249" s="53">
        <v>-202.86199999999999</v>
      </c>
      <c r="AS249" s="63"/>
      <c r="AT249" s="53">
        <f t="shared" si="207"/>
        <v>-259.34000000000003</v>
      </c>
      <c r="AU249" s="53">
        <f t="shared" si="208"/>
        <v>-1938.1280000000002</v>
      </c>
      <c r="AV249" s="53">
        <f t="shared" si="209"/>
        <v>480.93099999999959</v>
      </c>
      <c r="AW249" s="53">
        <f t="shared" si="210"/>
        <v>15.776000000000067</v>
      </c>
      <c r="AX249" s="55">
        <f t="shared" si="211"/>
        <v>-3319.1880000000001</v>
      </c>
      <c r="AY249" s="53">
        <f t="shared" si="212"/>
        <v>5856.0850000000009</v>
      </c>
      <c r="AZ249" s="53">
        <f t="shared" si="213"/>
        <v>-1058.95</v>
      </c>
      <c r="BA249" s="53">
        <f t="shared" si="214"/>
        <v>-1390.1150000000002</v>
      </c>
      <c r="BB249" s="53">
        <f t="shared" ref="BB249:BB273" si="215">SUM(AN249:AQ249)</f>
        <v>2512.2240000000002</v>
      </c>
      <c r="BC249" s="37"/>
      <c r="BD249" s="37"/>
      <c r="BE249" s="37"/>
    </row>
    <row r="250" spans="2:57" ht="13.5" outlineLevel="2">
      <c r="B250" s="2" t="s">
        <v>267</v>
      </c>
      <c r="C250" s="86" t="s">
        <v>71</v>
      </c>
      <c r="D250" s="75"/>
      <c r="E250" s="75"/>
      <c r="F250" s="75"/>
      <c r="G250" s="75"/>
      <c r="H250" s="75">
        <v>0</v>
      </c>
      <c r="I250" s="75">
        <v>0</v>
      </c>
      <c r="J250" s="75">
        <v>0</v>
      </c>
      <c r="K250" s="75">
        <v>0</v>
      </c>
      <c r="L250" s="75">
        <v>0</v>
      </c>
      <c r="M250" s="75">
        <v>0</v>
      </c>
      <c r="N250" s="75">
        <v>0</v>
      </c>
      <c r="O250" s="75">
        <v>0</v>
      </c>
      <c r="P250" s="75">
        <v>0</v>
      </c>
      <c r="Q250" s="75">
        <v>0</v>
      </c>
      <c r="R250" s="75">
        <v>0</v>
      </c>
      <c r="S250" s="75">
        <v>0</v>
      </c>
      <c r="T250" s="75">
        <v>0</v>
      </c>
      <c r="U250" s="75">
        <v>0</v>
      </c>
      <c r="V250" s="75">
        <v>0</v>
      </c>
      <c r="W250" s="75">
        <v>0</v>
      </c>
      <c r="X250" s="75">
        <v>0</v>
      </c>
      <c r="Y250" s="75">
        <v>0</v>
      </c>
      <c r="Z250" s="75">
        <v>0</v>
      </c>
      <c r="AA250" s="75">
        <v>0</v>
      </c>
      <c r="AB250" s="75">
        <v>0</v>
      </c>
      <c r="AC250" s="75">
        <v>0</v>
      </c>
      <c r="AD250" s="75">
        <v>0</v>
      </c>
      <c r="AE250" s="75">
        <v>0</v>
      </c>
      <c r="AF250" s="75">
        <v>0</v>
      </c>
      <c r="AG250" s="75">
        <v>-32.384999999999998</v>
      </c>
      <c r="AH250" s="75">
        <v>31.856999999999999</v>
      </c>
      <c r="AI250" s="75">
        <v>-28.639000000000003</v>
      </c>
      <c r="AJ250" s="75">
        <v>-29.167000000000002</v>
      </c>
      <c r="AK250" s="75">
        <f>-29.167-AJ250</f>
        <v>0</v>
      </c>
      <c r="AL250" s="75">
        <f>-29.167-AJ250-AK250</f>
        <v>0</v>
      </c>
      <c r="AM250" s="75">
        <f>-29.167-AK250-AL250-AJ250</f>
        <v>0</v>
      </c>
      <c r="AN250" s="53">
        <v>0</v>
      </c>
      <c r="AO250" s="53">
        <v>-16.248999999999999</v>
      </c>
      <c r="AP250" s="53">
        <v>0</v>
      </c>
      <c r="AQ250" s="53">
        <v>0</v>
      </c>
      <c r="AR250" s="53">
        <v>0</v>
      </c>
      <c r="AS250" s="63"/>
      <c r="AT250" s="75">
        <f t="shared" si="207"/>
        <v>0</v>
      </c>
      <c r="AU250" s="75">
        <f t="shared" si="208"/>
        <v>0</v>
      </c>
      <c r="AV250" s="75">
        <f t="shared" si="209"/>
        <v>0</v>
      </c>
      <c r="AW250" s="75">
        <f t="shared" si="210"/>
        <v>0</v>
      </c>
      <c r="AX250" s="75">
        <f t="shared" si="211"/>
        <v>0</v>
      </c>
      <c r="AY250" s="75">
        <f t="shared" si="212"/>
        <v>0</v>
      </c>
      <c r="AZ250" s="53">
        <f t="shared" si="213"/>
        <v>-29.167000000000002</v>
      </c>
      <c r="BA250" s="53">
        <f t="shared" si="214"/>
        <v>-29.167000000000002</v>
      </c>
      <c r="BB250" s="53">
        <f t="shared" si="215"/>
        <v>-16.248999999999999</v>
      </c>
      <c r="BC250" s="37"/>
      <c r="BD250" s="37"/>
      <c r="BE250" s="37"/>
    </row>
    <row r="251" spans="2:57" ht="13.5" outlineLevel="2">
      <c r="B251" s="10" t="s">
        <v>268</v>
      </c>
      <c r="C251" s="10" t="s">
        <v>71</v>
      </c>
      <c r="D251" s="57"/>
      <c r="E251" s="57"/>
      <c r="F251" s="57"/>
      <c r="G251" s="57"/>
      <c r="H251" s="57">
        <f>SUM(H239,H250)</f>
        <v>-149.53200000000001</v>
      </c>
      <c r="I251" s="57">
        <f t="shared" ref="I251:AD251" si="216">SUM(I239,I250)</f>
        <v>32.554000000000023</v>
      </c>
      <c r="J251" s="57">
        <f t="shared" si="216"/>
        <v>-158.87</v>
      </c>
      <c r="K251" s="57">
        <f t="shared" si="216"/>
        <v>-133.14699999999999</v>
      </c>
      <c r="L251" s="57">
        <f t="shared" si="216"/>
        <v>149.279</v>
      </c>
      <c r="M251" s="57">
        <f t="shared" si="216"/>
        <v>-2507.1999999999998</v>
      </c>
      <c r="N251" s="57">
        <f t="shared" si="216"/>
        <v>268.19399999999933</v>
      </c>
      <c r="O251" s="57">
        <f t="shared" si="216"/>
        <v>-49.104999999999606</v>
      </c>
      <c r="P251" s="57">
        <f t="shared" si="216"/>
        <v>-258.34500000000003</v>
      </c>
      <c r="Q251" s="57">
        <f t="shared" si="216"/>
        <v>60.397000000000048</v>
      </c>
      <c r="R251" s="57">
        <f t="shared" si="216"/>
        <v>-4761.6849999999995</v>
      </c>
      <c r="S251" s="57">
        <f t="shared" si="216"/>
        <v>60.936999999999898</v>
      </c>
      <c r="T251" s="57">
        <f t="shared" si="216"/>
        <v>33.900000000000006</v>
      </c>
      <c r="U251" s="57">
        <f t="shared" si="216"/>
        <v>-797.17499999999995</v>
      </c>
      <c r="V251" s="57">
        <f t="shared" si="216"/>
        <v>-40.215999999999973</v>
      </c>
      <c r="W251" s="57">
        <f t="shared" si="216"/>
        <v>-134.28200000000004</v>
      </c>
      <c r="X251" s="57">
        <f t="shared" si="216"/>
        <v>-129.26000000000002</v>
      </c>
      <c r="Y251" s="57">
        <f t="shared" si="216"/>
        <v>-1345.4479999999999</v>
      </c>
      <c r="Z251" s="57">
        <f t="shared" si="216"/>
        <v>491.32500466000027</v>
      </c>
      <c r="AA251" s="57">
        <f t="shared" si="216"/>
        <v>-3394.5581638885205</v>
      </c>
      <c r="AB251" s="57">
        <f t="shared" si="216"/>
        <v>1892.4590000000007</v>
      </c>
      <c r="AC251" s="57">
        <f t="shared" si="216"/>
        <v>-886.95699999999988</v>
      </c>
      <c r="AD251" s="57">
        <f t="shared" si="216"/>
        <v>809.30499999999961</v>
      </c>
      <c r="AE251" s="57">
        <f t="shared" ref="AE251:AP251" si="217">SUM(AE239,AE250)</f>
        <v>285.08100000000115</v>
      </c>
      <c r="AF251" s="57">
        <f t="shared" si="217"/>
        <v>-1169.259</v>
      </c>
      <c r="AG251" s="57">
        <f t="shared" si="217"/>
        <v>-363.58199999999965</v>
      </c>
      <c r="AH251" s="57">
        <f t="shared" si="217"/>
        <v>536.91299999999853</v>
      </c>
      <c r="AI251" s="57">
        <f t="shared" si="217"/>
        <v>118.2600000000009</v>
      </c>
      <c r="AJ251" s="57">
        <f t="shared" si="217"/>
        <v>-412.57100000000003</v>
      </c>
      <c r="AK251" s="57">
        <f t="shared" si="217"/>
        <v>-964.21900000000005</v>
      </c>
      <c r="AL251" s="57">
        <f t="shared" si="217"/>
        <v>513.11800000000017</v>
      </c>
      <c r="AM251" s="57">
        <f t="shared" si="217"/>
        <v>-1361.6910000000003</v>
      </c>
      <c r="AN251" s="57">
        <f t="shared" si="217"/>
        <v>-725.94499999999994</v>
      </c>
      <c r="AO251" s="57">
        <f t="shared" si="217"/>
        <v>285.09899999999982</v>
      </c>
      <c r="AP251" s="57">
        <f t="shared" si="217"/>
        <v>173.33700000000002</v>
      </c>
      <c r="AQ251" s="57">
        <f>SUM(AQ239,AQ250)</f>
        <v>1706.8340000000003</v>
      </c>
      <c r="AR251" s="57">
        <f>SUM(AR239,AR250)</f>
        <v>-395.95</v>
      </c>
      <c r="AS251" s="63"/>
      <c r="AT251" s="57">
        <f t="shared" ref="AT251:BA251" si="218">SUM(AT239,AT250)</f>
        <v>-408.995</v>
      </c>
      <c r="AU251" s="57">
        <f t="shared" si="218"/>
        <v>-2138.8320000000003</v>
      </c>
      <c r="AV251" s="57">
        <f t="shared" si="218"/>
        <v>-4898.6959999999999</v>
      </c>
      <c r="AW251" s="57">
        <f t="shared" si="218"/>
        <v>-937.77299999999991</v>
      </c>
      <c r="AX251" s="57">
        <f t="shared" si="218"/>
        <v>-4377.9411592285196</v>
      </c>
      <c r="AY251" s="57">
        <f t="shared" si="218"/>
        <v>2099.8880000000013</v>
      </c>
      <c r="AZ251" s="57">
        <f t="shared" si="218"/>
        <v>-877.66800000000001</v>
      </c>
      <c r="BA251" s="57">
        <f t="shared" si="218"/>
        <v>-2225.3630000000003</v>
      </c>
      <c r="BB251" s="57">
        <f t="shared" si="215"/>
        <v>1439.3250000000003</v>
      </c>
      <c r="BC251" s="37"/>
      <c r="BD251" s="37"/>
      <c r="BE251" s="37"/>
    </row>
    <row r="252" spans="2:57" ht="13.5" outlineLevel="2">
      <c r="B252" s="10" t="s">
        <v>269</v>
      </c>
      <c r="C252" s="82" t="s">
        <v>71</v>
      </c>
      <c r="D252" s="57"/>
      <c r="E252" s="57"/>
      <c r="F252" s="57"/>
      <c r="G252" s="57"/>
      <c r="H252" s="57">
        <f t="shared" ref="H252:AD252" si="219">SUM(H253:H267)</f>
        <v>-11.343</v>
      </c>
      <c r="I252" s="57">
        <f t="shared" si="219"/>
        <v>-124.227</v>
      </c>
      <c r="J252" s="57">
        <f t="shared" si="219"/>
        <v>-20.667999999999992</v>
      </c>
      <c r="K252" s="57">
        <f t="shared" si="219"/>
        <v>-5.9569999999999759</v>
      </c>
      <c r="L252" s="57">
        <f t="shared" si="219"/>
        <v>-70.654999999999987</v>
      </c>
      <c r="M252" s="57">
        <f t="shared" si="219"/>
        <v>2122.8999999999996</v>
      </c>
      <c r="N252" s="57">
        <f t="shared" si="219"/>
        <v>-354.50100000000009</v>
      </c>
      <c r="O252" s="57">
        <f t="shared" si="219"/>
        <v>5.6670000000001526</v>
      </c>
      <c r="P252" s="57">
        <f t="shared" si="219"/>
        <v>-14.062000000000001</v>
      </c>
      <c r="Q252" s="57">
        <f t="shared" si="219"/>
        <v>-205.96899999999999</v>
      </c>
      <c r="R252" s="57">
        <f t="shared" si="219"/>
        <v>4531.6140000000005</v>
      </c>
      <c r="S252" s="57">
        <f t="shared" si="219"/>
        <v>-30.921000000000006</v>
      </c>
      <c r="T252" s="57">
        <f t="shared" si="219"/>
        <v>-107.32</v>
      </c>
      <c r="U252" s="57">
        <f t="shared" si="219"/>
        <v>-37.981000000000002</v>
      </c>
      <c r="V252" s="57">
        <f t="shared" si="219"/>
        <v>-278.12299999999999</v>
      </c>
      <c r="W252" s="57">
        <f t="shared" si="219"/>
        <v>-45.455000000000013</v>
      </c>
      <c r="X252" s="57">
        <f t="shared" si="219"/>
        <v>-79.695999999999998</v>
      </c>
      <c r="Y252" s="57">
        <f t="shared" si="219"/>
        <v>1658.9209999999998</v>
      </c>
      <c r="Z252" s="57">
        <f t="shared" si="219"/>
        <v>-375.41899999999998</v>
      </c>
      <c r="AA252" s="57">
        <f t="shared" si="219"/>
        <v>3126.6850000000004</v>
      </c>
      <c r="AB252" s="57">
        <f t="shared" si="219"/>
        <v>-1448.904</v>
      </c>
      <c r="AC252" s="57">
        <f t="shared" si="219"/>
        <v>218.55800000000011</v>
      </c>
      <c r="AD252" s="57">
        <f t="shared" si="219"/>
        <v>-1176.1589999999999</v>
      </c>
      <c r="AE252" s="57">
        <f>SUM(AE253:AE267)</f>
        <v>255.26399999999992</v>
      </c>
      <c r="AF252" s="57">
        <f>SUM(AF253:AF267)</f>
        <v>-408.90900000000005</v>
      </c>
      <c r="AG252" s="57">
        <f>SUM(AG253:AG267)</f>
        <v>218.00000000000011</v>
      </c>
      <c r="AH252" s="57">
        <f>SUM(AH253:AH267)</f>
        <v>-1249.6750000000002</v>
      </c>
      <c r="AI252" s="57">
        <f>SUM(AI253:AI267)</f>
        <v>153.80900000000022</v>
      </c>
      <c r="AJ252" s="57">
        <f>SUM(AJ253:AJ268)</f>
        <v>-1109.1659999999999</v>
      </c>
      <c r="AK252" s="57">
        <f>SUM(AK253:AK268)</f>
        <v>41.209999999999965</v>
      </c>
      <c r="AL252" s="57">
        <f>SUM(AL253:AL268)</f>
        <v>-1167.7439999999997</v>
      </c>
      <c r="AM252" s="57">
        <f>SUM(AM253:AM268)</f>
        <v>907.65399999999977</v>
      </c>
      <c r="AN252" s="57">
        <f>SUM(AN253:AN268)</f>
        <v>-260.83100000000002</v>
      </c>
      <c r="AO252" s="57">
        <f>SUM(AO253:AO269)</f>
        <v>-800.30400000000009</v>
      </c>
      <c r="AP252" s="57">
        <f>SUM(AP253:AP269)</f>
        <v>-390.21899999999999</v>
      </c>
      <c r="AQ252" s="57">
        <f>SUM(AQ253:AQ269)</f>
        <v>-1788.8989999999997</v>
      </c>
      <c r="AR252" s="57">
        <f>SUM(AR253:AR269)</f>
        <v>-186.65600000000001</v>
      </c>
      <c r="AS252" s="63"/>
      <c r="AT252" s="57">
        <f t="shared" ref="AT252:AY252" si="220">SUM(AT253:AT267)</f>
        <v>-162.19499999999996</v>
      </c>
      <c r="AU252" s="57">
        <f t="shared" si="220"/>
        <v>1703.4110000000001</v>
      </c>
      <c r="AV252" s="57">
        <f t="shared" si="220"/>
        <v>4280.6619999999994</v>
      </c>
      <c r="AW252" s="57">
        <f t="shared" si="220"/>
        <v>-468.87899999999996</v>
      </c>
      <c r="AX252" s="57">
        <f t="shared" si="220"/>
        <v>4330.4910000000009</v>
      </c>
      <c r="AY252" s="57">
        <f t="shared" si="220"/>
        <v>-2151.241</v>
      </c>
      <c r="AZ252" s="57">
        <f>SUM(AZ253:AZ267)</f>
        <v>-1286.7749999999996</v>
      </c>
      <c r="BA252" s="57">
        <f>SUM(BA253:BA268)</f>
        <v>-1328.0459999999998</v>
      </c>
      <c r="BB252" s="57">
        <f t="shared" si="215"/>
        <v>-3240.2529999999997</v>
      </c>
      <c r="BC252" s="37"/>
      <c r="BD252" s="37"/>
      <c r="BE252" s="37"/>
    </row>
    <row r="253" spans="2:57" outlineLevel="2">
      <c r="B253" s="14" t="s">
        <v>270</v>
      </c>
      <c r="C253" s="83" t="s">
        <v>71</v>
      </c>
      <c r="D253" s="53"/>
      <c r="E253" s="53"/>
      <c r="F253" s="53"/>
      <c r="G253" s="53"/>
      <c r="H253" s="53">
        <v>0.29599999999999999</v>
      </c>
      <c r="I253" s="53">
        <v>0.29499999999999998</v>
      </c>
      <c r="J253" s="53">
        <v>0.29599999999999999</v>
      </c>
      <c r="K253" s="53">
        <v>-1.704</v>
      </c>
      <c r="L253" s="53">
        <v>0.29599999999999999</v>
      </c>
      <c r="M253" s="53">
        <v>-5.7</v>
      </c>
      <c r="N253" s="53">
        <v>3.9999999999995595E-3</v>
      </c>
      <c r="O253" s="53">
        <v>4.1000000000000369E-2</v>
      </c>
      <c r="P253" s="53">
        <v>0</v>
      </c>
      <c r="Q253" s="53">
        <v>8.9999999999999993E-3</v>
      </c>
      <c r="R253" s="53">
        <v>-8.9999999999999993E-3</v>
      </c>
      <c r="S253" s="53">
        <v>0</v>
      </c>
      <c r="T253" s="53">
        <v>0</v>
      </c>
      <c r="U253" s="53">
        <v>0</v>
      </c>
      <c r="V253" s="53">
        <v>0</v>
      </c>
      <c r="W253" s="53">
        <v>0</v>
      </c>
      <c r="X253" s="53">
        <v>0</v>
      </c>
      <c r="Y253" s="53">
        <v>0</v>
      </c>
      <c r="Z253" s="53">
        <v>0</v>
      </c>
      <c r="AA253" s="53">
        <v>0</v>
      </c>
      <c r="AB253" s="53">
        <v>0</v>
      </c>
      <c r="AC253" s="53">
        <v>0</v>
      </c>
      <c r="AD253" s="53">
        <v>0</v>
      </c>
      <c r="AE253" s="53">
        <v>0</v>
      </c>
      <c r="AF253" s="53">
        <v>0</v>
      </c>
      <c r="AG253" s="53">
        <v>0</v>
      </c>
      <c r="AH253" s="53">
        <v>0</v>
      </c>
      <c r="AI253" s="53">
        <v>0</v>
      </c>
      <c r="AJ253" s="53">
        <v>0</v>
      </c>
      <c r="AK253" s="53">
        <v>0</v>
      </c>
      <c r="AL253" s="53">
        <v>0</v>
      </c>
      <c r="AM253" s="53">
        <v>0</v>
      </c>
      <c r="AN253" s="53">
        <v>0</v>
      </c>
      <c r="AO253" s="53">
        <v>0</v>
      </c>
      <c r="AP253" s="53">
        <v>0</v>
      </c>
      <c r="AQ253" s="53">
        <v>0</v>
      </c>
      <c r="AR253" s="53">
        <v>0</v>
      </c>
      <c r="AS253" s="63"/>
      <c r="AT253" s="53">
        <f t="shared" ref="AT253:AT259" si="221">SUM(H253:K253)</f>
        <v>-0.81699999999999995</v>
      </c>
      <c r="AU253" s="53">
        <f t="shared" ref="AU253:AU259" si="222">SUM(L253:O253)</f>
        <v>-5.359</v>
      </c>
      <c r="AV253" s="53">
        <f t="shared" ref="AV253:AV259" si="223">SUM(P253:S253)</f>
        <v>0</v>
      </c>
      <c r="AW253" s="53">
        <f t="shared" ref="AW253:AW259" si="224">SUM(T253:W253)</f>
        <v>0</v>
      </c>
      <c r="AX253" s="53">
        <f t="shared" ref="AX253:AX269" si="225">SUM(X253:AA253)</f>
        <v>0</v>
      </c>
      <c r="AY253" s="53">
        <f t="shared" ref="AY253:AY269" si="226">SUM(AB253:AE253)</f>
        <v>0</v>
      </c>
      <c r="AZ253" s="53">
        <f t="shared" ref="AZ253:AZ269" si="227">SUM(AF253:AI253)</f>
        <v>0</v>
      </c>
      <c r="BA253" s="53">
        <f t="shared" ref="BA253:BA269" si="228">SUM(AJ253:AM253)</f>
        <v>0</v>
      </c>
      <c r="BB253" s="53">
        <f t="shared" si="215"/>
        <v>0</v>
      </c>
      <c r="BC253" s="37"/>
      <c r="BD253" s="37"/>
      <c r="BE253" s="37"/>
    </row>
    <row r="254" spans="2:57" outlineLevel="2">
      <c r="B254" s="14" t="s">
        <v>271</v>
      </c>
      <c r="C254" s="83" t="s">
        <v>71</v>
      </c>
      <c r="D254" s="53"/>
      <c r="E254" s="53"/>
      <c r="F254" s="53"/>
      <c r="G254" s="53"/>
      <c r="H254" s="53">
        <v>0</v>
      </c>
      <c r="I254" s="53">
        <v>0</v>
      </c>
      <c r="J254" s="53">
        <v>0</v>
      </c>
      <c r="K254" s="53">
        <v>0</v>
      </c>
      <c r="L254" s="53">
        <v>0</v>
      </c>
      <c r="M254" s="53">
        <v>0</v>
      </c>
      <c r="N254" s="53">
        <v>0</v>
      </c>
      <c r="O254" s="53">
        <v>0</v>
      </c>
      <c r="P254" s="53">
        <v>0</v>
      </c>
      <c r="Q254" s="53">
        <v>0</v>
      </c>
      <c r="R254" s="53">
        <v>2000</v>
      </c>
      <c r="S254" s="53">
        <v>0</v>
      </c>
      <c r="T254" s="53">
        <v>0</v>
      </c>
      <c r="U254" s="53">
        <v>0</v>
      </c>
      <c r="V254" s="53">
        <v>0</v>
      </c>
      <c r="W254" s="53">
        <v>0</v>
      </c>
      <c r="X254" s="53">
        <v>0</v>
      </c>
      <c r="Y254" s="53">
        <v>0</v>
      </c>
      <c r="Z254" s="53">
        <v>0</v>
      </c>
      <c r="AA254" s="53">
        <v>2500</v>
      </c>
      <c r="AB254" s="53">
        <v>0</v>
      </c>
      <c r="AC254" s="53">
        <v>2000</v>
      </c>
      <c r="AD254" s="53">
        <v>0</v>
      </c>
      <c r="AE254" s="53">
        <v>0</v>
      </c>
      <c r="AF254" s="53">
        <v>750</v>
      </c>
      <c r="AG254" s="53">
        <v>0</v>
      </c>
      <c r="AH254" s="53">
        <v>0</v>
      </c>
      <c r="AI254" s="53">
        <v>1000</v>
      </c>
      <c r="AJ254" s="53">
        <v>0</v>
      </c>
      <c r="AK254" s="55">
        <v>1000</v>
      </c>
      <c r="AL254" s="55">
        <f>1000-AJ254-AK254</f>
        <v>0</v>
      </c>
      <c r="AM254" s="55">
        <f>3000-AJ254-AK254-AL254</f>
        <v>2000</v>
      </c>
      <c r="AN254" s="53">
        <v>0</v>
      </c>
      <c r="AO254" s="53">
        <v>1500</v>
      </c>
      <c r="AP254" s="53">
        <v>0</v>
      </c>
      <c r="AQ254" s="53">
        <v>3650</v>
      </c>
      <c r="AR254" s="53">
        <v>0</v>
      </c>
      <c r="AS254" s="64"/>
      <c r="AT254" s="53">
        <f t="shared" si="221"/>
        <v>0</v>
      </c>
      <c r="AU254" s="53">
        <f t="shared" si="222"/>
        <v>0</v>
      </c>
      <c r="AV254" s="53">
        <f t="shared" si="223"/>
        <v>2000</v>
      </c>
      <c r="AW254" s="53">
        <f t="shared" si="224"/>
        <v>0</v>
      </c>
      <c r="AX254" s="53">
        <f t="shared" si="225"/>
        <v>2500</v>
      </c>
      <c r="AY254" s="53">
        <f t="shared" si="226"/>
        <v>2000</v>
      </c>
      <c r="AZ254" s="53">
        <f t="shared" si="227"/>
        <v>1750</v>
      </c>
      <c r="BA254" s="53">
        <f t="shared" si="228"/>
        <v>3000</v>
      </c>
      <c r="BB254" s="53">
        <f t="shared" si="215"/>
        <v>5150</v>
      </c>
      <c r="BC254" s="37"/>
      <c r="BD254" s="37"/>
      <c r="BE254" s="37"/>
    </row>
    <row r="255" spans="2:57" outlineLevel="2">
      <c r="B255" s="14" t="s">
        <v>272</v>
      </c>
      <c r="C255" s="83" t="s">
        <v>71</v>
      </c>
      <c r="D255" s="53"/>
      <c r="E255" s="53"/>
      <c r="F255" s="53"/>
      <c r="G255" s="53"/>
      <c r="H255" s="53">
        <v>0</v>
      </c>
      <c r="I255" s="53">
        <v>0</v>
      </c>
      <c r="J255" s="53">
        <v>0</v>
      </c>
      <c r="K255" s="53">
        <v>0</v>
      </c>
      <c r="L255" s="53">
        <v>0</v>
      </c>
      <c r="M255" s="53">
        <v>0</v>
      </c>
      <c r="N255" s="53">
        <v>0</v>
      </c>
      <c r="O255" s="53">
        <v>0</v>
      </c>
      <c r="P255" s="53">
        <v>0</v>
      </c>
      <c r="Q255" s="53">
        <v>0</v>
      </c>
      <c r="R255" s="53">
        <v>0</v>
      </c>
      <c r="S255" s="53">
        <v>0</v>
      </c>
      <c r="T255" s="53">
        <v>-77.774000000000001</v>
      </c>
      <c r="U255" s="53">
        <v>79.837999999999994</v>
      </c>
      <c r="V255" s="53">
        <v>0.217</v>
      </c>
      <c r="W255" s="53">
        <v>-2.8999999999997611E-2</v>
      </c>
      <c r="X255" s="53">
        <v>0</v>
      </c>
      <c r="Y255" s="53">
        <v>0</v>
      </c>
      <c r="Z255" s="53">
        <v>0</v>
      </c>
      <c r="AA255" s="53">
        <v>1001.7</v>
      </c>
      <c r="AB255" s="53">
        <v>0</v>
      </c>
      <c r="AC255" s="53">
        <v>0</v>
      </c>
      <c r="AD255" s="53">
        <v>0</v>
      </c>
      <c r="AE255" s="53">
        <v>1321.26</v>
      </c>
      <c r="AF255" s="53">
        <v>257.38</v>
      </c>
      <c r="AG255" s="53">
        <v>2.6200000000000045</v>
      </c>
      <c r="AH255" s="53">
        <v>0</v>
      </c>
      <c r="AI255" s="53">
        <v>0</v>
      </c>
      <c r="AJ255" s="53">
        <v>0</v>
      </c>
      <c r="AK255" s="55">
        <v>0</v>
      </c>
      <c r="AL255" s="55">
        <f>260-AJ255-AK255</f>
        <v>260</v>
      </c>
      <c r="AM255" s="55">
        <f>260-AJ255-AK255-AL255</f>
        <v>0</v>
      </c>
      <c r="AN255" s="53">
        <v>0</v>
      </c>
      <c r="AO255" s="53">
        <v>0</v>
      </c>
      <c r="AP255" s="53">
        <v>0</v>
      </c>
      <c r="AQ255" s="53">
        <v>60.131999999999998</v>
      </c>
      <c r="AR255" s="53">
        <v>0</v>
      </c>
      <c r="AS255" s="64"/>
      <c r="AT255" s="53">
        <f t="shared" si="221"/>
        <v>0</v>
      </c>
      <c r="AU255" s="53">
        <f t="shared" si="222"/>
        <v>0</v>
      </c>
      <c r="AV255" s="53">
        <f t="shared" si="223"/>
        <v>0</v>
      </c>
      <c r="AW255" s="53">
        <f t="shared" si="224"/>
        <v>2.2519999999999953</v>
      </c>
      <c r="AX255" s="53">
        <f t="shared" si="225"/>
        <v>1001.7</v>
      </c>
      <c r="AY255" s="53">
        <f t="shared" si="226"/>
        <v>1321.26</v>
      </c>
      <c r="AZ255" s="53">
        <f t="shared" si="227"/>
        <v>260</v>
      </c>
      <c r="BA255" s="53">
        <f t="shared" si="228"/>
        <v>260</v>
      </c>
      <c r="BB255" s="53">
        <f t="shared" si="215"/>
        <v>60.131999999999998</v>
      </c>
      <c r="BC255" s="37"/>
      <c r="BD255" s="37"/>
      <c r="BE255" s="37"/>
    </row>
    <row r="256" spans="2:57" outlineLevel="2">
      <c r="B256" s="87" t="s">
        <v>273</v>
      </c>
      <c r="C256" s="83" t="s">
        <v>71</v>
      </c>
      <c r="D256" s="53"/>
      <c r="E256" s="53"/>
      <c r="F256" s="53"/>
      <c r="G256" s="53"/>
      <c r="H256" s="53">
        <v>0</v>
      </c>
      <c r="I256" s="53">
        <v>0</v>
      </c>
      <c r="J256" s="53">
        <v>0</v>
      </c>
      <c r="K256" s="53">
        <v>0</v>
      </c>
      <c r="L256" s="53">
        <v>0</v>
      </c>
      <c r="M256" s="53">
        <v>0</v>
      </c>
      <c r="N256" s="53">
        <v>0</v>
      </c>
      <c r="O256" s="53">
        <v>0</v>
      </c>
      <c r="P256" s="53">
        <v>0</v>
      </c>
      <c r="Q256" s="53">
        <v>0</v>
      </c>
      <c r="R256" s="53">
        <v>0</v>
      </c>
      <c r="S256" s="53">
        <v>0</v>
      </c>
      <c r="T256" s="53">
        <v>4.7300000000000004</v>
      </c>
      <c r="U256" s="53">
        <v>0</v>
      </c>
      <c r="V256" s="53">
        <v>-0.14100000000000001</v>
      </c>
      <c r="W256" s="53">
        <v>9.9999999999944578E-4</v>
      </c>
      <c r="X256" s="53">
        <v>6.2089999999999996</v>
      </c>
      <c r="Y256" s="53">
        <v>3.3819999999999997</v>
      </c>
      <c r="Z256" s="53">
        <v>-0.36299999999999955</v>
      </c>
      <c r="AA256" s="53">
        <v>9.9999999999997868E-3</v>
      </c>
      <c r="AB256" s="53">
        <v>-27.366</v>
      </c>
      <c r="AC256" s="53">
        <v>-2.6920000000000002</v>
      </c>
      <c r="AD256" s="53">
        <v>0.59599999999999997</v>
      </c>
      <c r="AE256" s="53">
        <v>-45.03</v>
      </c>
      <c r="AF256" s="53">
        <v>0</v>
      </c>
      <c r="AG256" s="53">
        <v>-78.272000000000006</v>
      </c>
      <c r="AH256" s="53">
        <v>0</v>
      </c>
      <c r="AI256" s="53">
        <v>9.5760000000000076</v>
      </c>
      <c r="AJ256" s="53">
        <v>-17.082000000000001</v>
      </c>
      <c r="AK256" s="55">
        <v>0</v>
      </c>
      <c r="AL256" s="55">
        <f>-7.066-AJ256-AK256</f>
        <v>10.016000000000002</v>
      </c>
      <c r="AM256" s="55">
        <f>-7.821-AJ256-AK256-AL256</f>
        <v>-0.75500000000000078</v>
      </c>
      <c r="AN256" s="53">
        <v>-8.0879999999999992</v>
      </c>
      <c r="AO256" s="53">
        <v>-0.72900000000000098</v>
      </c>
      <c r="AP256" s="53">
        <v>-12.417000000000002</v>
      </c>
      <c r="AQ256" s="53">
        <v>-2.097999999999999</v>
      </c>
      <c r="AR256" s="53">
        <v>-12.964</v>
      </c>
      <c r="AS256" s="64"/>
      <c r="AT256" s="53">
        <f t="shared" si="221"/>
        <v>0</v>
      </c>
      <c r="AU256" s="53">
        <f t="shared" si="222"/>
        <v>0</v>
      </c>
      <c r="AV256" s="53">
        <f t="shared" si="223"/>
        <v>0</v>
      </c>
      <c r="AW256" s="53">
        <f t="shared" si="224"/>
        <v>4.59</v>
      </c>
      <c r="AX256" s="53">
        <f t="shared" si="225"/>
        <v>9.2379999999999995</v>
      </c>
      <c r="AY256" s="53">
        <f t="shared" si="226"/>
        <v>-74.492000000000004</v>
      </c>
      <c r="AZ256" s="53">
        <f t="shared" si="227"/>
        <v>-68.695999999999998</v>
      </c>
      <c r="BA256" s="53">
        <f t="shared" si="228"/>
        <v>-7.8209999999999997</v>
      </c>
      <c r="BB256" s="53">
        <f t="shared" si="215"/>
        <v>-23.332000000000001</v>
      </c>
      <c r="BC256" s="37"/>
      <c r="BD256" s="37"/>
      <c r="BE256" s="37"/>
    </row>
    <row r="257" spans="2:57" outlineLevel="2">
      <c r="B257" s="87" t="s">
        <v>274</v>
      </c>
      <c r="C257" s="83" t="s">
        <v>71</v>
      </c>
      <c r="D257" s="53"/>
      <c r="E257" s="53"/>
      <c r="F257" s="53"/>
      <c r="G257" s="53"/>
      <c r="H257" s="53">
        <v>0</v>
      </c>
      <c r="I257" s="53">
        <v>0</v>
      </c>
      <c r="J257" s="53">
        <v>0</v>
      </c>
      <c r="K257" s="53">
        <v>0</v>
      </c>
      <c r="L257" s="53">
        <v>0</v>
      </c>
      <c r="M257" s="53">
        <v>-101</v>
      </c>
      <c r="N257" s="53">
        <v>0.1910000000000025</v>
      </c>
      <c r="O257" s="53">
        <v>9.9999999999056399E-4</v>
      </c>
      <c r="P257" s="53">
        <v>0</v>
      </c>
      <c r="Q257" s="53">
        <v>0</v>
      </c>
      <c r="R257" s="53">
        <v>-79.572000000000003</v>
      </c>
      <c r="S257" s="53">
        <v>0.23799999999999955</v>
      </c>
      <c r="T257" s="53">
        <v>0</v>
      </c>
      <c r="U257" s="53">
        <v>-84.218999999999994</v>
      </c>
      <c r="V257" s="53">
        <v>84.218999999999994</v>
      </c>
      <c r="W257" s="53">
        <v>0</v>
      </c>
      <c r="X257" s="53">
        <v>0</v>
      </c>
      <c r="Y257" s="53">
        <v>-53.079000000000001</v>
      </c>
      <c r="Z257" s="53">
        <v>-7.5000000000002842E-2</v>
      </c>
      <c r="AA257" s="53">
        <v>0</v>
      </c>
      <c r="AB257" s="53">
        <v>0</v>
      </c>
      <c r="AC257" s="53">
        <v>0</v>
      </c>
      <c r="AD257" s="53">
        <v>0</v>
      </c>
      <c r="AE257" s="53">
        <v>0</v>
      </c>
      <c r="AF257" s="53">
        <v>0</v>
      </c>
      <c r="AG257" s="53">
        <v>-24.744</v>
      </c>
      <c r="AH257" s="53">
        <v>-2.1810000000000009</v>
      </c>
      <c r="AI257" s="53">
        <v>0</v>
      </c>
      <c r="AJ257" s="53">
        <v>0</v>
      </c>
      <c r="AK257" s="55">
        <v>0</v>
      </c>
      <c r="AL257" s="55">
        <v>0</v>
      </c>
      <c r="AM257" s="55">
        <v>0</v>
      </c>
      <c r="AN257" s="53">
        <v>0</v>
      </c>
      <c r="AO257" s="53">
        <v>0</v>
      </c>
      <c r="AP257" s="53">
        <v>0.13400000000000001</v>
      </c>
      <c r="AQ257" s="53">
        <v>0</v>
      </c>
      <c r="AR257" s="53">
        <v>0</v>
      </c>
      <c r="AS257" s="64"/>
      <c r="AT257" s="53">
        <f t="shared" si="221"/>
        <v>0</v>
      </c>
      <c r="AU257" s="53">
        <f t="shared" si="222"/>
        <v>-100.80800000000001</v>
      </c>
      <c r="AV257" s="53">
        <f t="shared" si="223"/>
        <v>-79.334000000000003</v>
      </c>
      <c r="AW257" s="53">
        <f t="shared" si="224"/>
        <v>0</v>
      </c>
      <c r="AX257" s="53">
        <f t="shared" si="225"/>
        <v>-53.154000000000003</v>
      </c>
      <c r="AY257" s="53">
        <f t="shared" si="226"/>
        <v>0</v>
      </c>
      <c r="AZ257" s="53">
        <f t="shared" si="227"/>
        <v>-26.925000000000001</v>
      </c>
      <c r="BA257" s="53">
        <f t="shared" si="228"/>
        <v>0</v>
      </c>
      <c r="BB257" s="53">
        <f t="shared" si="215"/>
        <v>0.13400000000000001</v>
      </c>
      <c r="BC257" s="37"/>
      <c r="BD257" s="37"/>
      <c r="BE257" s="37"/>
    </row>
    <row r="258" spans="2:57" outlineLevel="2">
      <c r="B258" s="87" t="s">
        <v>275</v>
      </c>
      <c r="C258" s="83" t="s">
        <v>71</v>
      </c>
      <c r="D258" s="53"/>
      <c r="E258" s="53"/>
      <c r="F258" s="53"/>
      <c r="G258" s="53"/>
      <c r="H258" s="53">
        <v>0</v>
      </c>
      <c r="I258" s="53">
        <v>0</v>
      </c>
      <c r="J258" s="53">
        <v>0</v>
      </c>
      <c r="K258" s="53">
        <v>0</v>
      </c>
      <c r="L258" s="53">
        <v>0</v>
      </c>
      <c r="M258" s="53">
        <v>-0.5</v>
      </c>
      <c r="N258" s="53">
        <v>-2.028</v>
      </c>
      <c r="O258" s="53">
        <v>2.528</v>
      </c>
      <c r="P258" s="53">
        <v>0</v>
      </c>
      <c r="Q258" s="53">
        <v>0</v>
      </c>
      <c r="R258" s="53">
        <v>0</v>
      </c>
      <c r="S258" s="53">
        <v>-0.501</v>
      </c>
      <c r="T258" s="53">
        <v>0</v>
      </c>
      <c r="U258" s="53">
        <v>0</v>
      </c>
      <c r="V258" s="53">
        <v>-124.31399999999999</v>
      </c>
      <c r="W258" s="53">
        <v>-3.3520000000000039</v>
      </c>
      <c r="X258" s="53">
        <v>-18.125</v>
      </c>
      <c r="Y258" s="53">
        <v>-92.361999999999995</v>
      </c>
      <c r="Z258" s="53">
        <v>-63.527999999999977</v>
      </c>
      <c r="AA258" s="55">
        <v>16.841999999999985</v>
      </c>
      <c r="AB258" s="53">
        <v>-126.15300000000001</v>
      </c>
      <c r="AC258" s="53">
        <v>-1222.3009999999999</v>
      </c>
      <c r="AD258" s="53">
        <v>-821.08399999999995</v>
      </c>
      <c r="AE258" s="53">
        <v>-283.35300000000007</v>
      </c>
      <c r="AF258" s="53">
        <v>-1113.5260000000001</v>
      </c>
      <c r="AG258" s="53">
        <v>-162.96599999999989</v>
      </c>
      <c r="AH258" s="53">
        <v>-855.58600000000001</v>
      </c>
      <c r="AI258" s="53">
        <v>-146.83399999999983</v>
      </c>
      <c r="AJ258" s="53">
        <v>-750</v>
      </c>
      <c r="AK258" s="55">
        <v>0</v>
      </c>
      <c r="AL258" s="55">
        <f>-1914.964-AJ258-AK258</f>
        <v>-1164.9639999999999</v>
      </c>
      <c r="AM258" s="55">
        <f>-2061.631-AJ258-AK258-AL258</f>
        <v>-146.66699999999992</v>
      </c>
      <c r="AN258" s="53">
        <v>0</v>
      </c>
      <c r="AO258" s="53">
        <v>-1250</v>
      </c>
      <c r="AP258" s="53">
        <v>-167.55600000000004</v>
      </c>
      <c r="AQ258" s="53">
        <v>-3796.6659999999997</v>
      </c>
      <c r="AR258" s="53">
        <v>0</v>
      </c>
      <c r="AS258" s="64"/>
      <c r="AT258" s="53">
        <f t="shared" si="221"/>
        <v>0</v>
      </c>
      <c r="AU258" s="53">
        <f t="shared" si="222"/>
        <v>0</v>
      </c>
      <c r="AV258" s="53">
        <f t="shared" si="223"/>
        <v>-0.501</v>
      </c>
      <c r="AW258" s="53">
        <f t="shared" si="224"/>
        <v>-127.666</v>
      </c>
      <c r="AX258" s="55">
        <f t="shared" si="225"/>
        <v>-157.173</v>
      </c>
      <c r="AY258" s="53">
        <f t="shared" si="226"/>
        <v>-2452.8910000000001</v>
      </c>
      <c r="AZ258" s="53">
        <f t="shared" si="227"/>
        <v>-2278.9119999999998</v>
      </c>
      <c r="BA258" s="53">
        <f t="shared" si="228"/>
        <v>-2061.6309999999999</v>
      </c>
      <c r="BB258" s="53">
        <f t="shared" si="215"/>
        <v>-5214.2219999999998</v>
      </c>
      <c r="BC258" s="37"/>
      <c r="BD258" s="37"/>
      <c r="BE258" s="37"/>
    </row>
    <row r="259" spans="2:57" outlineLevel="2">
      <c r="B259" s="87" t="s">
        <v>276</v>
      </c>
      <c r="C259" s="83" t="s">
        <v>71</v>
      </c>
      <c r="D259" s="53"/>
      <c r="E259" s="53"/>
      <c r="F259" s="53"/>
      <c r="G259" s="53"/>
      <c r="H259" s="53"/>
      <c r="I259" s="53"/>
      <c r="J259" s="53"/>
      <c r="K259" s="53"/>
      <c r="L259" s="53"/>
      <c r="M259" s="53"/>
      <c r="N259" s="53"/>
      <c r="O259" s="53"/>
      <c r="P259" s="53"/>
      <c r="Q259" s="53"/>
      <c r="R259" s="53"/>
      <c r="S259" s="53"/>
      <c r="T259" s="53"/>
      <c r="U259" s="53"/>
      <c r="V259" s="53"/>
      <c r="W259" s="53"/>
      <c r="X259" s="53">
        <v>-30.704999999999998</v>
      </c>
      <c r="Y259" s="53">
        <v>-3.7860000000000014</v>
      </c>
      <c r="Z259" s="53"/>
      <c r="AA259" s="55">
        <v>-30.135999999999996</v>
      </c>
      <c r="AB259" s="53">
        <v>-185.482</v>
      </c>
      <c r="AC259" s="53">
        <v>-447.50099999999998</v>
      </c>
      <c r="AD259" s="53">
        <v>-232.45599999999999</v>
      </c>
      <c r="AE259" s="53">
        <v>-494.26699999999994</v>
      </c>
      <c r="AF259" s="53">
        <v>-197.66399999999999</v>
      </c>
      <c r="AG259" s="53">
        <v>-462.81500000000005</v>
      </c>
      <c r="AH259" s="53">
        <v>-206.75199999999995</v>
      </c>
      <c r="AI259" s="53">
        <v>-536.56700000000001</v>
      </c>
      <c r="AJ259" s="53">
        <v>-179.49799999999999</v>
      </c>
      <c r="AK259" s="55">
        <v>-517.76700000000005</v>
      </c>
      <c r="AL259" s="55">
        <f>-798.242-AJ259-AK259</f>
        <v>-100.97699999999986</v>
      </c>
      <c r="AM259" s="55">
        <f>-1369.487-AJ259-AK259-AL259</f>
        <v>-571.24500000000012</v>
      </c>
      <c r="AN259" s="53">
        <v>-25.667000000000002</v>
      </c>
      <c r="AO259" s="53">
        <v>-753.19600000000003</v>
      </c>
      <c r="AP259" s="53">
        <v>-27.576999999999998</v>
      </c>
      <c r="AQ259" s="53">
        <v>-932.39699999999993</v>
      </c>
      <c r="AR259" s="53">
        <v>-15.449</v>
      </c>
      <c r="AS259" s="64"/>
      <c r="AT259" s="53">
        <f t="shared" si="221"/>
        <v>0</v>
      </c>
      <c r="AU259" s="53">
        <f t="shared" si="222"/>
        <v>0</v>
      </c>
      <c r="AV259" s="53">
        <f t="shared" si="223"/>
        <v>0</v>
      </c>
      <c r="AW259" s="53">
        <f t="shared" si="224"/>
        <v>0</v>
      </c>
      <c r="AX259" s="55">
        <f t="shared" si="225"/>
        <v>-64.626999999999995</v>
      </c>
      <c r="AY259" s="53">
        <f t="shared" si="226"/>
        <v>-1359.7059999999999</v>
      </c>
      <c r="AZ259" s="53">
        <f t="shared" si="227"/>
        <v>-1403.798</v>
      </c>
      <c r="BA259" s="53">
        <f t="shared" si="228"/>
        <v>-1369.4870000000001</v>
      </c>
      <c r="BB259" s="53">
        <f t="shared" si="215"/>
        <v>-1738.837</v>
      </c>
      <c r="BC259" s="37"/>
      <c r="BD259" s="37"/>
      <c r="BE259" s="37"/>
    </row>
    <row r="260" spans="2:57" outlineLevel="2">
      <c r="B260" s="87" t="s">
        <v>277</v>
      </c>
      <c r="C260" s="83" t="s">
        <v>71</v>
      </c>
      <c r="D260" s="53"/>
      <c r="E260" s="53"/>
      <c r="F260" s="53"/>
      <c r="G260" s="53"/>
      <c r="H260" s="53">
        <v>0</v>
      </c>
      <c r="I260" s="53">
        <v>0</v>
      </c>
      <c r="J260" s="53">
        <v>0</v>
      </c>
      <c r="K260" s="53">
        <v>0</v>
      </c>
      <c r="L260" s="53">
        <v>0</v>
      </c>
      <c r="M260" s="53">
        <v>0</v>
      </c>
      <c r="N260" s="53">
        <v>0</v>
      </c>
      <c r="O260" s="53">
        <v>0</v>
      </c>
      <c r="P260" s="53">
        <v>0</v>
      </c>
      <c r="Q260" s="53">
        <v>0</v>
      </c>
      <c r="R260" s="53">
        <v>0</v>
      </c>
      <c r="S260" s="53">
        <v>0</v>
      </c>
      <c r="T260" s="53">
        <v>0</v>
      </c>
      <c r="U260" s="53">
        <v>0</v>
      </c>
      <c r="V260" s="53">
        <v>0</v>
      </c>
      <c r="W260" s="53">
        <v>0</v>
      </c>
      <c r="X260" s="53">
        <v>0</v>
      </c>
      <c r="Y260" s="53">
        <v>0</v>
      </c>
      <c r="Z260" s="53">
        <v>0</v>
      </c>
      <c r="AA260" s="53">
        <v>-47.820999999999998</v>
      </c>
      <c r="AB260" s="53">
        <v>0</v>
      </c>
      <c r="AC260" s="53">
        <v>-9.7569999999999997</v>
      </c>
      <c r="AD260" s="53">
        <v>0.10100000000000001</v>
      </c>
      <c r="AE260" s="53">
        <v>-23.208000000000002</v>
      </c>
      <c r="AF260" s="53">
        <v>0</v>
      </c>
      <c r="AG260" s="53">
        <v>-2.6549999999999998</v>
      </c>
      <c r="AH260" s="53">
        <v>5.2569999999999997</v>
      </c>
      <c r="AI260" s="53">
        <v>-3.387</v>
      </c>
      <c r="AJ260" s="53">
        <v>0</v>
      </c>
      <c r="AK260" s="55">
        <v>-5.907</v>
      </c>
      <c r="AL260" s="55">
        <f>-5.907-AJ260-AK260</f>
        <v>0</v>
      </c>
      <c r="AM260" s="55">
        <f>-16.407-AJ260-AK260-AL260</f>
        <v>-10.5</v>
      </c>
      <c r="AN260" s="53">
        <v>-0.373</v>
      </c>
      <c r="AO260" s="53">
        <v>-5.9689999999999994</v>
      </c>
      <c r="AP260" s="53">
        <v>0</v>
      </c>
      <c r="AQ260" s="53">
        <v>-13.393000000000001</v>
      </c>
      <c r="AR260" s="53">
        <v>0</v>
      </c>
      <c r="AS260" s="64"/>
      <c r="AT260" s="53"/>
      <c r="AU260" s="53"/>
      <c r="AV260" s="53"/>
      <c r="AW260" s="53"/>
      <c r="AX260" s="53">
        <f t="shared" si="225"/>
        <v>-47.820999999999998</v>
      </c>
      <c r="AY260" s="53">
        <f t="shared" si="226"/>
        <v>-32.864000000000004</v>
      </c>
      <c r="AZ260" s="53">
        <f t="shared" si="227"/>
        <v>-0.78500000000000014</v>
      </c>
      <c r="BA260" s="53">
        <f t="shared" si="228"/>
        <v>-16.407</v>
      </c>
      <c r="BB260" s="53">
        <f t="shared" si="215"/>
        <v>-19.734999999999999</v>
      </c>
      <c r="BC260" s="37"/>
      <c r="BD260" s="37"/>
      <c r="BE260" s="37"/>
    </row>
    <row r="261" spans="2:57" outlineLevel="2">
      <c r="B261" s="87" t="s">
        <v>278</v>
      </c>
      <c r="C261" s="83" t="s">
        <v>71</v>
      </c>
      <c r="D261" s="53"/>
      <c r="E261" s="53"/>
      <c r="F261" s="53"/>
      <c r="G261" s="53"/>
      <c r="H261" s="53">
        <v>0</v>
      </c>
      <c r="I261" s="53">
        <v>0</v>
      </c>
      <c r="J261" s="53">
        <v>0</v>
      </c>
      <c r="K261" s="53">
        <v>0</v>
      </c>
      <c r="L261" s="53">
        <v>0</v>
      </c>
      <c r="M261" s="53">
        <v>0</v>
      </c>
      <c r="N261" s="53">
        <v>0</v>
      </c>
      <c r="O261" s="53">
        <v>0</v>
      </c>
      <c r="P261" s="53">
        <v>0</v>
      </c>
      <c r="Q261" s="53">
        <v>0</v>
      </c>
      <c r="R261" s="53">
        <v>0</v>
      </c>
      <c r="S261" s="53">
        <v>0</v>
      </c>
      <c r="T261" s="53">
        <v>0</v>
      </c>
      <c r="U261" s="53">
        <v>0</v>
      </c>
      <c r="V261" s="53">
        <v>0</v>
      </c>
      <c r="W261" s="53">
        <v>0</v>
      </c>
      <c r="X261" s="53">
        <v>0</v>
      </c>
      <c r="Y261" s="53">
        <v>0</v>
      </c>
      <c r="Z261" s="53">
        <v>-137.959</v>
      </c>
      <c r="AA261" s="53">
        <v>-1.5349999999999966</v>
      </c>
      <c r="AB261" s="53">
        <v>-0.58699999999999997</v>
      </c>
      <c r="AC261" s="53">
        <v>-23.64</v>
      </c>
      <c r="AD261" s="53">
        <v>-48.121000000000002</v>
      </c>
      <c r="AE261" s="53">
        <v>-9.1740000000000066</v>
      </c>
      <c r="AF261" s="53">
        <v>-4.8879999999999999</v>
      </c>
      <c r="AG261" s="53">
        <v>-3.0540000000000003</v>
      </c>
      <c r="AH261" s="53">
        <v>-41.652000000000001</v>
      </c>
      <c r="AI261" s="53">
        <v>-47.460999999999999</v>
      </c>
      <c r="AJ261" s="53">
        <v>-1.706</v>
      </c>
      <c r="AK261" s="55">
        <v>-306.488</v>
      </c>
      <c r="AL261" s="55">
        <f>-358.651-AJ261-AK261</f>
        <v>-50.456999999999994</v>
      </c>
      <c r="AM261" s="55">
        <f>-375.108-AJ261-AK261-AL261</f>
        <v>-16.456999999999994</v>
      </c>
      <c r="AN261" s="53">
        <v>-68.629000000000005</v>
      </c>
      <c r="AO261" s="53">
        <v>-157.065</v>
      </c>
      <c r="AP261" s="53">
        <v>-40.760999999999967</v>
      </c>
      <c r="AQ261" s="53">
        <v>-211.48200000000003</v>
      </c>
      <c r="AR261" s="53">
        <v>-10</v>
      </c>
      <c r="AS261" s="64"/>
      <c r="AT261" s="53"/>
      <c r="AU261" s="53"/>
      <c r="AV261" s="53"/>
      <c r="AW261" s="53"/>
      <c r="AX261" s="53">
        <f t="shared" si="225"/>
        <v>-139.494</v>
      </c>
      <c r="AY261" s="53">
        <f t="shared" si="226"/>
        <v>-81.522000000000006</v>
      </c>
      <c r="AZ261" s="53">
        <f t="shared" si="227"/>
        <v>-97.055000000000007</v>
      </c>
      <c r="BA261" s="53">
        <f t="shared" si="228"/>
        <v>-375.108</v>
      </c>
      <c r="BB261" s="53">
        <f t="shared" si="215"/>
        <v>-477.93700000000001</v>
      </c>
      <c r="BC261" s="37"/>
      <c r="BD261" s="37"/>
      <c r="BE261" s="37"/>
    </row>
    <row r="262" spans="2:57" outlineLevel="2">
      <c r="B262" s="87" t="s">
        <v>279</v>
      </c>
      <c r="C262" s="83" t="s">
        <v>71</v>
      </c>
      <c r="D262" s="53"/>
      <c r="E262" s="53"/>
      <c r="F262" s="53"/>
      <c r="G262" s="53"/>
      <c r="H262" s="53">
        <v>-11.638999999999999</v>
      </c>
      <c r="I262" s="53">
        <v>-123.43900000000001</v>
      </c>
      <c r="J262" s="53">
        <v>-20.929999999999993</v>
      </c>
      <c r="K262" s="53">
        <v>-5.3699999999999761</v>
      </c>
      <c r="L262" s="53">
        <v>-70.119</v>
      </c>
      <c r="M262" s="53">
        <v>-401.1</v>
      </c>
      <c r="N262" s="53">
        <v>-352.67699999999991</v>
      </c>
      <c r="O262" s="53">
        <v>0.12399999999990996</v>
      </c>
      <c r="P262" s="53">
        <v>0</v>
      </c>
      <c r="Q262" s="53">
        <v>-188.61699999999999</v>
      </c>
      <c r="R262" s="53">
        <v>-2.4510000000000001</v>
      </c>
      <c r="S262" s="53">
        <v>-1.664000000000009</v>
      </c>
      <c r="T262" s="53">
        <v>0</v>
      </c>
      <c r="U262" s="53">
        <v>0</v>
      </c>
      <c r="V262" s="53">
        <v>-204.65299999999999</v>
      </c>
      <c r="W262" s="53">
        <v>0</v>
      </c>
      <c r="X262" s="53">
        <v>0</v>
      </c>
      <c r="Y262" s="53">
        <v>-186.072</v>
      </c>
      <c r="Z262" s="53">
        <v>-59.597999999999999</v>
      </c>
      <c r="AA262" s="53">
        <v>-38.918000000000006</v>
      </c>
      <c r="AB262" s="53">
        <v>-1017.144</v>
      </c>
      <c r="AC262" s="53">
        <v>0</v>
      </c>
      <c r="AD262" s="53">
        <v>-1E-3</v>
      </c>
      <c r="AE262" s="53">
        <v>-4.4999999999959073E-2</v>
      </c>
      <c r="AF262" s="53">
        <v>0</v>
      </c>
      <c r="AG262" s="53">
        <v>0</v>
      </c>
      <c r="AH262" s="53">
        <v>0</v>
      </c>
      <c r="AI262" s="53">
        <v>0</v>
      </c>
      <c r="AJ262" s="53">
        <v>0</v>
      </c>
      <c r="AK262" s="55">
        <v>0</v>
      </c>
      <c r="AL262" s="55">
        <v>0</v>
      </c>
      <c r="AM262" s="55">
        <v>0</v>
      </c>
      <c r="AN262" s="53">
        <v>0</v>
      </c>
      <c r="AO262" s="53">
        <v>0</v>
      </c>
      <c r="AP262" s="53">
        <v>0</v>
      </c>
      <c r="AQ262" s="53">
        <v>0</v>
      </c>
      <c r="AR262" s="53">
        <v>0</v>
      </c>
      <c r="AS262" s="64"/>
      <c r="AT262" s="53">
        <f>SUM(H262:K262)</f>
        <v>-161.37799999999996</v>
      </c>
      <c r="AU262" s="53">
        <f>SUM(L262:O262)</f>
        <v>-823.77200000000005</v>
      </c>
      <c r="AV262" s="53">
        <f>SUM(P262:S262)</f>
        <v>-192.732</v>
      </c>
      <c r="AW262" s="53">
        <f>SUM(T262:W262)</f>
        <v>-204.65299999999999</v>
      </c>
      <c r="AX262" s="53">
        <f t="shared" si="225"/>
        <v>-284.58800000000002</v>
      </c>
      <c r="AY262" s="53">
        <f t="shared" si="226"/>
        <v>-1017.1899999999999</v>
      </c>
      <c r="AZ262" s="53">
        <f t="shared" si="227"/>
        <v>0</v>
      </c>
      <c r="BA262" s="53">
        <f t="shared" si="228"/>
        <v>0</v>
      </c>
      <c r="BB262" s="53">
        <f t="shared" si="215"/>
        <v>0</v>
      </c>
      <c r="BC262" s="37"/>
      <c r="BD262" s="37"/>
      <c r="BE262" s="37"/>
    </row>
    <row r="263" spans="2:57" outlineLevel="2">
      <c r="B263" s="87" t="s">
        <v>280</v>
      </c>
      <c r="C263" s="83" t="s">
        <v>71</v>
      </c>
      <c r="D263" s="53"/>
      <c r="E263" s="53"/>
      <c r="F263" s="53"/>
      <c r="G263" s="53"/>
      <c r="H263" s="53">
        <v>0</v>
      </c>
      <c r="I263" s="53">
        <v>0</v>
      </c>
      <c r="J263" s="53">
        <v>0</v>
      </c>
      <c r="K263" s="53">
        <v>0</v>
      </c>
      <c r="L263" s="53">
        <v>0</v>
      </c>
      <c r="M263" s="53">
        <v>0</v>
      </c>
      <c r="N263" s="53">
        <v>0</v>
      </c>
      <c r="O263" s="53">
        <v>0</v>
      </c>
      <c r="P263" s="53">
        <v>-23.062000000000001</v>
      </c>
      <c r="Q263" s="53">
        <v>-25.861000000000001</v>
      </c>
      <c r="R263" s="53">
        <v>-28.860000000000003</v>
      </c>
      <c r="S263" s="53">
        <v>-30.430999999999994</v>
      </c>
      <c r="T263" s="53">
        <v>-34.265000000000001</v>
      </c>
      <c r="U263" s="53">
        <v>-33.884</v>
      </c>
      <c r="V263" s="53">
        <v>-33.453999999999994</v>
      </c>
      <c r="W263" s="53">
        <v>-39.457000000000008</v>
      </c>
      <c r="X263" s="53">
        <v>-37.075000000000003</v>
      </c>
      <c r="Y263" s="53">
        <v>-34.155999999999992</v>
      </c>
      <c r="Z263" s="53">
        <v>-40.081000000000003</v>
      </c>
      <c r="AA263" s="53">
        <v>-43.991</v>
      </c>
      <c r="AB263" s="53">
        <v>-62.892000000000003</v>
      </c>
      <c r="AC263" s="53">
        <v>-75.551000000000002</v>
      </c>
      <c r="AD263" s="53">
        <v>-75.194000000000003</v>
      </c>
      <c r="AE263" s="53">
        <v>-113.35800000000003</v>
      </c>
      <c r="AF263" s="53">
        <v>-102.42</v>
      </c>
      <c r="AG263" s="53">
        <v>-109.26899999999999</v>
      </c>
      <c r="AH263" s="53">
        <v>-122.36100000000002</v>
      </c>
      <c r="AI263" s="53">
        <v>-121.51799999999994</v>
      </c>
      <c r="AJ263" s="53">
        <v>-120.169</v>
      </c>
      <c r="AK263" s="55">
        <v>-122.07899999999999</v>
      </c>
      <c r="AL263" s="55">
        <f>-363.61-AJ263-AK263</f>
        <v>-121.36200000000004</v>
      </c>
      <c r="AM263" s="55">
        <f>-510.243-AJ263-AK263-AL263</f>
        <v>-146.63299999999998</v>
      </c>
      <c r="AN263" s="53">
        <v>-132.422</v>
      </c>
      <c r="AO263" s="53">
        <v>-133.47400000000002</v>
      </c>
      <c r="AP263" s="53">
        <v>-140.55899999999997</v>
      </c>
      <c r="AQ263" s="53">
        <v>-158.92000000000002</v>
      </c>
      <c r="AR263" s="53">
        <v>-148.24299999999999</v>
      </c>
      <c r="AS263" s="64"/>
      <c r="AT263" s="53">
        <f>SUM(H263:K263)</f>
        <v>0</v>
      </c>
      <c r="AU263" s="53">
        <f>SUM(L263:O263)</f>
        <v>0</v>
      </c>
      <c r="AV263" s="53">
        <f>SUM(P263:S263)</f>
        <v>-108.214</v>
      </c>
      <c r="AW263" s="53">
        <f>SUM(T263:W263)</f>
        <v>-141.06</v>
      </c>
      <c r="AX263" s="53">
        <f t="shared" si="225"/>
        <v>-155.303</v>
      </c>
      <c r="AY263" s="53">
        <f t="shared" si="226"/>
        <v>-326.995</v>
      </c>
      <c r="AZ263" s="53">
        <f t="shared" si="227"/>
        <v>-455.56799999999998</v>
      </c>
      <c r="BA263" s="53">
        <f t="shared" si="228"/>
        <v>-510.24299999999999</v>
      </c>
      <c r="BB263" s="53">
        <f t="shared" si="215"/>
        <v>-565.375</v>
      </c>
      <c r="BC263" s="37"/>
      <c r="BD263" s="37"/>
      <c r="BE263" s="37"/>
    </row>
    <row r="264" spans="2:57" outlineLevel="2">
      <c r="B264" s="87" t="s">
        <v>281</v>
      </c>
      <c r="C264" s="83" t="s">
        <v>71</v>
      </c>
      <c r="D264" s="53"/>
      <c r="E264" s="53"/>
      <c r="F264" s="53"/>
      <c r="G264" s="53"/>
      <c r="H264" s="53">
        <v>0</v>
      </c>
      <c r="I264" s="53">
        <v>0</v>
      </c>
      <c r="J264" s="53">
        <v>0</v>
      </c>
      <c r="K264" s="53">
        <v>0</v>
      </c>
      <c r="L264" s="53">
        <v>0</v>
      </c>
      <c r="M264" s="53">
        <v>2631</v>
      </c>
      <c r="N264" s="53">
        <v>2.7999999999792635E-2</v>
      </c>
      <c r="O264" s="53">
        <v>-9.9999999974897946E-4</v>
      </c>
      <c r="P264" s="53">
        <v>0</v>
      </c>
      <c r="Q264" s="53">
        <v>0</v>
      </c>
      <c r="R264" s="53">
        <v>2664.4949999999999</v>
      </c>
      <c r="S264" s="53">
        <v>0</v>
      </c>
      <c r="T264" s="53">
        <v>0</v>
      </c>
      <c r="U264" s="53">
        <v>0</v>
      </c>
      <c r="V264" s="53">
        <v>0</v>
      </c>
      <c r="W264" s="53">
        <v>0</v>
      </c>
      <c r="X264" s="53">
        <v>0</v>
      </c>
      <c r="Y264" s="53">
        <v>2025</v>
      </c>
      <c r="Z264" s="53">
        <v>0</v>
      </c>
      <c r="AA264" s="53">
        <v>0</v>
      </c>
      <c r="AB264" s="53">
        <v>0</v>
      </c>
      <c r="AC264" s="53">
        <v>0</v>
      </c>
      <c r="AD264" s="53">
        <v>0</v>
      </c>
      <c r="AE264" s="53">
        <v>1.089</v>
      </c>
      <c r="AF264" s="53">
        <v>0</v>
      </c>
      <c r="AG264" s="53">
        <v>1059.155</v>
      </c>
      <c r="AH264" s="53">
        <v>0</v>
      </c>
      <c r="AI264" s="53">
        <v>0</v>
      </c>
      <c r="AJ264" s="53">
        <v>0</v>
      </c>
      <c r="AK264" s="55">
        <v>0</v>
      </c>
      <c r="AL264" s="55">
        <v>0</v>
      </c>
      <c r="AM264" s="55">
        <v>0</v>
      </c>
      <c r="AN264" s="53">
        <v>0</v>
      </c>
      <c r="AO264" s="53">
        <v>0</v>
      </c>
      <c r="AP264" s="53">
        <v>0</v>
      </c>
      <c r="AQ264" s="53">
        <v>0</v>
      </c>
      <c r="AR264" s="53">
        <v>0</v>
      </c>
      <c r="AS264" s="64"/>
      <c r="AT264" s="53">
        <f>SUM(H264:K264)</f>
        <v>0</v>
      </c>
      <c r="AU264" s="53">
        <f>SUM(L264:O264)</f>
        <v>2631.027</v>
      </c>
      <c r="AV264" s="53">
        <f>SUM(P264:S264)</f>
        <v>2664.4949999999999</v>
      </c>
      <c r="AW264" s="53">
        <f>SUM(T264:W264)</f>
        <v>0</v>
      </c>
      <c r="AX264" s="53">
        <f t="shared" si="225"/>
        <v>2025</v>
      </c>
      <c r="AY264" s="53">
        <f t="shared" si="226"/>
        <v>1.089</v>
      </c>
      <c r="AZ264" s="53">
        <f t="shared" si="227"/>
        <v>1059.155</v>
      </c>
      <c r="BA264" s="53">
        <f t="shared" si="228"/>
        <v>0</v>
      </c>
      <c r="BB264" s="53">
        <f t="shared" si="215"/>
        <v>0</v>
      </c>
      <c r="BC264" s="37"/>
      <c r="BD264" s="37"/>
      <c r="BE264" s="37"/>
    </row>
    <row r="265" spans="2:57" outlineLevel="2">
      <c r="B265" s="87" t="s">
        <v>282</v>
      </c>
      <c r="C265" s="83" t="s">
        <v>71</v>
      </c>
      <c r="D265" s="53"/>
      <c r="E265" s="53"/>
      <c r="F265" s="53"/>
      <c r="G265" s="53"/>
      <c r="H265" s="53">
        <v>0</v>
      </c>
      <c r="I265" s="53">
        <v>0</v>
      </c>
      <c r="J265" s="53">
        <v>0</v>
      </c>
      <c r="K265" s="53">
        <v>0</v>
      </c>
      <c r="L265" s="53">
        <v>0</v>
      </c>
      <c r="M265" s="53">
        <v>0</v>
      </c>
      <c r="N265" s="53">
        <v>0</v>
      </c>
      <c r="O265" s="53">
        <v>0</v>
      </c>
      <c r="P265" s="53">
        <v>0</v>
      </c>
      <c r="Q265" s="53">
        <v>0</v>
      </c>
      <c r="R265" s="53">
        <v>0</v>
      </c>
      <c r="S265" s="53">
        <v>0</v>
      </c>
      <c r="T265" s="53">
        <v>0</v>
      </c>
      <c r="U265" s="53">
        <v>0</v>
      </c>
      <c r="V265" s="53">
        <v>0</v>
      </c>
      <c r="W265" s="53">
        <v>0</v>
      </c>
      <c r="X265" s="53">
        <v>0</v>
      </c>
      <c r="Y265" s="53">
        <v>0</v>
      </c>
      <c r="Z265" s="53">
        <v>-73.995999999999995</v>
      </c>
      <c r="AA265" s="53">
        <v>-225.82800000000003</v>
      </c>
      <c r="AB265" s="53">
        <v>-29.28</v>
      </c>
      <c r="AC265" s="53">
        <v>0</v>
      </c>
      <c r="AD265" s="53">
        <v>0</v>
      </c>
      <c r="AE265" s="53">
        <v>-98.65</v>
      </c>
      <c r="AF265" s="53">
        <v>2.2090000000000001</v>
      </c>
      <c r="AG265" s="53">
        <v>0</v>
      </c>
      <c r="AH265" s="53">
        <v>-26.4</v>
      </c>
      <c r="AI265" s="53">
        <v>0</v>
      </c>
      <c r="AJ265" s="53">
        <v>-20.724</v>
      </c>
      <c r="AK265" s="55">
        <v>0</v>
      </c>
      <c r="AL265" s="55">
        <f>-20.724-AJ265-AK265</f>
        <v>0</v>
      </c>
      <c r="AM265" s="55">
        <f>-220.813-AJ265-AK265-AL265</f>
        <v>-200.089</v>
      </c>
      <c r="AN265" s="53">
        <v>-0.28599999999999998</v>
      </c>
      <c r="AO265" s="53">
        <v>-0.52800000000000002</v>
      </c>
      <c r="AP265" s="53">
        <v>-1.4830000000000001</v>
      </c>
      <c r="AQ265" s="53">
        <v>-384.07499999999999</v>
      </c>
      <c r="AR265" s="53">
        <v>0</v>
      </c>
      <c r="AS265" s="64"/>
      <c r="AT265" s="53"/>
      <c r="AU265" s="53"/>
      <c r="AV265" s="53"/>
      <c r="AW265" s="53"/>
      <c r="AX265" s="53">
        <f t="shared" si="225"/>
        <v>-299.82400000000001</v>
      </c>
      <c r="AY265" s="53">
        <f t="shared" si="226"/>
        <v>-127.93</v>
      </c>
      <c r="AZ265" s="53">
        <f t="shared" si="227"/>
        <v>-24.190999999999999</v>
      </c>
      <c r="BA265" s="53">
        <f t="shared" si="228"/>
        <v>-220.81299999999999</v>
      </c>
      <c r="BB265" s="53">
        <f t="shared" si="215"/>
        <v>-386.37200000000001</v>
      </c>
      <c r="BC265" s="37"/>
      <c r="BD265" s="37"/>
      <c r="BE265" s="37"/>
    </row>
    <row r="266" spans="2:57" outlineLevel="2">
      <c r="B266" s="87" t="s">
        <v>198</v>
      </c>
      <c r="C266" s="83" t="s">
        <v>71</v>
      </c>
      <c r="D266" s="53"/>
      <c r="E266" s="53"/>
      <c r="F266" s="53"/>
      <c r="G266" s="53"/>
      <c r="H266" s="53">
        <v>0</v>
      </c>
      <c r="I266" s="53">
        <v>0</v>
      </c>
      <c r="J266" s="53">
        <v>0</v>
      </c>
      <c r="K266" s="53">
        <v>0</v>
      </c>
      <c r="L266" s="53">
        <v>0</v>
      </c>
      <c r="M266" s="53">
        <v>0</v>
      </c>
      <c r="N266" s="53">
        <v>0</v>
      </c>
      <c r="O266" s="53">
        <v>0</v>
      </c>
      <c r="P266" s="53">
        <v>0</v>
      </c>
      <c r="Q266" s="53">
        <v>0</v>
      </c>
      <c r="R266" s="53">
        <v>0</v>
      </c>
      <c r="S266" s="53">
        <v>-2E-3</v>
      </c>
      <c r="T266" s="53">
        <v>0</v>
      </c>
      <c r="U266" s="53">
        <v>0</v>
      </c>
      <c r="V266" s="53">
        <v>0</v>
      </c>
      <c r="W266" s="53">
        <v>0</v>
      </c>
      <c r="X266" s="53">
        <v>0</v>
      </c>
      <c r="Y266" s="53">
        <v>0</v>
      </c>
      <c r="Z266" s="53">
        <v>0</v>
      </c>
      <c r="AA266" s="53">
        <v>0</v>
      </c>
      <c r="AB266" s="53">
        <v>0</v>
      </c>
      <c r="AC266" s="53">
        <v>0</v>
      </c>
      <c r="AD266" s="53">
        <v>0</v>
      </c>
      <c r="AE266" s="53">
        <v>0</v>
      </c>
      <c r="AF266" s="53">
        <v>0</v>
      </c>
      <c r="AG266" s="53">
        <v>0</v>
      </c>
      <c r="AH266" s="53">
        <v>0</v>
      </c>
      <c r="AI266" s="53">
        <v>0</v>
      </c>
      <c r="AJ266" s="53">
        <v>0</v>
      </c>
      <c r="AK266" s="55">
        <v>0</v>
      </c>
      <c r="AL266" s="55">
        <v>0</v>
      </c>
      <c r="AM266" s="55">
        <v>0</v>
      </c>
      <c r="AN266" s="53">
        <v>0</v>
      </c>
      <c r="AO266" s="53">
        <v>0</v>
      </c>
      <c r="AP266" s="53">
        <v>0</v>
      </c>
      <c r="AQ266" s="53">
        <v>0</v>
      </c>
      <c r="AR266" s="53">
        <v>0</v>
      </c>
      <c r="AS266" s="64"/>
      <c r="AT266" s="53">
        <f>SUM(H266:K266)</f>
        <v>0</v>
      </c>
      <c r="AU266" s="53">
        <f>SUM(L266:O266)</f>
        <v>0</v>
      </c>
      <c r="AV266" s="53">
        <f>SUM(P266:S266)</f>
        <v>-2E-3</v>
      </c>
      <c r="AW266" s="53">
        <f>SUM(T266:W266)</f>
        <v>0</v>
      </c>
      <c r="AX266" s="53">
        <f t="shared" si="225"/>
        <v>0</v>
      </c>
      <c r="AY266" s="53">
        <f t="shared" si="226"/>
        <v>0</v>
      </c>
      <c r="AZ266" s="53">
        <f t="shared" si="227"/>
        <v>0</v>
      </c>
      <c r="BA266" s="53">
        <f t="shared" si="228"/>
        <v>0</v>
      </c>
      <c r="BB266" s="53">
        <f t="shared" si="215"/>
        <v>0</v>
      </c>
      <c r="BC266" s="37"/>
      <c r="BD266" s="37"/>
      <c r="BE266" s="37"/>
    </row>
    <row r="267" spans="2:57" outlineLevel="2">
      <c r="B267" s="87" t="s">
        <v>283</v>
      </c>
      <c r="C267" s="83" t="s">
        <v>71</v>
      </c>
      <c r="D267" s="53"/>
      <c r="E267" s="53"/>
      <c r="F267" s="53"/>
      <c r="G267" s="53"/>
      <c r="H267" s="53">
        <v>0</v>
      </c>
      <c r="I267" s="53">
        <v>-1.083</v>
      </c>
      <c r="J267" s="53">
        <v>-3.400000000000003E-2</v>
      </c>
      <c r="K267" s="53">
        <v>1.117</v>
      </c>
      <c r="L267" s="53">
        <v>-0.83199999999999996</v>
      </c>
      <c r="M267" s="53">
        <v>0.2</v>
      </c>
      <c r="N267" s="53">
        <v>-1.9000000000000128E-2</v>
      </c>
      <c r="O267" s="53">
        <v>2.9740000000000002</v>
      </c>
      <c r="P267" s="53">
        <v>9</v>
      </c>
      <c r="Q267" s="53">
        <v>8.5</v>
      </c>
      <c r="R267" s="53">
        <v>-21.989000000000001</v>
      </c>
      <c r="S267" s="53">
        <v>1.4390000000000001</v>
      </c>
      <c r="T267" s="53">
        <v>-1.0999999999999999E-2</v>
      </c>
      <c r="U267" s="53">
        <v>0.28400000000000003</v>
      </c>
      <c r="V267" s="53">
        <v>3.0000000000000027E-3</v>
      </c>
      <c r="W267" s="53">
        <v>-2.6180000000000003</v>
      </c>
      <c r="X267" s="53">
        <v>0</v>
      </c>
      <c r="Y267" s="53">
        <v>-6.0000000000000001E-3</v>
      </c>
      <c r="Z267" s="53">
        <v>0.18099999999999999</v>
      </c>
      <c r="AA267" s="53">
        <v>-3.6379999999999999</v>
      </c>
      <c r="AB267" s="53">
        <v>0</v>
      </c>
      <c r="AC267" s="53">
        <v>0</v>
      </c>
      <c r="AD267" s="53">
        <v>0</v>
      </c>
      <c r="AE267" s="53">
        <v>0</v>
      </c>
      <c r="AF267" s="53">
        <v>0</v>
      </c>
      <c r="AG267" s="53">
        <v>0</v>
      </c>
      <c r="AH267" s="53">
        <v>0</v>
      </c>
      <c r="AI267" s="53">
        <v>0</v>
      </c>
      <c r="AJ267" s="53">
        <v>0</v>
      </c>
      <c r="AK267" s="55">
        <v>0</v>
      </c>
      <c r="AL267" s="55">
        <v>0</v>
      </c>
      <c r="AM267" s="55">
        <v>0</v>
      </c>
      <c r="AN267" s="53">
        <v>0</v>
      </c>
      <c r="AO267" s="53">
        <v>0</v>
      </c>
      <c r="AP267" s="53">
        <v>0</v>
      </c>
      <c r="AQ267" s="53">
        <v>0</v>
      </c>
      <c r="AR267" s="53">
        <v>0</v>
      </c>
      <c r="AS267" s="64"/>
      <c r="AT267" s="53">
        <f>SUM(H267:K267)</f>
        <v>0</v>
      </c>
      <c r="AU267" s="53">
        <f>SUM(L267:O267)</f>
        <v>2.3230000000000004</v>
      </c>
      <c r="AV267" s="53">
        <f>SUM(P267:S267)</f>
        <v>-3.0500000000000007</v>
      </c>
      <c r="AW267" s="53">
        <f>SUM(T267:W267)</f>
        <v>-2.3420000000000005</v>
      </c>
      <c r="AX267" s="53">
        <f t="shared" si="225"/>
        <v>-3.4630000000000001</v>
      </c>
      <c r="AY267" s="53">
        <f t="shared" si="226"/>
        <v>0</v>
      </c>
      <c r="AZ267" s="53">
        <f t="shared" si="227"/>
        <v>0</v>
      </c>
      <c r="BA267" s="53">
        <f t="shared" si="228"/>
        <v>0</v>
      </c>
      <c r="BB267" s="53">
        <f t="shared" si="215"/>
        <v>0</v>
      </c>
      <c r="BE267" s="37"/>
    </row>
    <row r="268" spans="2:57" outlineLevel="2">
      <c r="B268" s="87" t="s">
        <v>284</v>
      </c>
      <c r="C268" s="83" t="s">
        <v>71</v>
      </c>
      <c r="D268" s="53"/>
      <c r="E268" s="53"/>
      <c r="F268" s="53"/>
      <c r="G268" s="53"/>
      <c r="H268" s="53">
        <v>0</v>
      </c>
      <c r="I268" s="53">
        <v>0</v>
      </c>
      <c r="J268" s="53">
        <v>0</v>
      </c>
      <c r="K268" s="53">
        <v>0</v>
      </c>
      <c r="L268" s="53">
        <v>0</v>
      </c>
      <c r="M268" s="53">
        <v>0</v>
      </c>
      <c r="N268" s="53">
        <v>0</v>
      </c>
      <c r="O268" s="53">
        <v>0</v>
      </c>
      <c r="P268" s="53">
        <v>0</v>
      </c>
      <c r="Q268" s="53">
        <v>0</v>
      </c>
      <c r="R268" s="53">
        <v>0</v>
      </c>
      <c r="S268" s="53">
        <v>0</v>
      </c>
      <c r="T268" s="53">
        <v>0</v>
      </c>
      <c r="U268" s="53">
        <v>0</v>
      </c>
      <c r="V268" s="53">
        <v>0</v>
      </c>
      <c r="W268" s="53">
        <v>0</v>
      </c>
      <c r="X268" s="53">
        <v>0</v>
      </c>
      <c r="Y268" s="53">
        <v>0</v>
      </c>
      <c r="Z268" s="53">
        <v>0</v>
      </c>
      <c r="AA268" s="53">
        <v>0</v>
      </c>
      <c r="AB268" s="53">
        <v>0</v>
      </c>
      <c r="AC268" s="53">
        <v>0</v>
      </c>
      <c r="AD268" s="53">
        <v>0</v>
      </c>
      <c r="AE268" s="53">
        <v>0</v>
      </c>
      <c r="AF268" s="53">
        <v>0</v>
      </c>
      <c r="AG268" s="53">
        <v>0</v>
      </c>
      <c r="AH268" s="53">
        <v>0</v>
      </c>
      <c r="AI268" s="53">
        <v>0</v>
      </c>
      <c r="AJ268" s="53">
        <v>-19.986999999999998</v>
      </c>
      <c r="AK268" s="55">
        <v>-6.549000000000003</v>
      </c>
      <c r="AL268" s="55">
        <f>-26.536-AJ268-AK268</f>
        <v>0</v>
      </c>
      <c r="AM268" s="55">
        <v>0</v>
      </c>
      <c r="AN268" s="53">
        <v>-25.366</v>
      </c>
      <c r="AO268" s="53">
        <v>0</v>
      </c>
      <c r="AP268" s="53">
        <v>0</v>
      </c>
      <c r="AQ268" s="53">
        <v>0</v>
      </c>
      <c r="AR268" s="53">
        <v>0</v>
      </c>
      <c r="AS268" s="64"/>
      <c r="AT268" s="53"/>
      <c r="AU268" s="53"/>
      <c r="AV268" s="53"/>
      <c r="AW268" s="53"/>
      <c r="AX268" s="53"/>
      <c r="AY268" s="53"/>
      <c r="AZ268" s="53"/>
      <c r="BA268" s="53">
        <f t="shared" si="228"/>
        <v>-26.536000000000001</v>
      </c>
      <c r="BB268" s="53">
        <f t="shared" si="215"/>
        <v>-25.366</v>
      </c>
      <c r="BE268" s="37"/>
    </row>
    <row r="269" spans="2:57" ht="13.5" outlineLevel="2">
      <c r="B269" s="2" t="s">
        <v>285</v>
      </c>
      <c r="C269" s="86" t="s">
        <v>71</v>
      </c>
      <c r="D269" s="75"/>
      <c r="E269" s="75"/>
      <c r="F269" s="75"/>
      <c r="G269" s="75"/>
      <c r="H269" s="75">
        <v>0</v>
      </c>
      <c r="I269" s="75">
        <v>0</v>
      </c>
      <c r="J269" s="75">
        <v>0</v>
      </c>
      <c r="K269" s="75">
        <v>0</v>
      </c>
      <c r="L269" s="75">
        <v>0</v>
      </c>
      <c r="M269" s="75">
        <v>0</v>
      </c>
      <c r="N269" s="75">
        <v>0</v>
      </c>
      <c r="O269" s="75">
        <v>0</v>
      </c>
      <c r="P269" s="75">
        <v>0</v>
      </c>
      <c r="Q269" s="75">
        <v>0</v>
      </c>
      <c r="R269" s="75">
        <v>0</v>
      </c>
      <c r="S269" s="75">
        <v>0</v>
      </c>
      <c r="T269" s="75">
        <v>0</v>
      </c>
      <c r="U269" s="75">
        <v>0</v>
      </c>
      <c r="V269" s="75">
        <v>0</v>
      </c>
      <c r="W269" s="75">
        <v>0</v>
      </c>
      <c r="X269" s="75">
        <v>0</v>
      </c>
      <c r="Y269" s="75">
        <v>0</v>
      </c>
      <c r="Z269" s="75">
        <v>0</v>
      </c>
      <c r="AA269" s="75">
        <v>0</v>
      </c>
      <c r="AB269" s="75">
        <v>0</v>
      </c>
      <c r="AC269" s="75">
        <v>0</v>
      </c>
      <c r="AD269" s="75">
        <v>0</v>
      </c>
      <c r="AE269" s="75">
        <v>0</v>
      </c>
      <c r="AF269" s="75">
        <v>0</v>
      </c>
      <c r="AG269" s="75">
        <v>0.112</v>
      </c>
      <c r="AH269" s="75">
        <v>-0.112</v>
      </c>
      <c r="AI269" s="75">
        <v>8.6660000000000004</v>
      </c>
      <c r="AJ269" s="75">
        <v>8.6660000000000004</v>
      </c>
      <c r="AK269" s="55">
        <v>0</v>
      </c>
      <c r="AL269" s="55">
        <v>0</v>
      </c>
      <c r="AM269" s="55">
        <v>0</v>
      </c>
      <c r="AN269" s="55">
        <v>0</v>
      </c>
      <c r="AO269" s="53">
        <v>0.65700000000000003</v>
      </c>
      <c r="AP269" s="53">
        <v>0</v>
      </c>
      <c r="AQ269" s="53">
        <v>0</v>
      </c>
      <c r="AR269" s="53">
        <v>0</v>
      </c>
      <c r="AS269" s="63"/>
      <c r="AT269" s="75">
        <f>SUM(H269:K269)</f>
        <v>0</v>
      </c>
      <c r="AU269" s="75">
        <f>SUM(L269:O269)</f>
        <v>0</v>
      </c>
      <c r="AV269" s="75">
        <f>SUM(P269:S269)</f>
        <v>0</v>
      </c>
      <c r="AW269" s="75">
        <f>SUM(T269:W269)</f>
        <v>0</v>
      </c>
      <c r="AX269" s="75">
        <f t="shared" si="225"/>
        <v>0</v>
      </c>
      <c r="AY269" s="75">
        <f t="shared" si="226"/>
        <v>0</v>
      </c>
      <c r="AZ269" s="53">
        <f t="shared" si="227"/>
        <v>8.6660000000000004</v>
      </c>
      <c r="BA269" s="53">
        <f t="shared" si="228"/>
        <v>8.6660000000000004</v>
      </c>
      <c r="BB269" s="53">
        <f t="shared" si="215"/>
        <v>0.65700000000000003</v>
      </c>
      <c r="BC269" s="37"/>
      <c r="BD269" s="37"/>
      <c r="BE269" s="37"/>
    </row>
    <row r="270" spans="2:57" ht="13.5" outlineLevel="2">
      <c r="B270" s="10" t="s">
        <v>286</v>
      </c>
      <c r="C270" s="10" t="s">
        <v>71</v>
      </c>
      <c r="D270" s="57"/>
      <c r="E270" s="57"/>
      <c r="F270" s="57"/>
      <c r="G270" s="57"/>
      <c r="H270" s="57">
        <f t="shared" ref="H270:AK270" si="229">SUM(H269,H252)</f>
        <v>-11.343</v>
      </c>
      <c r="I270" s="57">
        <f t="shared" si="229"/>
        <v>-124.227</v>
      </c>
      <c r="J270" s="57">
        <f t="shared" si="229"/>
        <v>-20.667999999999992</v>
      </c>
      <c r="K270" s="57">
        <f t="shared" si="229"/>
        <v>-5.9569999999999759</v>
      </c>
      <c r="L270" s="57">
        <f t="shared" si="229"/>
        <v>-70.654999999999987</v>
      </c>
      <c r="M270" s="57">
        <f t="shared" si="229"/>
        <v>2122.8999999999996</v>
      </c>
      <c r="N270" s="57">
        <f t="shared" si="229"/>
        <v>-354.50100000000009</v>
      </c>
      <c r="O270" s="57">
        <f t="shared" si="229"/>
        <v>5.6670000000001526</v>
      </c>
      <c r="P270" s="57">
        <f t="shared" si="229"/>
        <v>-14.062000000000001</v>
      </c>
      <c r="Q270" s="57">
        <f t="shared" si="229"/>
        <v>-205.96899999999999</v>
      </c>
      <c r="R270" s="57">
        <f t="shared" si="229"/>
        <v>4531.6140000000005</v>
      </c>
      <c r="S270" s="57">
        <f t="shared" si="229"/>
        <v>-30.921000000000006</v>
      </c>
      <c r="T270" s="57">
        <f t="shared" si="229"/>
        <v>-107.32</v>
      </c>
      <c r="U270" s="57">
        <f t="shared" si="229"/>
        <v>-37.981000000000002</v>
      </c>
      <c r="V270" s="57">
        <f t="shared" si="229"/>
        <v>-278.12299999999999</v>
      </c>
      <c r="W270" s="57">
        <f t="shared" si="229"/>
        <v>-45.455000000000013</v>
      </c>
      <c r="X270" s="57">
        <f t="shared" si="229"/>
        <v>-79.695999999999998</v>
      </c>
      <c r="Y270" s="57">
        <f t="shared" si="229"/>
        <v>1658.9209999999998</v>
      </c>
      <c r="Z270" s="57">
        <f t="shared" si="229"/>
        <v>-375.41899999999998</v>
      </c>
      <c r="AA270" s="57">
        <f t="shared" si="229"/>
        <v>3126.6850000000004</v>
      </c>
      <c r="AB270" s="57">
        <f t="shared" si="229"/>
        <v>-1448.904</v>
      </c>
      <c r="AC270" s="57">
        <f t="shared" si="229"/>
        <v>218.55800000000011</v>
      </c>
      <c r="AD270" s="57">
        <f t="shared" si="229"/>
        <v>-1176.1589999999999</v>
      </c>
      <c r="AE270" s="57">
        <f t="shared" si="229"/>
        <v>255.26399999999992</v>
      </c>
      <c r="AF270" s="57">
        <f t="shared" si="229"/>
        <v>-408.90900000000005</v>
      </c>
      <c r="AG270" s="57">
        <f t="shared" si="229"/>
        <v>218.11200000000011</v>
      </c>
      <c r="AH270" s="57">
        <f t="shared" si="229"/>
        <v>-1249.7870000000003</v>
      </c>
      <c r="AI270" s="57">
        <f t="shared" si="229"/>
        <v>162.47500000000022</v>
      </c>
      <c r="AJ270" s="57">
        <f t="shared" si="229"/>
        <v>-1100.5</v>
      </c>
      <c r="AK270" s="57">
        <f t="shared" si="229"/>
        <v>41.209999999999965</v>
      </c>
      <c r="AL270" s="57">
        <f>SUM(AL269,AL252)</f>
        <v>-1167.7439999999997</v>
      </c>
      <c r="AM270" s="57">
        <f>SUM(AM269,AM252)</f>
        <v>907.65399999999977</v>
      </c>
      <c r="AN270" s="57">
        <f>SUM(AN269,AN252)</f>
        <v>-260.83100000000002</v>
      </c>
      <c r="AO270" s="57">
        <f>SUM(AO252)</f>
        <v>-800.30400000000009</v>
      </c>
      <c r="AP270" s="57">
        <f>SUM(AP252)</f>
        <v>-390.21899999999999</v>
      </c>
      <c r="AQ270" s="57">
        <f>SUM(AQ252)</f>
        <v>-1788.8989999999997</v>
      </c>
      <c r="AR270" s="57">
        <f>SUM(AR252)</f>
        <v>-186.65600000000001</v>
      </c>
      <c r="AS270" s="63"/>
      <c r="AT270" s="57">
        <f t="shared" ref="AT270:AZ270" si="230">SUM(AT252,AT269)</f>
        <v>-162.19499999999996</v>
      </c>
      <c r="AU270" s="57">
        <f t="shared" si="230"/>
        <v>1703.4110000000001</v>
      </c>
      <c r="AV270" s="57">
        <f t="shared" si="230"/>
        <v>4280.6619999999994</v>
      </c>
      <c r="AW270" s="57">
        <f t="shared" si="230"/>
        <v>-468.87899999999996</v>
      </c>
      <c r="AX270" s="57">
        <f t="shared" si="230"/>
        <v>4330.4910000000009</v>
      </c>
      <c r="AY270" s="57">
        <f t="shared" si="230"/>
        <v>-2151.241</v>
      </c>
      <c r="AZ270" s="57">
        <f t="shared" si="230"/>
        <v>-1278.1089999999997</v>
      </c>
      <c r="BA270" s="57">
        <f>SUM(BA252,BA269)</f>
        <v>-1319.3799999999999</v>
      </c>
      <c r="BB270" s="57">
        <f t="shared" si="215"/>
        <v>-3240.2529999999997</v>
      </c>
      <c r="BC270" s="37"/>
      <c r="BD270" s="37"/>
      <c r="BE270" s="37"/>
    </row>
    <row r="271" spans="2:57" ht="13.5" outlineLevel="2">
      <c r="B271" s="2" t="s">
        <v>287</v>
      </c>
      <c r="C271" s="86" t="s">
        <v>71</v>
      </c>
      <c r="D271" s="75"/>
      <c r="E271" s="75"/>
      <c r="F271" s="75"/>
      <c r="G271" s="75"/>
      <c r="H271" s="75">
        <f t="shared" ref="H271:AN271" si="231">SUM(H236,H239,H252)</f>
        <v>14.543251347457915</v>
      </c>
      <c r="I271" s="75">
        <f t="shared" si="231"/>
        <v>-15.157405664742868</v>
      </c>
      <c r="J271" s="75">
        <f t="shared" si="231"/>
        <v>6.230483042491997</v>
      </c>
      <c r="K271" s="75">
        <f t="shared" si="231"/>
        <v>41.721030084793043</v>
      </c>
      <c r="L271" s="75">
        <f t="shared" si="231"/>
        <v>243.54112802851563</v>
      </c>
      <c r="M271" s="75">
        <f t="shared" si="231"/>
        <v>-234.87194239923701</v>
      </c>
      <c r="N271" s="75">
        <f t="shared" si="231"/>
        <v>-23.72761168762753</v>
      </c>
      <c r="O271" s="75">
        <f t="shared" si="231"/>
        <v>96.332194306837977</v>
      </c>
      <c r="P271" s="75">
        <f t="shared" si="231"/>
        <v>-42.448999999999941</v>
      </c>
      <c r="Q271" s="75">
        <f t="shared" si="231"/>
        <v>-8.4000000000173713E-2</v>
      </c>
      <c r="R271" s="75">
        <f t="shared" si="231"/>
        <v>26.669000000000779</v>
      </c>
      <c r="S271" s="75">
        <f t="shared" si="231"/>
        <v>54.609000000000137</v>
      </c>
      <c r="T271" s="75">
        <f t="shared" si="231"/>
        <v>273.74199999999934</v>
      </c>
      <c r="U271" s="75">
        <f t="shared" si="231"/>
        <v>-291.03999999999974</v>
      </c>
      <c r="V271" s="75">
        <f t="shared" si="231"/>
        <v>-34.743999999999204</v>
      </c>
      <c r="W271" s="75">
        <f t="shared" si="231"/>
        <v>-28.975000000001359</v>
      </c>
      <c r="X271" s="75">
        <f t="shared" si="231"/>
        <v>32.606999999999601</v>
      </c>
      <c r="Y271" s="75">
        <f t="shared" si="231"/>
        <v>50.797000000000025</v>
      </c>
      <c r="Z271" s="75">
        <f t="shared" si="231"/>
        <v>279.52600466000001</v>
      </c>
      <c r="AA271" s="75">
        <f t="shared" si="231"/>
        <v>-158.88616388852006</v>
      </c>
      <c r="AB271" s="75">
        <f t="shared" si="231"/>
        <v>669.9060000000004</v>
      </c>
      <c r="AC271" s="75">
        <f t="shared" si="231"/>
        <v>-423.80300000000079</v>
      </c>
      <c r="AD271" s="75">
        <f t="shared" si="231"/>
        <v>-24.650999999998476</v>
      </c>
      <c r="AE271" s="75">
        <f t="shared" si="231"/>
        <v>699.10330000000079</v>
      </c>
      <c r="AF271" s="75">
        <f t="shared" si="231"/>
        <v>-903.67199999999934</v>
      </c>
      <c r="AG271" s="75">
        <f t="shared" si="231"/>
        <v>244.33899999999971</v>
      </c>
      <c r="AH271" s="75">
        <f t="shared" si="231"/>
        <v>31.081999999999653</v>
      </c>
      <c r="AI271" s="75">
        <f t="shared" si="231"/>
        <v>823.83550096783983</v>
      </c>
      <c r="AJ271" s="75">
        <f t="shared" si="231"/>
        <v>-573.8462074900026</v>
      </c>
      <c r="AK271" s="75">
        <f t="shared" si="231"/>
        <v>-406.85710936000027</v>
      </c>
      <c r="AL271" s="75">
        <f t="shared" si="231"/>
        <v>33.790862542453397</v>
      </c>
      <c r="AM271" s="75">
        <f t="shared" si="231"/>
        <v>107.91352823552006</v>
      </c>
      <c r="AN271" s="75">
        <f t="shared" si="231"/>
        <v>-101.75973842674534</v>
      </c>
      <c r="AO271" s="75">
        <f>SUM(AO238,AO239,AO252)</f>
        <v>140.40996458754353</v>
      </c>
      <c r="AP271" s="75">
        <f>SUM(AP238,AP239,AP252)</f>
        <v>60.506853336802408</v>
      </c>
      <c r="AQ271" s="75">
        <f>SUM(AQ238,AQ239,AQ252)</f>
        <v>204.70539271766734</v>
      </c>
      <c r="AR271" s="75">
        <f>SUM(AR238,AR239,AR252)</f>
        <v>43.682747350000341</v>
      </c>
      <c r="AS271" s="63"/>
      <c r="AT271" s="75">
        <f>SUM(H271:K271)</f>
        <v>47.337358810000083</v>
      </c>
      <c r="AU271" s="75">
        <f>SUM(L271:O271)</f>
        <v>81.273768248489063</v>
      </c>
      <c r="AV271" s="75">
        <f>SUM(P271:S271)</f>
        <v>38.7450000000008</v>
      </c>
      <c r="AW271" s="75">
        <f>SUM(T271:W271)</f>
        <v>-81.017000000000962</v>
      </c>
      <c r="AX271" s="75">
        <f>SUM(X271:AA271)</f>
        <v>204.04384077147961</v>
      </c>
      <c r="AY271" s="75">
        <f>SUM(AB271:AE271)</f>
        <v>920.55530000000192</v>
      </c>
      <c r="AZ271" s="75">
        <f>SUM(AF271,AG271,AH271,AI271)</f>
        <v>195.58450096783986</v>
      </c>
      <c r="BA271" s="75">
        <f>SUM(AG271,AH271,AI271,AJ271)</f>
        <v>525.4102934778366</v>
      </c>
      <c r="BB271" s="75">
        <f t="shared" si="215"/>
        <v>303.86247221526793</v>
      </c>
      <c r="BC271" s="37"/>
      <c r="BD271" s="37"/>
      <c r="BE271" s="37"/>
    </row>
    <row r="272" spans="2:57" ht="13.5" outlineLevel="2">
      <c r="B272" s="2" t="s">
        <v>288</v>
      </c>
      <c r="C272" s="86" t="s">
        <v>71</v>
      </c>
      <c r="D272" s="75"/>
      <c r="E272" s="75"/>
      <c r="F272" s="75"/>
      <c r="G272" s="75"/>
      <c r="H272" s="75">
        <f t="shared" ref="H272:AK272" si="232">SUM(H237,H250,H269)</f>
        <v>0</v>
      </c>
      <c r="I272" s="75">
        <f t="shared" si="232"/>
        <v>0</v>
      </c>
      <c r="J272" s="75">
        <f t="shared" si="232"/>
        <v>0</v>
      </c>
      <c r="K272" s="75">
        <f t="shared" si="232"/>
        <v>0</v>
      </c>
      <c r="L272" s="75">
        <f t="shared" si="232"/>
        <v>0</v>
      </c>
      <c r="M272" s="75">
        <f t="shared" si="232"/>
        <v>0</v>
      </c>
      <c r="N272" s="75">
        <f t="shared" si="232"/>
        <v>0</v>
      </c>
      <c r="O272" s="75">
        <f t="shared" si="232"/>
        <v>0</v>
      </c>
      <c r="P272" s="75">
        <f t="shared" si="232"/>
        <v>0</v>
      </c>
      <c r="Q272" s="75">
        <f t="shared" si="232"/>
        <v>0</v>
      </c>
      <c r="R272" s="75">
        <f t="shared" si="232"/>
        <v>0</v>
      </c>
      <c r="S272" s="75">
        <f t="shared" si="232"/>
        <v>0</v>
      </c>
      <c r="T272" s="75">
        <f t="shared" si="232"/>
        <v>0</v>
      </c>
      <c r="U272" s="75">
        <f t="shared" si="232"/>
        <v>0</v>
      </c>
      <c r="V272" s="75">
        <f t="shared" si="232"/>
        <v>0</v>
      </c>
      <c r="W272" s="75">
        <f t="shared" si="232"/>
        <v>0</v>
      </c>
      <c r="X272" s="75">
        <f t="shared" si="232"/>
        <v>0</v>
      </c>
      <c r="Y272" s="75">
        <f t="shared" si="232"/>
        <v>0</v>
      </c>
      <c r="Z272" s="75">
        <f t="shared" si="232"/>
        <v>0</v>
      </c>
      <c r="AA272" s="75">
        <f t="shared" si="232"/>
        <v>0</v>
      </c>
      <c r="AB272" s="75">
        <f t="shared" si="232"/>
        <v>0</v>
      </c>
      <c r="AC272" s="75">
        <f t="shared" si="232"/>
        <v>0</v>
      </c>
      <c r="AD272" s="75">
        <f t="shared" si="232"/>
        <v>0</v>
      </c>
      <c r="AE272" s="75">
        <f t="shared" si="232"/>
        <v>0</v>
      </c>
      <c r="AF272" s="75">
        <f t="shared" si="232"/>
        <v>0</v>
      </c>
      <c r="AG272" s="75">
        <f t="shared" si="232"/>
        <v>-42.346999999999994</v>
      </c>
      <c r="AH272" s="75">
        <f t="shared" si="232"/>
        <v>43.588000000000001</v>
      </c>
      <c r="AI272" s="75">
        <f t="shared" si="232"/>
        <v>-17.937000000000001</v>
      </c>
      <c r="AJ272" s="75">
        <f t="shared" si="232"/>
        <v>-14.879999999999999</v>
      </c>
      <c r="AK272" s="75">
        <f t="shared" si="232"/>
        <v>0</v>
      </c>
      <c r="AL272" s="75">
        <f t="shared" ref="AL272:AQ272" si="233">SUM(AL237,AL250,AL269)</f>
        <v>0</v>
      </c>
      <c r="AM272" s="75">
        <f t="shared" si="233"/>
        <v>0</v>
      </c>
      <c r="AN272" s="75">
        <f t="shared" si="233"/>
        <v>0</v>
      </c>
      <c r="AO272" s="75">
        <f t="shared" si="233"/>
        <v>-25.195999999999998</v>
      </c>
      <c r="AP272" s="75">
        <f t="shared" si="233"/>
        <v>0</v>
      </c>
      <c r="AQ272" s="75">
        <f t="shared" si="233"/>
        <v>0</v>
      </c>
      <c r="AR272" s="75">
        <f t="shared" ref="AR272" si="234">SUM(AR237,AR250,AR269)</f>
        <v>0</v>
      </c>
      <c r="AS272" s="63"/>
      <c r="AT272" s="75">
        <f>SUM(H272:K272)</f>
        <v>0</v>
      </c>
      <c r="AU272" s="75">
        <f>SUM(L272:O272)</f>
        <v>0</v>
      </c>
      <c r="AV272" s="75">
        <f>SUM(P272:S272)</f>
        <v>0</v>
      </c>
      <c r="AW272" s="75">
        <f>SUM(T272:W272)</f>
        <v>0</v>
      </c>
      <c r="AX272" s="75">
        <f>SUM(X272:AA272)</f>
        <v>0</v>
      </c>
      <c r="AY272" s="75">
        <f>SUM(AB272:AE272)</f>
        <v>0</v>
      </c>
      <c r="AZ272" s="53">
        <f>SUM(AF272,AG272,AH272,AI272)</f>
        <v>-16.695999999999994</v>
      </c>
      <c r="BA272" s="53">
        <f>SUM(AJ272:AM272)</f>
        <v>-14.879999999999999</v>
      </c>
      <c r="BB272" s="53">
        <f t="shared" si="215"/>
        <v>-25.195999999999998</v>
      </c>
      <c r="BC272" s="37"/>
      <c r="BD272" s="37"/>
      <c r="BE272" s="37"/>
    </row>
    <row r="273" spans="1:57" ht="13.5" outlineLevel="1">
      <c r="B273" s="11" t="s">
        <v>289</v>
      </c>
      <c r="C273" s="82" t="s">
        <v>71</v>
      </c>
      <c r="D273" s="57"/>
      <c r="E273" s="57"/>
      <c r="F273" s="57"/>
      <c r="G273" s="57"/>
      <c r="H273" s="57">
        <f t="shared" ref="H273:AM273" si="235">SUM(H238,H251,H270)</f>
        <v>14.543251347457915</v>
      </c>
      <c r="I273" s="57">
        <f t="shared" si="235"/>
        <v>-15.157405664742868</v>
      </c>
      <c r="J273" s="57">
        <f t="shared" si="235"/>
        <v>6.230483042491997</v>
      </c>
      <c r="K273" s="57">
        <f t="shared" si="235"/>
        <v>41.721030084793043</v>
      </c>
      <c r="L273" s="57">
        <f t="shared" si="235"/>
        <v>243.54112802851563</v>
      </c>
      <c r="M273" s="57">
        <f t="shared" si="235"/>
        <v>-234.87194239923701</v>
      </c>
      <c r="N273" s="57">
        <f t="shared" si="235"/>
        <v>-23.72761168762753</v>
      </c>
      <c r="O273" s="57">
        <f t="shared" si="235"/>
        <v>96.332194306837977</v>
      </c>
      <c r="P273" s="57">
        <f t="shared" si="235"/>
        <v>-42.448999999999941</v>
      </c>
      <c r="Q273" s="57">
        <f t="shared" si="235"/>
        <v>-8.4000000000173713E-2</v>
      </c>
      <c r="R273" s="57">
        <f t="shared" si="235"/>
        <v>26.669000000000779</v>
      </c>
      <c r="S273" s="57">
        <f t="shared" si="235"/>
        <v>54.609000000000137</v>
      </c>
      <c r="T273" s="57">
        <f t="shared" si="235"/>
        <v>273.74199999999934</v>
      </c>
      <c r="U273" s="57">
        <f t="shared" si="235"/>
        <v>-291.03999999999974</v>
      </c>
      <c r="V273" s="57">
        <f t="shared" si="235"/>
        <v>-34.743999999999204</v>
      </c>
      <c r="W273" s="57">
        <f t="shared" si="235"/>
        <v>-28.975000000001359</v>
      </c>
      <c r="X273" s="57">
        <f t="shared" si="235"/>
        <v>32.606999999999601</v>
      </c>
      <c r="Y273" s="57">
        <f t="shared" si="235"/>
        <v>50.797000000000025</v>
      </c>
      <c r="Z273" s="57">
        <f t="shared" si="235"/>
        <v>279.52600466000001</v>
      </c>
      <c r="AA273" s="57">
        <f>SUM(AA238,AA251,AA270)</f>
        <v>-158.88616388852006</v>
      </c>
      <c r="AB273" s="57">
        <f t="shared" si="235"/>
        <v>669.9060000000004</v>
      </c>
      <c r="AC273" s="57">
        <f t="shared" si="235"/>
        <v>-423.80300000000079</v>
      </c>
      <c r="AD273" s="57">
        <f t="shared" si="235"/>
        <v>-24.650999999998476</v>
      </c>
      <c r="AE273" s="57">
        <f t="shared" si="235"/>
        <v>699.10330000000079</v>
      </c>
      <c r="AF273" s="57">
        <f t="shared" si="235"/>
        <v>-903.67199999999934</v>
      </c>
      <c r="AG273" s="57">
        <f>SUM(AG238,AG251,AG270)</f>
        <v>201.99199999999971</v>
      </c>
      <c r="AH273" s="57">
        <f t="shared" si="235"/>
        <v>74.669999999999618</v>
      </c>
      <c r="AI273" s="57">
        <f t="shared" si="235"/>
        <v>805.89850096783982</v>
      </c>
      <c r="AJ273" s="57">
        <f>SUM(AJ238,AJ251,AJ270)</f>
        <v>-588.72620749000271</v>
      </c>
      <c r="AK273" s="57">
        <f>SUM(AK238,AK251,AK270)</f>
        <v>-406.85710936000027</v>
      </c>
      <c r="AL273" s="57">
        <f t="shared" si="235"/>
        <v>33.790862542453397</v>
      </c>
      <c r="AM273" s="57">
        <f t="shared" si="235"/>
        <v>107.91352823552006</v>
      </c>
      <c r="AN273" s="57">
        <f>SUM(AN238,AN251,AN270)</f>
        <v>-101.75973842674534</v>
      </c>
      <c r="AO273" s="57">
        <f>SUM(AO238,AO251,AO270,AO237)</f>
        <v>114.5569645875435</v>
      </c>
      <c r="AP273" s="57">
        <f>SUM(AP238,AP251,AP270,AP237)</f>
        <v>60.506853336802408</v>
      </c>
      <c r="AQ273" s="57">
        <f>SUM(AQ238,AQ251,AQ270,AQ237)</f>
        <v>204.70539271766734</v>
      </c>
      <c r="AR273" s="57">
        <f>SUM(AR238,AR251,AR270,AR237)</f>
        <v>43.682747350000341</v>
      </c>
      <c r="AS273" s="37"/>
      <c r="AT273" s="57">
        <f t="shared" ref="AT273:AY273" si="236">SUM(AT238,AT239,AT252)</f>
        <v>47.337358810000154</v>
      </c>
      <c r="AU273" s="57">
        <f t="shared" si="236"/>
        <v>81.273768248488977</v>
      </c>
      <c r="AV273" s="57">
        <f t="shared" si="236"/>
        <v>38.744999999999891</v>
      </c>
      <c r="AW273" s="57">
        <f t="shared" si="236"/>
        <v>-81.017000000001019</v>
      </c>
      <c r="AX273" s="57">
        <f t="shared" si="236"/>
        <v>204.04384077148097</v>
      </c>
      <c r="AY273" s="57">
        <f t="shared" si="236"/>
        <v>920.55530000000181</v>
      </c>
      <c r="AZ273" s="57">
        <f>SUM(AZ238,AZ251,AZ270)</f>
        <v>178.88850096783995</v>
      </c>
      <c r="BA273" s="57">
        <f>SUM(BA238,BA251,BA270)</f>
        <v>-856.30692607203014</v>
      </c>
      <c r="BB273" s="57">
        <f t="shared" si="215"/>
        <v>278.00947221526792</v>
      </c>
      <c r="BE273" s="37"/>
    </row>
    <row r="274" spans="1:57" outlineLevel="1">
      <c r="B274" s="87" t="s">
        <v>290</v>
      </c>
      <c r="C274" s="83" t="s">
        <v>71</v>
      </c>
      <c r="D274" s="53"/>
      <c r="E274" s="53"/>
      <c r="F274" s="53"/>
      <c r="G274" s="53"/>
      <c r="H274" s="53">
        <v>56.850999999999999</v>
      </c>
      <c r="I274" s="53">
        <f>H275</f>
        <v>71.39425134745791</v>
      </c>
      <c r="J274" s="53">
        <f>I275</f>
        <v>56.236845682715042</v>
      </c>
      <c r="K274" s="53">
        <f>J275</f>
        <v>62.487000000000002</v>
      </c>
      <c r="L274" s="53">
        <f t="shared" ref="L274:AL274" si="237">K118</f>
        <v>104.209</v>
      </c>
      <c r="M274" s="53">
        <f t="shared" si="237"/>
        <v>347.75</v>
      </c>
      <c r="N274" s="53">
        <f t="shared" si="237"/>
        <v>113</v>
      </c>
      <c r="O274" s="53">
        <f t="shared" si="237"/>
        <v>89.153999999999996</v>
      </c>
      <c r="P274" s="53">
        <f t="shared" si="237"/>
        <v>185.48400000000001</v>
      </c>
      <c r="Q274" s="53">
        <f t="shared" si="237"/>
        <v>143.035</v>
      </c>
      <c r="R274" s="53">
        <f t="shared" si="237"/>
        <v>142.95099999999999</v>
      </c>
      <c r="S274" s="53">
        <f t="shared" si="237"/>
        <v>169.62</v>
      </c>
      <c r="T274" s="53">
        <f t="shared" si="237"/>
        <v>224.22900000000001</v>
      </c>
      <c r="U274" s="53">
        <f t="shared" si="237"/>
        <v>497.971</v>
      </c>
      <c r="V274" s="53">
        <f t="shared" si="237"/>
        <v>206.93100000000001</v>
      </c>
      <c r="W274" s="53">
        <f t="shared" si="237"/>
        <v>172.18700000000001</v>
      </c>
      <c r="X274" s="53">
        <f t="shared" si="237"/>
        <v>143.21199999999999</v>
      </c>
      <c r="Y274" s="53">
        <f t="shared" si="237"/>
        <v>175.81899999999999</v>
      </c>
      <c r="Z274" s="53">
        <f t="shared" si="237"/>
        <v>226.61600000000001</v>
      </c>
      <c r="AA274" s="53">
        <f t="shared" si="237"/>
        <v>506.142</v>
      </c>
      <c r="AB274" s="53">
        <f t="shared" si="237"/>
        <v>347.25599999999997</v>
      </c>
      <c r="AC274" s="53">
        <f t="shared" si="237"/>
        <v>1016.801</v>
      </c>
      <c r="AD274" s="53">
        <f t="shared" si="237"/>
        <v>593.35799999999995</v>
      </c>
      <c r="AE274" s="53">
        <f t="shared" si="237"/>
        <v>568.70699999999999</v>
      </c>
      <c r="AF274" s="53">
        <f t="shared" si="237"/>
        <v>1267.915</v>
      </c>
      <c r="AG274" s="53">
        <f t="shared" si="237"/>
        <v>364.24299999999999</v>
      </c>
      <c r="AH274" s="53">
        <f t="shared" si="237"/>
        <v>547.96199999999999</v>
      </c>
      <c r="AI274" s="53">
        <f t="shared" si="237"/>
        <v>639.66300000000001</v>
      </c>
      <c r="AJ274" s="53">
        <f t="shared" si="237"/>
        <v>1430.144</v>
      </c>
      <c r="AK274" s="53">
        <f t="shared" si="237"/>
        <v>826.58199999999999</v>
      </c>
      <c r="AL274" s="53">
        <f t="shared" si="237"/>
        <v>419.68200000000002</v>
      </c>
      <c r="AM274" s="53">
        <f t="shared" ref="AM274:AR274" si="238">AL275</f>
        <v>488.839</v>
      </c>
      <c r="AN274" s="53">
        <f t="shared" si="238"/>
        <v>596.75300000000004</v>
      </c>
      <c r="AO274" s="53">
        <f t="shared" si="238"/>
        <v>495.03399999999999</v>
      </c>
      <c r="AP274" s="53">
        <f t="shared" si="238"/>
        <v>610.20600000000002</v>
      </c>
      <c r="AQ274" s="53">
        <f t="shared" si="238"/>
        <v>670.74800000000005</v>
      </c>
      <c r="AR274" s="53">
        <f t="shared" si="238"/>
        <v>875.44399999999996</v>
      </c>
      <c r="AS274" s="37"/>
      <c r="AT274" s="53">
        <f>H274</f>
        <v>56.850999999999999</v>
      </c>
      <c r="AU274" s="53">
        <f t="shared" ref="AU274:AZ274" si="239">AT275</f>
        <v>104.209</v>
      </c>
      <c r="AV274" s="53">
        <f t="shared" si="239"/>
        <v>185.48400000000001</v>
      </c>
      <c r="AW274" s="53">
        <f t="shared" si="239"/>
        <v>224.22900000000001</v>
      </c>
      <c r="AX274" s="53">
        <f t="shared" si="239"/>
        <v>143.21199999999999</v>
      </c>
      <c r="AY274" s="53">
        <f t="shared" si="239"/>
        <v>347.25599999999997</v>
      </c>
      <c r="AZ274" s="53">
        <f t="shared" si="239"/>
        <v>1267.915</v>
      </c>
      <c r="BA274" s="53">
        <f>AZ275</f>
        <v>1430.144</v>
      </c>
      <c r="BB274" s="53">
        <f>BA275</f>
        <v>596.75300000000004</v>
      </c>
      <c r="BE274" s="37"/>
    </row>
    <row r="275" spans="1:57">
      <c r="B275" s="14" t="s">
        <v>291</v>
      </c>
      <c r="C275" s="83" t="s">
        <v>71</v>
      </c>
      <c r="D275" s="53"/>
      <c r="E275" s="53"/>
      <c r="F275" s="53"/>
      <c r="G275" s="53"/>
      <c r="H275" s="53">
        <f>SUM(H274,H273)</f>
        <v>71.39425134745791</v>
      </c>
      <c r="I275" s="53">
        <f>SUM(I274,I273)</f>
        <v>56.236845682715042</v>
      </c>
      <c r="J275" s="53">
        <f t="shared" ref="J275:AO275" si="240">J118</f>
        <v>62.487000000000002</v>
      </c>
      <c r="K275" s="53">
        <f t="shared" si="240"/>
        <v>104.209</v>
      </c>
      <c r="L275" s="53">
        <f t="shared" si="240"/>
        <v>347.75</v>
      </c>
      <c r="M275" s="53">
        <f t="shared" si="240"/>
        <v>113</v>
      </c>
      <c r="N275" s="53">
        <f t="shared" si="240"/>
        <v>89.153999999999996</v>
      </c>
      <c r="O275" s="53">
        <f t="shared" si="240"/>
        <v>185.48400000000001</v>
      </c>
      <c r="P275" s="53">
        <f t="shared" si="240"/>
        <v>143.035</v>
      </c>
      <c r="Q275" s="53">
        <f t="shared" si="240"/>
        <v>142.95099999999999</v>
      </c>
      <c r="R275" s="53">
        <f t="shared" si="240"/>
        <v>169.62</v>
      </c>
      <c r="S275" s="53">
        <f t="shared" si="240"/>
        <v>224.22900000000001</v>
      </c>
      <c r="T275" s="53">
        <f t="shared" si="240"/>
        <v>497.971</v>
      </c>
      <c r="U275" s="53">
        <f t="shared" si="240"/>
        <v>206.93100000000001</v>
      </c>
      <c r="V275" s="53">
        <f t="shared" si="240"/>
        <v>172.18700000000001</v>
      </c>
      <c r="W275" s="53">
        <f t="shared" si="240"/>
        <v>143.21199999999999</v>
      </c>
      <c r="X275" s="53">
        <f t="shared" si="240"/>
        <v>175.81899999999999</v>
      </c>
      <c r="Y275" s="53">
        <f t="shared" si="240"/>
        <v>226.61600000000001</v>
      </c>
      <c r="Z275" s="53">
        <f t="shared" si="240"/>
        <v>506.142</v>
      </c>
      <c r="AA275" s="53">
        <f t="shared" si="240"/>
        <v>347.25599999999997</v>
      </c>
      <c r="AB275" s="53">
        <f t="shared" si="240"/>
        <v>1016.801</v>
      </c>
      <c r="AC275" s="53">
        <f t="shared" si="240"/>
        <v>593.35799999999995</v>
      </c>
      <c r="AD275" s="53">
        <f t="shared" si="240"/>
        <v>568.70699999999999</v>
      </c>
      <c r="AE275" s="53">
        <f t="shared" si="240"/>
        <v>1267.915</v>
      </c>
      <c r="AF275" s="53">
        <f t="shared" si="240"/>
        <v>364.24299999999999</v>
      </c>
      <c r="AG275" s="53">
        <f t="shared" si="240"/>
        <v>547.96199999999999</v>
      </c>
      <c r="AH275" s="53">
        <f t="shared" si="240"/>
        <v>639.66300000000001</v>
      </c>
      <c r="AI275" s="53">
        <f t="shared" si="240"/>
        <v>1430.144</v>
      </c>
      <c r="AJ275" s="53">
        <f t="shared" si="240"/>
        <v>826.58199999999999</v>
      </c>
      <c r="AK275" s="53">
        <f t="shared" si="240"/>
        <v>419.68200000000002</v>
      </c>
      <c r="AL275" s="53">
        <f t="shared" si="240"/>
        <v>488.839</v>
      </c>
      <c r="AM275" s="53">
        <f t="shared" si="240"/>
        <v>596.75300000000004</v>
      </c>
      <c r="AN275" s="53">
        <f t="shared" si="240"/>
        <v>495.03399999999999</v>
      </c>
      <c r="AO275" s="53">
        <f t="shared" si="240"/>
        <v>610.20600000000002</v>
      </c>
      <c r="AP275" s="53">
        <f>AP118</f>
        <v>670.74800000000005</v>
      </c>
      <c r="AQ275" s="53">
        <f>AQ118</f>
        <v>875.44399999999996</v>
      </c>
      <c r="AR275" s="53">
        <f>AR118</f>
        <v>919.12699999999995</v>
      </c>
      <c r="AS275" s="63"/>
      <c r="AT275" s="53">
        <f t="shared" ref="AT275:AZ275" si="241">AT118</f>
        <v>104.209</v>
      </c>
      <c r="AU275" s="53">
        <f t="shared" si="241"/>
        <v>185.48400000000001</v>
      </c>
      <c r="AV275" s="53">
        <f t="shared" si="241"/>
        <v>224.22900000000001</v>
      </c>
      <c r="AW275" s="53">
        <f t="shared" si="241"/>
        <v>143.21199999999999</v>
      </c>
      <c r="AX275" s="53">
        <f t="shared" si="241"/>
        <v>347.25599999999997</v>
      </c>
      <c r="AY275" s="53">
        <f t="shared" si="241"/>
        <v>1267.915</v>
      </c>
      <c r="AZ275" s="53">
        <f t="shared" si="241"/>
        <v>1430.144</v>
      </c>
      <c r="BA275" s="53">
        <f>BA118</f>
        <v>596.75300000000004</v>
      </c>
      <c r="BB275" s="53">
        <f>BB118</f>
        <v>875.44399999999996</v>
      </c>
      <c r="BC275" s="37"/>
    </row>
    <row r="276" spans="1:57">
      <c r="B276" s="14" t="s">
        <v>292</v>
      </c>
      <c r="C276" s="83" t="s">
        <v>71</v>
      </c>
      <c r="D276" s="5"/>
      <c r="E276" s="5"/>
      <c r="F276" s="5"/>
      <c r="G276" s="5"/>
      <c r="H276" s="66">
        <v>0</v>
      </c>
      <c r="I276" s="66">
        <v>0</v>
      </c>
      <c r="J276" s="66">
        <v>0</v>
      </c>
      <c r="K276" s="66">
        <v>0</v>
      </c>
      <c r="L276" s="66">
        <v>0</v>
      </c>
      <c r="M276" s="66">
        <v>0</v>
      </c>
      <c r="N276" s="66">
        <v>0</v>
      </c>
      <c r="O276" s="66">
        <v>0</v>
      </c>
      <c r="P276" s="66">
        <v>0</v>
      </c>
      <c r="Q276" s="66">
        <v>0</v>
      </c>
      <c r="R276" s="66">
        <v>0</v>
      </c>
      <c r="S276" s="66">
        <v>0</v>
      </c>
      <c r="T276" s="66">
        <v>0</v>
      </c>
      <c r="U276" s="66">
        <v>0</v>
      </c>
      <c r="V276" s="66">
        <v>0</v>
      </c>
      <c r="W276" s="66">
        <v>0</v>
      </c>
      <c r="X276" s="66">
        <v>0</v>
      </c>
      <c r="Y276" s="66">
        <v>0</v>
      </c>
      <c r="Z276" s="66">
        <v>0</v>
      </c>
      <c r="AA276" s="66">
        <v>0</v>
      </c>
      <c r="AB276" s="66">
        <v>0</v>
      </c>
      <c r="AC276" s="66">
        <v>0</v>
      </c>
      <c r="AD276" s="66">
        <v>0</v>
      </c>
      <c r="AE276" s="66">
        <v>0</v>
      </c>
      <c r="AF276" s="66">
        <v>0</v>
      </c>
      <c r="AG276" s="135">
        <v>-18.271999999999998</v>
      </c>
      <c r="AH276" s="135">
        <v>17.030999999999999</v>
      </c>
      <c r="AI276" s="66">
        <v>-15.455000000000002</v>
      </c>
      <c r="AJ276" s="66">
        <f>AJ272</f>
        <v>-14.879999999999999</v>
      </c>
      <c r="AK276" s="66">
        <v>0</v>
      </c>
      <c r="AL276" s="66">
        <v>0</v>
      </c>
      <c r="AM276" s="66">
        <v>0</v>
      </c>
      <c r="AN276" s="66">
        <v>0</v>
      </c>
      <c r="AO276" s="66">
        <f>AO272</f>
        <v>-25.195999999999998</v>
      </c>
      <c r="AP276" s="66">
        <v>0</v>
      </c>
      <c r="AQ276" s="66">
        <v>0</v>
      </c>
      <c r="AR276" s="66">
        <v>0</v>
      </c>
      <c r="AS276" s="37"/>
      <c r="AT276" s="37">
        <v>0</v>
      </c>
      <c r="AU276" s="37">
        <v>0</v>
      </c>
      <c r="AV276" s="37">
        <v>0</v>
      </c>
      <c r="AW276" s="37">
        <v>0</v>
      </c>
      <c r="AX276" s="37">
        <v>0</v>
      </c>
      <c r="AY276" s="37">
        <v>0</v>
      </c>
      <c r="AZ276" s="53">
        <f>SUM(AF276:AI276)</f>
        <v>-16.696000000000002</v>
      </c>
      <c r="BA276" s="53">
        <f>SUM(AJ276:AM276)</f>
        <v>-14.879999999999999</v>
      </c>
      <c r="BB276" s="53">
        <f>SUM(AN276:AQ276)</f>
        <v>-25.195999999999998</v>
      </c>
    </row>
    <row r="277" spans="1:57">
      <c r="A277" s="37">
        <f>A274-A275</f>
        <v>0</v>
      </c>
      <c r="H277" s="37"/>
      <c r="I277" s="37"/>
      <c r="J277" s="37"/>
      <c r="K277" s="37"/>
      <c r="L277" s="37"/>
      <c r="M277" s="37"/>
      <c r="N277" s="37"/>
      <c r="O277" s="37"/>
      <c r="P277" s="37"/>
      <c r="Q277" s="37"/>
      <c r="R277" s="37"/>
      <c r="S277" s="37"/>
      <c r="T277" s="37"/>
      <c r="U277" s="37"/>
      <c r="V277" s="37"/>
      <c r="W277" s="37"/>
      <c r="X277" s="37"/>
      <c r="Y277" s="37"/>
      <c r="Z277" s="37"/>
      <c r="AA277" s="37"/>
      <c r="AB277" s="77"/>
      <c r="AC277" s="77"/>
      <c r="AD277" s="77"/>
      <c r="AE277" s="77"/>
      <c r="AF277" s="77"/>
      <c r="AG277" s="77"/>
      <c r="AH277" s="77"/>
      <c r="AI277" s="77"/>
      <c r="AJ277" s="37"/>
      <c r="AK277" s="37"/>
      <c r="AL277" s="37"/>
      <c r="AM277" s="37"/>
      <c r="AN277" s="37"/>
      <c r="AO277" s="37"/>
      <c r="AP277" s="37"/>
      <c r="AQ277" s="37"/>
      <c r="AR277" s="37"/>
      <c r="AS277" s="37"/>
      <c r="AY277" s="37"/>
      <c r="AZ277" s="37"/>
      <c r="BA277" s="37"/>
      <c r="BB277" s="37"/>
    </row>
    <row r="278" spans="1:57" ht="13.5" outlineLevel="1">
      <c r="B278" s="88" t="s">
        <v>293</v>
      </c>
      <c r="AG278" s="63"/>
      <c r="AH278" s="37"/>
      <c r="AI278" s="37"/>
      <c r="AJ278" s="37"/>
      <c r="AK278" s="37"/>
      <c r="AL278" s="37"/>
      <c r="AM278" s="37"/>
      <c r="AN278" s="37"/>
      <c r="AO278" s="37"/>
      <c r="AP278" s="37"/>
      <c r="AQ278" s="37"/>
      <c r="AR278" s="37"/>
      <c r="AS278" s="37"/>
    </row>
    <row r="279" spans="1:57" ht="27" outlineLevel="1">
      <c r="B279" s="6" t="s">
        <v>10</v>
      </c>
      <c r="C279" s="6" t="s">
        <v>11</v>
      </c>
      <c r="D279" s="6" t="s">
        <v>12</v>
      </c>
      <c r="E279" s="6" t="s">
        <v>13</v>
      </c>
      <c r="F279" s="6" t="s">
        <v>14</v>
      </c>
      <c r="G279" s="6" t="s">
        <v>15</v>
      </c>
      <c r="H279" s="6" t="s">
        <v>16</v>
      </c>
      <c r="I279" s="6" t="s">
        <v>17</v>
      </c>
      <c r="J279" s="6" t="s">
        <v>18</v>
      </c>
      <c r="K279" s="6" t="s">
        <v>19</v>
      </c>
      <c r="L279" s="6" t="s">
        <v>20</v>
      </c>
      <c r="M279" s="6" t="s">
        <v>21</v>
      </c>
      <c r="N279" s="6" t="s">
        <v>22</v>
      </c>
      <c r="O279" s="6" t="s">
        <v>23</v>
      </c>
      <c r="P279" s="6" t="s">
        <v>24</v>
      </c>
      <c r="Q279" s="7" t="s">
        <v>25</v>
      </c>
      <c r="R279" s="6" t="s">
        <v>26</v>
      </c>
      <c r="S279" s="6" t="s">
        <v>27</v>
      </c>
      <c r="T279" s="6" t="s">
        <v>28</v>
      </c>
      <c r="U279" s="6" t="s">
        <v>29</v>
      </c>
      <c r="V279" s="6" t="s">
        <v>30</v>
      </c>
      <c r="W279" s="8" t="s">
        <v>31</v>
      </c>
      <c r="X279" s="8" t="s">
        <v>32</v>
      </c>
      <c r="Y279" s="8" t="s">
        <v>33</v>
      </c>
      <c r="Z279" s="8" t="s">
        <v>34</v>
      </c>
      <c r="AA279" s="8" t="s">
        <v>35</v>
      </c>
      <c r="AB279" s="8" t="s">
        <v>36</v>
      </c>
      <c r="AC279" s="8" t="s">
        <v>37</v>
      </c>
      <c r="AD279" s="8" t="s">
        <v>38</v>
      </c>
      <c r="AE279" s="9" t="s">
        <v>39</v>
      </c>
      <c r="AF279" s="8" t="s">
        <v>40</v>
      </c>
      <c r="AG279" s="9" t="s">
        <v>41</v>
      </c>
      <c r="AH279" s="9" t="s">
        <v>42</v>
      </c>
      <c r="AI279" s="101" t="s">
        <v>294</v>
      </c>
      <c r="AJ279" s="8" t="s">
        <v>44</v>
      </c>
      <c r="AK279" s="8" t="s">
        <v>45</v>
      </c>
      <c r="AL279" s="8" t="s">
        <v>46</v>
      </c>
      <c r="AM279" s="8" t="s">
        <v>47</v>
      </c>
      <c r="AN279" s="8" t="s">
        <v>48</v>
      </c>
      <c r="AO279" s="8" t="s">
        <v>49</v>
      </c>
      <c r="AP279" s="8" t="s">
        <v>50</v>
      </c>
      <c r="AQ279" s="8" t="s">
        <v>51</v>
      </c>
      <c r="AR279" s="8" t="s">
        <v>309</v>
      </c>
      <c r="AS279" s="37"/>
      <c r="AT279" s="6">
        <v>2017</v>
      </c>
      <c r="AU279" s="6">
        <v>2018</v>
      </c>
      <c r="AV279" s="6">
        <v>2019</v>
      </c>
      <c r="AW279" s="6">
        <v>2020</v>
      </c>
      <c r="AX279" s="6">
        <v>2021</v>
      </c>
      <c r="AY279" s="6">
        <v>2022</v>
      </c>
      <c r="AZ279" s="101" t="s">
        <v>97</v>
      </c>
      <c r="BA279" s="6">
        <v>2024</v>
      </c>
      <c r="BB279" s="7">
        <v>2025</v>
      </c>
    </row>
    <row r="280" spans="1:57" outlineLevel="1">
      <c r="B280" s="14" t="s">
        <v>295</v>
      </c>
      <c r="C280" s="1" t="s">
        <v>71</v>
      </c>
      <c r="D280" s="53"/>
      <c r="E280" s="53"/>
      <c r="F280" s="53"/>
      <c r="G280" s="53"/>
      <c r="H280" s="53"/>
      <c r="K280" s="53">
        <f>79.314+76.4+0.04</f>
        <v>155.75399999999999</v>
      </c>
      <c r="L280" s="53">
        <f>171.7-0.04</f>
        <v>171.66</v>
      </c>
      <c r="M280" s="53">
        <v>168.4</v>
      </c>
      <c r="N280" s="53">
        <f>187.2+0.03</f>
        <v>187.23</v>
      </c>
      <c r="O280" s="53">
        <f>78.948+104.2+0.02</f>
        <v>183.16800000000001</v>
      </c>
      <c r="P280" s="53">
        <v>197.71299999999999</v>
      </c>
      <c r="Q280" s="53">
        <v>200.89099999999999</v>
      </c>
      <c r="R280" s="53">
        <v>175.8</v>
      </c>
      <c r="S280" s="53">
        <v>380.166</v>
      </c>
      <c r="T280" s="53">
        <v>498.13099999999997</v>
      </c>
      <c r="U280" s="53">
        <v>487.67399999999998</v>
      </c>
      <c r="V280" s="53">
        <v>475.83199999999999</v>
      </c>
      <c r="W280" s="53">
        <v>601.67399999999998</v>
      </c>
      <c r="X280" s="53">
        <v>656.63199999999995</v>
      </c>
      <c r="Y280" s="53">
        <v>649.125</v>
      </c>
      <c r="Z280" s="53">
        <v>521.14400000000001</v>
      </c>
      <c r="AA280" s="53">
        <v>595.09900000000005</v>
      </c>
      <c r="AB280" s="53">
        <v>1083.1859999999999</v>
      </c>
      <c r="AC280" s="53">
        <v>1229.152</v>
      </c>
      <c r="AD280" s="53">
        <v>1226.739</v>
      </c>
      <c r="AE280" s="53">
        <v>1435.98</v>
      </c>
      <c r="AF280" s="53">
        <v>1391.4059999999999</v>
      </c>
      <c r="AG280" s="53">
        <v>1459.41</v>
      </c>
      <c r="AH280" s="53">
        <v>1528.8789999999999</v>
      </c>
      <c r="AI280" s="53">
        <v>1547.7929999999999</v>
      </c>
      <c r="AJ280" s="53">
        <v>1742.421</v>
      </c>
      <c r="AK280" s="53">
        <v>1700.662</v>
      </c>
      <c r="AL280" s="53">
        <v>1666.817</v>
      </c>
      <c r="AM280" s="53">
        <v>1428.971</v>
      </c>
      <c r="AN280" s="53">
        <v>1589.652</v>
      </c>
      <c r="AO280" s="53">
        <v>1567.9960000000001</v>
      </c>
      <c r="AP280" s="53">
        <v>1582.5329999999999</v>
      </c>
      <c r="AQ280" s="53">
        <v>1647.9369999999999</v>
      </c>
      <c r="AR280" s="53">
        <v>1758.107</v>
      </c>
      <c r="AS280" s="37"/>
      <c r="AT280" s="53">
        <f>K280</f>
        <v>155.75399999999999</v>
      </c>
      <c r="AU280" s="53">
        <f>O280</f>
        <v>183.16800000000001</v>
      </c>
      <c r="AV280" s="53">
        <f>S280</f>
        <v>380.166</v>
      </c>
      <c r="AW280" s="53">
        <f>W280</f>
        <v>601.67399999999998</v>
      </c>
      <c r="AX280" s="53">
        <f>AA280</f>
        <v>595.09900000000005</v>
      </c>
      <c r="AY280" s="53">
        <f>AE280</f>
        <v>1435.98</v>
      </c>
      <c r="AZ280" s="53">
        <f>AI280</f>
        <v>1547.7929999999999</v>
      </c>
      <c r="BA280" s="37">
        <f>AM280</f>
        <v>1428.971</v>
      </c>
      <c r="BB280" s="37">
        <f>AQ280</f>
        <v>1647.9369999999999</v>
      </c>
    </row>
    <row r="281" spans="1:57" outlineLevel="1">
      <c r="B281" s="14" t="s">
        <v>296</v>
      </c>
      <c r="C281" s="1" t="s">
        <v>71</v>
      </c>
      <c r="D281" s="53"/>
      <c r="E281" s="53"/>
      <c r="F281" s="53"/>
      <c r="G281" s="53"/>
      <c r="H281" s="53"/>
      <c r="K281" s="53">
        <v>7.0609999999999999</v>
      </c>
      <c r="L281" s="53">
        <v>5.8</v>
      </c>
      <c r="M281" s="53">
        <v>8.9039999999999999</v>
      </c>
      <c r="N281" s="53">
        <v>8.8719999999999999</v>
      </c>
      <c r="O281" s="53">
        <v>8.3190000000000008</v>
      </c>
      <c r="P281" s="53">
        <v>6.6420000000000003</v>
      </c>
      <c r="Q281" s="53">
        <v>6.1479999999999997</v>
      </c>
      <c r="R281" s="53">
        <v>10.199999999999999</v>
      </c>
      <c r="S281" s="53">
        <v>53.444000000000003</v>
      </c>
      <c r="T281" s="53">
        <v>32.459000000000003</v>
      </c>
      <c r="U281" s="53">
        <v>37.031999999999996</v>
      </c>
      <c r="V281" s="53">
        <v>45.433</v>
      </c>
      <c r="W281" s="53">
        <v>43.247999999999998</v>
      </c>
      <c r="X281" s="53">
        <v>59.247</v>
      </c>
      <c r="Y281" s="53">
        <v>79.506</v>
      </c>
      <c r="Z281" s="53">
        <v>84.094999999999999</v>
      </c>
      <c r="AA281" s="53">
        <v>92.471999999999994</v>
      </c>
      <c r="AB281" s="53">
        <v>566.78300000000002</v>
      </c>
      <c r="AC281" s="53">
        <v>606.66200000000003</v>
      </c>
      <c r="AD281" s="53">
        <v>631.93299999999999</v>
      </c>
      <c r="AE281" s="53">
        <v>662.55799999999999</v>
      </c>
      <c r="AF281" s="53">
        <v>617.53499999999997</v>
      </c>
      <c r="AG281" s="53">
        <v>599.49800000000005</v>
      </c>
      <c r="AH281" s="53">
        <v>651.12300000000005</v>
      </c>
      <c r="AI281" s="53">
        <v>687.47900000000004</v>
      </c>
      <c r="AJ281" s="53">
        <v>739.78499999999997</v>
      </c>
      <c r="AK281" s="53">
        <v>791.36800000000005</v>
      </c>
      <c r="AL281" s="53">
        <v>821.03399999999999</v>
      </c>
      <c r="AM281" s="53">
        <v>691.37300000000005</v>
      </c>
      <c r="AN281" s="53">
        <v>619.85799999999995</v>
      </c>
      <c r="AO281" s="53">
        <v>666.65499999999997</v>
      </c>
      <c r="AP281" s="53">
        <v>620.42399999999998</v>
      </c>
      <c r="AQ281" s="53">
        <v>495.58</v>
      </c>
      <c r="AR281" s="53">
        <v>533.96699999999998</v>
      </c>
      <c r="AS281" s="37"/>
      <c r="AT281" s="53">
        <f>K281</f>
        <v>7.0609999999999999</v>
      </c>
      <c r="AU281" s="53">
        <f>O281</f>
        <v>8.3190000000000008</v>
      </c>
      <c r="AV281" s="53">
        <f>S281</f>
        <v>53.444000000000003</v>
      </c>
      <c r="AW281" s="53">
        <f>W281</f>
        <v>43.247999999999998</v>
      </c>
      <c r="AX281" s="53">
        <f>AA281</f>
        <v>92.471999999999994</v>
      </c>
      <c r="AY281" s="53">
        <f>AE281</f>
        <v>662.55799999999999</v>
      </c>
      <c r="AZ281" s="53">
        <f>AI281</f>
        <v>687.47900000000004</v>
      </c>
      <c r="BA281" s="37">
        <f>AM281</f>
        <v>691.37300000000005</v>
      </c>
      <c r="BB281" s="37">
        <f>AQ281</f>
        <v>495.58</v>
      </c>
    </row>
    <row r="282" spans="1:57" outlineLevel="1">
      <c r="B282" s="14" t="s">
        <v>240</v>
      </c>
      <c r="D282" s="53"/>
      <c r="E282" s="53"/>
      <c r="F282" s="53"/>
      <c r="G282" s="53"/>
      <c r="H282" s="53"/>
      <c r="K282" s="53"/>
      <c r="L282" s="53"/>
      <c r="M282" s="53"/>
      <c r="N282" s="53"/>
      <c r="O282" s="53"/>
      <c r="P282" s="53"/>
      <c r="Q282" s="53"/>
      <c r="R282" s="53"/>
      <c r="S282" s="53">
        <v>14.624000000000001</v>
      </c>
      <c r="T282" s="53">
        <v>11.317</v>
      </c>
      <c r="U282" s="53">
        <v>11.298</v>
      </c>
      <c r="V282" s="53">
        <v>14.034000000000001</v>
      </c>
      <c r="W282" s="53">
        <v>16.440999999999999</v>
      </c>
      <c r="X282" s="53">
        <v>11.63</v>
      </c>
      <c r="Y282" s="53">
        <v>12.699</v>
      </c>
      <c r="Z282" s="53">
        <v>10.851000000000001</v>
      </c>
      <c r="AA282" s="53">
        <v>19.167999999999999</v>
      </c>
      <c r="AB282" s="53">
        <v>19.722000000000001</v>
      </c>
      <c r="AC282" s="53">
        <v>26.16</v>
      </c>
      <c r="AD282" s="53">
        <v>20.5</v>
      </c>
      <c r="AE282" s="53">
        <v>20.977</v>
      </c>
      <c r="AF282" s="53">
        <v>0</v>
      </c>
      <c r="AG282" s="53">
        <v>12.145</v>
      </c>
      <c r="AH282" s="53">
        <v>10.43</v>
      </c>
      <c r="AI282" s="53">
        <v>1.046</v>
      </c>
      <c r="AJ282" s="53">
        <v>0</v>
      </c>
      <c r="AK282" s="53">
        <v>0</v>
      </c>
      <c r="AL282" s="53">
        <v>0</v>
      </c>
      <c r="AM282" s="53">
        <v>0</v>
      </c>
      <c r="AN282" s="53">
        <v>1.6839999999999999</v>
      </c>
      <c r="AO282" s="53">
        <v>0</v>
      </c>
      <c r="AP282" s="53"/>
      <c r="AQ282" s="53"/>
      <c r="AR282" s="53"/>
      <c r="AS282" s="37"/>
      <c r="AT282" s="53">
        <f>K282</f>
        <v>0</v>
      </c>
      <c r="AU282" s="53">
        <f>O282</f>
        <v>0</v>
      </c>
      <c r="AV282" s="53">
        <f>S282</f>
        <v>14.624000000000001</v>
      </c>
      <c r="AW282" s="53">
        <f>W282</f>
        <v>16.440999999999999</v>
      </c>
      <c r="AX282" s="53">
        <f>AA282</f>
        <v>19.167999999999999</v>
      </c>
      <c r="AY282" s="53">
        <f>AE282</f>
        <v>20.977</v>
      </c>
      <c r="AZ282" s="53">
        <f>AI282</f>
        <v>1.046</v>
      </c>
      <c r="BA282" s="37">
        <f>AM282</f>
        <v>0</v>
      </c>
      <c r="BB282" s="37">
        <f>AQ282</f>
        <v>0</v>
      </c>
    </row>
    <row r="283" spans="1:57" ht="13.5" outlineLevel="1" collapsed="1">
      <c r="B283" s="10" t="s">
        <v>297</v>
      </c>
      <c r="C283" s="10" t="s">
        <v>71</v>
      </c>
      <c r="D283" s="57"/>
      <c r="E283" s="57"/>
      <c r="F283" s="57"/>
      <c r="G283" s="57"/>
      <c r="H283" s="57"/>
      <c r="I283" s="10"/>
      <c r="J283" s="10"/>
      <c r="K283" s="57">
        <f t="shared" ref="K283:Q283" si="242">SUM(K280:K281)</f>
        <v>162.815</v>
      </c>
      <c r="L283" s="57">
        <f t="shared" si="242"/>
        <v>177.46</v>
      </c>
      <c r="M283" s="57">
        <f t="shared" si="242"/>
        <v>177.304</v>
      </c>
      <c r="N283" s="57">
        <f t="shared" si="242"/>
        <v>196.10199999999998</v>
      </c>
      <c r="O283" s="57">
        <f t="shared" si="242"/>
        <v>191.48699999999999</v>
      </c>
      <c r="P283" s="57">
        <f t="shared" si="242"/>
        <v>204.35499999999999</v>
      </c>
      <c r="Q283" s="57">
        <f t="shared" si="242"/>
        <v>207.03899999999999</v>
      </c>
      <c r="R283" s="57">
        <f>SUM(R280:R282)</f>
        <v>186</v>
      </c>
      <c r="S283" s="57">
        <f t="shared" ref="S283:Y283" si="243">SUM(S280:S282)</f>
        <v>448.23400000000004</v>
      </c>
      <c r="T283" s="57">
        <f t="shared" si="243"/>
        <v>541.90699999999993</v>
      </c>
      <c r="U283" s="57">
        <f t="shared" si="243"/>
        <v>536.00400000000002</v>
      </c>
      <c r="V283" s="57">
        <f t="shared" si="243"/>
        <v>535.29899999999998</v>
      </c>
      <c r="W283" s="57">
        <f t="shared" si="243"/>
        <v>661.36300000000006</v>
      </c>
      <c r="X283" s="57">
        <f t="shared" si="243"/>
        <v>727.5089999999999</v>
      </c>
      <c r="Y283" s="57">
        <f t="shared" si="243"/>
        <v>741.32999999999993</v>
      </c>
      <c r="Z283" s="57">
        <f t="shared" ref="Z283:AQ283" si="244">SUM(Z280:Z282)</f>
        <v>616.09</v>
      </c>
      <c r="AA283" s="57">
        <f t="shared" si="244"/>
        <v>706.73900000000003</v>
      </c>
      <c r="AB283" s="57">
        <f t="shared" si="244"/>
        <v>1669.691</v>
      </c>
      <c r="AC283" s="57">
        <f t="shared" si="244"/>
        <v>1861.9740000000002</v>
      </c>
      <c r="AD283" s="57">
        <f t="shared" si="244"/>
        <v>1879.172</v>
      </c>
      <c r="AE283" s="57">
        <f t="shared" si="244"/>
        <v>2119.5149999999999</v>
      </c>
      <c r="AF283" s="57">
        <f t="shared" si="244"/>
        <v>2008.9409999999998</v>
      </c>
      <c r="AG283" s="57">
        <f t="shared" si="244"/>
        <v>2071.0530000000003</v>
      </c>
      <c r="AH283" s="57">
        <f t="shared" si="244"/>
        <v>2190.4319999999998</v>
      </c>
      <c r="AI283" s="57">
        <f t="shared" si="244"/>
        <v>2236.3179999999998</v>
      </c>
      <c r="AJ283" s="57">
        <f t="shared" si="244"/>
        <v>2482.2060000000001</v>
      </c>
      <c r="AK283" s="57">
        <f t="shared" si="244"/>
        <v>2492.0300000000002</v>
      </c>
      <c r="AL283" s="57">
        <f t="shared" si="244"/>
        <v>2487.8510000000001</v>
      </c>
      <c r="AM283" s="57">
        <f t="shared" si="244"/>
        <v>2120.3440000000001</v>
      </c>
      <c r="AN283" s="57">
        <f t="shared" si="244"/>
        <v>2211.1940000000004</v>
      </c>
      <c r="AO283" s="57">
        <f t="shared" si="244"/>
        <v>2234.6509999999998</v>
      </c>
      <c r="AP283" s="57">
        <f t="shared" si="244"/>
        <v>2202.9569999999999</v>
      </c>
      <c r="AQ283" s="57">
        <f t="shared" si="244"/>
        <v>2143.5169999999998</v>
      </c>
      <c r="AR283" s="57">
        <f t="shared" ref="AR283" si="245">SUM(AR280:AR282)</f>
        <v>2292.0740000000001</v>
      </c>
      <c r="AS283" s="37"/>
      <c r="AT283" s="57">
        <f t="shared" ref="AT283:AY283" si="246">SUM(AT280:AT282)</f>
        <v>162.815</v>
      </c>
      <c r="AU283" s="57">
        <f t="shared" si="246"/>
        <v>191.48699999999999</v>
      </c>
      <c r="AV283" s="57">
        <f t="shared" si="246"/>
        <v>448.23400000000004</v>
      </c>
      <c r="AW283" s="57">
        <f t="shared" si="246"/>
        <v>661.36300000000006</v>
      </c>
      <c r="AX283" s="57">
        <f t="shared" si="246"/>
        <v>706.73900000000003</v>
      </c>
      <c r="AY283" s="57">
        <f t="shared" si="246"/>
        <v>2119.5149999999999</v>
      </c>
      <c r="AZ283" s="57">
        <f>SUM(AZ280:AZ282)</f>
        <v>2236.3179999999998</v>
      </c>
      <c r="BA283" s="57">
        <f>SUM(BA280:BA282)</f>
        <v>2120.3440000000001</v>
      </c>
      <c r="BB283" s="57">
        <f>SUM(BB280:BB282)</f>
        <v>2143.5169999999998</v>
      </c>
    </row>
    <row r="284" spans="1:57" ht="13.5" outlineLevel="1">
      <c r="B284" s="10" t="s">
        <v>298</v>
      </c>
      <c r="C284" s="10" t="s">
        <v>71</v>
      </c>
      <c r="D284" s="57"/>
      <c r="E284" s="57"/>
      <c r="F284" s="57"/>
      <c r="G284" s="57"/>
      <c r="H284" s="57"/>
      <c r="I284" s="10"/>
      <c r="J284" s="10"/>
      <c r="K284" s="57">
        <f t="shared" ref="K284:Q284" si="247">K283-K285</f>
        <v>57.871999999999986</v>
      </c>
      <c r="L284" s="57">
        <v>2</v>
      </c>
      <c r="M284" s="57">
        <f t="shared" si="247"/>
        <v>7.0040000000000191</v>
      </c>
      <c r="N284" s="57">
        <f t="shared" si="247"/>
        <v>65.20199999999997</v>
      </c>
      <c r="O284" s="57">
        <f t="shared" si="247"/>
        <v>57.676999999999992</v>
      </c>
      <c r="P284" s="57">
        <f t="shared" si="247"/>
        <v>62.390999999999991</v>
      </c>
      <c r="Q284" s="57">
        <f t="shared" si="247"/>
        <v>61.121999999999986</v>
      </c>
      <c r="R284" s="57">
        <v>43.8</v>
      </c>
      <c r="S284" s="57">
        <v>84.182000000000002</v>
      </c>
      <c r="T284" s="57">
        <v>134.19999999999999</v>
      </c>
      <c r="U284" s="57">
        <v>103.871</v>
      </c>
      <c r="V284" s="57">
        <v>90.775000000000006</v>
      </c>
      <c r="W284" s="57">
        <v>234.68299999999999</v>
      </c>
      <c r="X284" s="57">
        <v>213.51300000000001</v>
      </c>
      <c r="Y284" s="57">
        <f t="shared" ref="Y284:AM284" si="248">Y283-Y285</f>
        <v>196.34099999999989</v>
      </c>
      <c r="Z284" s="57">
        <f t="shared" si="248"/>
        <v>91.668999999999983</v>
      </c>
      <c r="AA284" s="57">
        <f t="shared" si="248"/>
        <v>94.634000000000015</v>
      </c>
      <c r="AB284" s="57">
        <f t="shared" si="248"/>
        <v>463.19100000000003</v>
      </c>
      <c r="AC284" s="57">
        <f t="shared" si="248"/>
        <v>539.34400000000005</v>
      </c>
      <c r="AD284" s="57">
        <f t="shared" si="248"/>
        <v>541.72</v>
      </c>
      <c r="AE284" s="57">
        <f t="shared" si="248"/>
        <v>464.8962563499972</v>
      </c>
      <c r="AF284" s="57">
        <f t="shared" si="248"/>
        <v>515.26299999999992</v>
      </c>
      <c r="AG284" s="57">
        <f t="shared" si="248"/>
        <v>707.37800000000038</v>
      </c>
      <c r="AH284" s="57">
        <f t="shared" si="248"/>
        <v>560.33599999999979</v>
      </c>
      <c r="AI284" s="57">
        <f t="shared" si="248"/>
        <v>514.22699999999986</v>
      </c>
      <c r="AJ284" s="57">
        <f t="shared" si="248"/>
        <v>558.95400000000018</v>
      </c>
      <c r="AK284" s="57">
        <f t="shared" si="248"/>
        <v>648.86300000000028</v>
      </c>
      <c r="AL284" s="57">
        <f t="shared" si="248"/>
        <v>645.30300000000011</v>
      </c>
      <c r="AM284" s="57">
        <f t="shared" si="248"/>
        <v>295.06100000000015</v>
      </c>
      <c r="AN284" s="57">
        <v>454.77</v>
      </c>
      <c r="AO284" s="57">
        <v>643.601</v>
      </c>
      <c r="AP284" s="57">
        <v>974.56799999999998</v>
      </c>
      <c r="AQ284" s="57">
        <v>824.99900000000002</v>
      </c>
      <c r="AR284" s="57">
        <v>913.21299999999997</v>
      </c>
      <c r="AS284" s="37"/>
      <c r="AT284" s="57">
        <f t="shared" ref="AT284:AY284" si="249">AT283-AT285</f>
        <v>57.871999999999986</v>
      </c>
      <c r="AU284" s="57">
        <f t="shared" si="249"/>
        <v>57.676999999999992</v>
      </c>
      <c r="AV284" s="57">
        <f t="shared" si="249"/>
        <v>84.182000000000016</v>
      </c>
      <c r="AW284" s="57">
        <f t="shared" si="249"/>
        <v>234.68300000000005</v>
      </c>
      <c r="AX284" s="57">
        <f t="shared" si="249"/>
        <v>94.634000000000015</v>
      </c>
      <c r="AY284" s="57">
        <f t="shared" si="249"/>
        <v>464.8962563499972</v>
      </c>
      <c r="AZ284" s="57">
        <f>AZ283-AZ285</f>
        <v>514.22699999999986</v>
      </c>
      <c r="BA284" s="57">
        <f>BA283-BA285</f>
        <v>295.06100000000015</v>
      </c>
      <c r="BB284" s="57">
        <f>BB283-BB285</f>
        <v>824.9989999999998</v>
      </c>
    </row>
    <row r="285" spans="1:57" ht="13.5" outlineLevel="1">
      <c r="B285" s="10" t="s">
        <v>299</v>
      </c>
      <c r="C285" s="10" t="s">
        <v>71</v>
      </c>
      <c r="D285" s="57"/>
      <c r="E285" s="57"/>
      <c r="F285" s="57"/>
      <c r="G285" s="57"/>
      <c r="H285" s="57"/>
      <c r="I285" s="10"/>
      <c r="J285" s="10"/>
      <c r="K285" s="57">
        <f>SUM(K286:K289)</f>
        <v>104.94300000000001</v>
      </c>
      <c r="L285" s="57">
        <f>SUM(L286:L289)</f>
        <v>175.5</v>
      </c>
      <c r="M285" s="57">
        <f>SUM(M286:M289)</f>
        <v>170.29999999999998</v>
      </c>
      <c r="N285" s="57">
        <f>SUM(N286:N289)</f>
        <v>130.9</v>
      </c>
      <c r="O285" s="57">
        <f>SUM(O286:O289)</f>
        <v>133.81</v>
      </c>
      <c r="P285" s="57">
        <f t="shared" ref="P285:Y285" si="250">SUM(P286:P289)</f>
        <v>141.964</v>
      </c>
      <c r="Q285" s="57">
        <f t="shared" si="250"/>
        <v>145.917</v>
      </c>
      <c r="R285" s="57">
        <f t="shared" si="250"/>
        <v>142.19999999999999</v>
      </c>
      <c r="S285" s="57">
        <f t="shared" si="250"/>
        <v>364.05200000000002</v>
      </c>
      <c r="T285" s="57">
        <f t="shared" si="250"/>
        <v>407.70699999999999</v>
      </c>
      <c r="U285" s="57">
        <f t="shared" si="250"/>
        <v>432.13300000000004</v>
      </c>
      <c r="V285" s="57">
        <f t="shared" si="250"/>
        <v>444.524</v>
      </c>
      <c r="W285" s="57">
        <f t="shared" si="250"/>
        <v>426.68</v>
      </c>
      <c r="X285" s="57">
        <f t="shared" si="250"/>
        <v>513.99599999999998</v>
      </c>
      <c r="Y285" s="57">
        <f t="shared" si="250"/>
        <v>544.98900000000003</v>
      </c>
      <c r="Z285" s="57">
        <f t="shared" ref="Z285:AM285" si="251">SUM(Z286:Z289)</f>
        <v>524.42100000000005</v>
      </c>
      <c r="AA285" s="57">
        <f t="shared" si="251"/>
        <v>612.10500000000002</v>
      </c>
      <c r="AB285" s="57">
        <f t="shared" si="251"/>
        <v>1206.5</v>
      </c>
      <c r="AC285" s="57">
        <f t="shared" si="251"/>
        <v>1322.63</v>
      </c>
      <c r="AD285" s="57">
        <f t="shared" si="251"/>
        <v>1337.452</v>
      </c>
      <c r="AE285" s="57">
        <f t="shared" si="251"/>
        <v>1654.6187436500027</v>
      </c>
      <c r="AF285" s="57">
        <f t="shared" si="251"/>
        <v>1493.6779999999999</v>
      </c>
      <c r="AG285" s="57">
        <f t="shared" si="251"/>
        <v>1363.675</v>
      </c>
      <c r="AH285" s="57">
        <f t="shared" si="251"/>
        <v>1630.096</v>
      </c>
      <c r="AI285" s="57">
        <f t="shared" si="251"/>
        <v>1722.0909999999999</v>
      </c>
      <c r="AJ285" s="57">
        <f t="shared" si="251"/>
        <v>1923.252</v>
      </c>
      <c r="AK285" s="57">
        <f t="shared" si="251"/>
        <v>1843.1669999999999</v>
      </c>
      <c r="AL285" s="57">
        <f t="shared" si="251"/>
        <v>1842.548</v>
      </c>
      <c r="AM285" s="57">
        <f t="shared" si="251"/>
        <v>1825.2829999999999</v>
      </c>
      <c r="AN285" s="57">
        <v>1756.424</v>
      </c>
      <c r="AO285" s="57">
        <v>1591.0500000000002</v>
      </c>
      <c r="AP285" s="57">
        <v>1228.3889999999999</v>
      </c>
      <c r="AQ285" s="57">
        <f>SUM(AQ286:AQ289)</f>
        <v>1318.518</v>
      </c>
      <c r="AR285" s="57">
        <f>SUM(AR286:AR289)</f>
        <v>1378.8609999999999</v>
      </c>
      <c r="AS285" s="37"/>
      <c r="AT285" s="57">
        <f t="shared" ref="AT285:AY285" si="252">SUM(AT286:AT289)</f>
        <v>104.94300000000001</v>
      </c>
      <c r="AU285" s="57">
        <f t="shared" si="252"/>
        <v>133.81</v>
      </c>
      <c r="AV285" s="57">
        <f t="shared" si="252"/>
        <v>364.05200000000002</v>
      </c>
      <c r="AW285" s="57">
        <f t="shared" si="252"/>
        <v>426.68</v>
      </c>
      <c r="AX285" s="57">
        <f t="shared" si="252"/>
        <v>612.10500000000002</v>
      </c>
      <c r="AY285" s="57">
        <f t="shared" si="252"/>
        <v>1654.6187436500027</v>
      </c>
      <c r="AZ285" s="57">
        <f>SUM(AZ286:AZ289)</f>
        <v>1722.0909999999999</v>
      </c>
      <c r="BA285" s="57">
        <f>SUM(BA286:BA289)</f>
        <v>1825.2829999999999</v>
      </c>
      <c r="BB285" s="57">
        <f>SUM(BB286:BB289)</f>
        <v>1318.518</v>
      </c>
    </row>
    <row r="286" spans="1:57" outlineLevel="1">
      <c r="B286" s="14" t="s">
        <v>300</v>
      </c>
      <c r="C286" s="1" t="s">
        <v>71</v>
      </c>
      <c r="D286" s="53"/>
      <c r="E286" s="53"/>
      <c r="F286" s="53"/>
      <c r="G286" s="53"/>
      <c r="H286" s="53"/>
      <c r="K286" s="53">
        <v>48.57</v>
      </c>
      <c r="L286" s="53">
        <v>98.7</v>
      </c>
      <c r="M286" s="53">
        <v>102.7</v>
      </c>
      <c r="N286" s="53">
        <v>62.2</v>
      </c>
      <c r="O286" s="53">
        <v>63.28</v>
      </c>
      <c r="P286" s="53">
        <v>69.849000000000004</v>
      </c>
      <c r="Q286" s="53">
        <v>74.117000000000004</v>
      </c>
      <c r="R286" s="53">
        <v>61.8</v>
      </c>
      <c r="S286" s="53">
        <v>140.58199999999999</v>
      </c>
      <c r="T286" s="53">
        <v>143.48500000000001</v>
      </c>
      <c r="U286" s="53">
        <v>124.75700000000001</v>
      </c>
      <c r="V286" s="53">
        <v>134.38300000000001</v>
      </c>
      <c r="W286" s="53">
        <v>128.803</v>
      </c>
      <c r="X286" s="53">
        <v>181.429</v>
      </c>
      <c r="Y286" s="53">
        <v>174.374</v>
      </c>
      <c r="Z286" s="53">
        <v>204.31</v>
      </c>
      <c r="AA286" s="53">
        <v>197.70400000000001</v>
      </c>
      <c r="AB286" s="53">
        <v>342.09899999999999</v>
      </c>
      <c r="AC286" s="53">
        <v>419.3</v>
      </c>
      <c r="AD286" s="53">
        <v>464.09100000000001</v>
      </c>
      <c r="AE286" s="53">
        <v>505.26894894998605</v>
      </c>
      <c r="AF286" s="53">
        <v>353.08800000000002</v>
      </c>
      <c r="AG286" s="53">
        <v>358.32400000000001</v>
      </c>
      <c r="AH286" s="53">
        <v>442.21899999999999</v>
      </c>
      <c r="AI286" s="53">
        <v>501.11599999999999</v>
      </c>
      <c r="AJ286" s="53">
        <v>491.846</v>
      </c>
      <c r="AK286" s="53">
        <v>404.51600000000002</v>
      </c>
      <c r="AL286" s="53">
        <v>351.88200000000001</v>
      </c>
      <c r="AM286" s="53">
        <v>602.80499999999995</v>
      </c>
      <c r="AN286" s="53">
        <v>499.17899999999997</v>
      </c>
      <c r="AO286" s="53">
        <v>342.96199999999999</v>
      </c>
      <c r="AP286" s="53">
        <v>333.35</v>
      </c>
      <c r="AQ286" s="53">
        <v>430.83699999999999</v>
      </c>
      <c r="AR286" s="53">
        <v>437.26400000000001</v>
      </c>
      <c r="AS286" s="37"/>
      <c r="AT286" s="53">
        <f>K286</f>
        <v>48.57</v>
      </c>
      <c r="AU286" s="53">
        <f>O286</f>
        <v>63.28</v>
      </c>
      <c r="AV286" s="53">
        <f>S286</f>
        <v>140.58199999999999</v>
      </c>
      <c r="AW286" s="53">
        <f>W286</f>
        <v>128.803</v>
      </c>
      <c r="AX286" s="53">
        <f>AA286</f>
        <v>197.70400000000001</v>
      </c>
      <c r="AY286" s="53">
        <f>AE286</f>
        <v>505.26894894998605</v>
      </c>
      <c r="AZ286" s="53">
        <f>AI286</f>
        <v>501.11599999999999</v>
      </c>
      <c r="BA286" s="37">
        <f>AM286</f>
        <v>602.80499999999995</v>
      </c>
      <c r="BB286" s="37">
        <f>AQ286</f>
        <v>430.83699999999999</v>
      </c>
    </row>
    <row r="287" spans="1:57" outlineLevel="1">
      <c r="B287" s="14" t="s">
        <v>301</v>
      </c>
      <c r="C287" s="1" t="s">
        <v>71</v>
      </c>
      <c r="D287" s="53"/>
      <c r="E287" s="53"/>
      <c r="F287" s="53"/>
      <c r="G287" s="53"/>
      <c r="H287" s="53"/>
      <c r="K287" s="53">
        <v>19.422000000000001</v>
      </c>
      <c r="L287" s="53">
        <v>29.6</v>
      </c>
      <c r="M287" s="53">
        <v>25.9</v>
      </c>
      <c r="N287" s="53">
        <v>31</v>
      </c>
      <c r="O287" s="53">
        <v>22.672000000000001</v>
      </c>
      <c r="P287" s="53">
        <v>28.347000000000001</v>
      </c>
      <c r="Q287" s="53">
        <v>30.28</v>
      </c>
      <c r="R287" s="53">
        <v>35.5</v>
      </c>
      <c r="S287" s="53">
        <v>54.719000000000001</v>
      </c>
      <c r="T287" s="53">
        <v>55.067</v>
      </c>
      <c r="U287" s="53">
        <v>63.936</v>
      </c>
      <c r="V287" s="53">
        <v>58.363999999999997</v>
      </c>
      <c r="W287" s="53">
        <v>45.948</v>
      </c>
      <c r="X287" s="53">
        <v>71.617999999999995</v>
      </c>
      <c r="Y287" s="53">
        <v>74.147999999999996</v>
      </c>
      <c r="Z287" s="53">
        <v>66.346000000000004</v>
      </c>
      <c r="AA287" s="53">
        <v>91.551000000000002</v>
      </c>
      <c r="AB287" s="53">
        <v>337.93900000000002</v>
      </c>
      <c r="AC287" s="53">
        <v>219.87100000000001</v>
      </c>
      <c r="AD287" s="53">
        <v>164.21</v>
      </c>
      <c r="AE287" s="53">
        <v>140.08077414999974</v>
      </c>
      <c r="AF287" s="53">
        <v>171.82400000000001</v>
      </c>
      <c r="AG287" s="53">
        <v>149.71899999999999</v>
      </c>
      <c r="AH287" s="53">
        <v>175.62299999999999</v>
      </c>
      <c r="AI287" s="53">
        <v>190.24299999999999</v>
      </c>
      <c r="AJ287" s="53">
        <v>244.50899999999999</v>
      </c>
      <c r="AK287" s="53">
        <v>205.06299999999999</v>
      </c>
      <c r="AL287" s="53">
        <v>192.35300000000001</v>
      </c>
      <c r="AM287" s="53">
        <v>188.203</v>
      </c>
      <c r="AN287" s="53">
        <v>271.83999999999997</v>
      </c>
      <c r="AO287" s="53">
        <v>232.523</v>
      </c>
      <c r="AP287" s="53">
        <v>170.13</v>
      </c>
      <c r="AQ287" s="53">
        <v>178.04499999999999</v>
      </c>
      <c r="AR287" s="53">
        <v>195.79900000000001</v>
      </c>
      <c r="AS287" s="37"/>
      <c r="AT287" s="53">
        <f>K287</f>
        <v>19.422000000000001</v>
      </c>
      <c r="AU287" s="53">
        <f>O287</f>
        <v>22.672000000000001</v>
      </c>
      <c r="AV287" s="53">
        <f>S287</f>
        <v>54.719000000000001</v>
      </c>
      <c r="AW287" s="53">
        <f>W287</f>
        <v>45.948</v>
      </c>
      <c r="AX287" s="53">
        <f>AA287</f>
        <v>91.551000000000002</v>
      </c>
      <c r="AY287" s="53">
        <f>AE287</f>
        <v>140.08077414999974</v>
      </c>
      <c r="AZ287" s="53">
        <f>AI287</f>
        <v>190.24299999999999</v>
      </c>
      <c r="BA287" s="37">
        <f>AM287</f>
        <v>188.203</v>
      </c>
      <c r="BB287" s="37">
        <f>AQ287</f>
        <v>178.04499999999999</v>
      </c>
    </row>
    <row r="288" spans="1:57" outlineLevel="1">
      <c r="B288" s="14" t="s">
        <v>302</v>
      </c>
      <c r="C288" s="1" t="s">
        <v>71</v>
      </c>
      <c r="D288" s="53"/>
      <c r="E288" s="53"/>
      <c r="F288" s="53"/>
      <c r="G288" s="53"/>
      <c r="H288" s="53"/>
      <c r="K288" s="53">
        <v>10.944000000000001</v>
      </c>
      <c r="L288" s="53">
        <v>11.7</v>
      </c>
      <c r="M288" s="53">
        <v>14.2</v>
      </c>
      <c r="N288" s="53">
        <v>11.8</v>
      </c>
      <c r="O288" s="53">
        <v>12.698</v>
      </c>
      <c r="P288" s="53">
        <v>16.297999999999998</v>
      </c>
      <c r="Q288" s="53">
        <v>13.939</v>
      </c>
      <c r="R288" s="53">
        <v>14.3</v>
      </c>
      <c r="S288" s="53">
        <v>29.562000000000001</v>
      </c>
      <c r="T288" s="53">
        <v>35.121000000000002</v>
      </c>
      <c r="U288" s="53">
        <v>37.881999999999998</v>
      </c>
      <c r="V288" s="53">
        <v>28.225000000000001</v>
      </c>
      <c r="W288" s="53">
        <v>22.63</v>
      </c>
      <c r="X288" s="53">
        <v>22.378</v>
      </c>
      <c r="Y288" s="53">
        <v>37.021000000000001</v>
      </c>
      <c r="Z288" s="53">
        <v>28.164999999999999</v>
      </c>
      <c r="AA288" s="53">
        <v>75.653000000000006</v>
      </c>
      <c r="AB288" s="53">
        <v>139.83699999999999</v>
      </c>
      <c r="AC288" s="53">
        <v>144.87299999999999</v>
      </c>
      <c r="AD288" s="53">
        <v>95.742000000000004</v>
      </c>
      <c r="AE288" s="53">
        <v>121.44495564999993</v>
      </c>
      <c r="AF288" s="53">
        <v>65.879000000000005</v>
      </c>
      <c r="AG288" s="53">
        <v>80.415000000000006</v>
      </c>
      <c r="AH288" s="53">
        <v>118.086</v>
      </c>
      <c r="AI288" s="53">
        <v>129.84800000000001</v>
      </c>
      <c r="AJ288" s="53">
        <v>149.04300000000001</v>
      </c>
      <c r="AK288" s="53">
        <v>156.79900000000001</v>
      </c>
      <c r="AL288" s="53">
        <v>166.44499999999999</v>
      </c>
      <c r="AM288" s="53">
        <v>153.751</v>
      </c>
      <c r="AN288" s="53">
        <v>112.852</v>
      </c>
      <c r="AO288" s="53">
        <v>128.63399999999999</v>
      </c>
      <c r="AP288" s="53">
        <v>110.71</v>
      </c>
      <c r="AQ288" s="53">
        <v>112.17700000000001</v>
      </c>
      <c r="AR288" s="53">
        <v>81.102999999999994</v>
      </c>
      <c r="AS288" s="37"/>
      <c r="AT288" s="53">
        <f>K288</f>
        <v>10.944000000000001</v>
      </c>
      <c r="AU288" s="53">
        <f>O288</f>
        <v>12.698</v>
      </c>
      <c r="AV288" s="53">
        <f>S288</f>
        <v>29.562000000000001</v>
      </c>
      <c r="AW288" s="53">
        <f>W288</f>
        <v>22.63</v>
      </c>
      <c r="AX288" s="53">
        <f>AA288</f>
        <v>75.653000000000006</v>
      </c>
      <c r="AY288" s="53">
        <f>AE288</f>
        <v>121.44495564999993</v>
      </c>
      <c r="AZ288" s="53">
        <f>AI288</f>
        <v>129.84800000000001</v>
      </c>
      <c r="BA288" s="37">
        <f>AM288</f>
        <v>153.751</v>
      </c>
      <c r="BB288" s="37">
        <f>AQ288</f>
        <v>112.17700000000001</v>
      </c>
    </row>
    <row r="289" spans="2:54" outlineLevel="1">
      <c r="B289" s="14" t="s">
        <v>303</v>
      </c>
      <c r="C289" s="1" t="s">
        <v>71</v>
      </c>
      <c r="D289" s="53"/>
      <c r="E289" s="53"/>
      <c r="F289" s="53"/>
      <c r="G289" s="53"/>
      <c r="H289" s="53"/>
      <c r="K289" s="53">
        <v>26.007000000000001</v>
      </c>
      <c r="L289" s="53">
        <v>35.5</v>
      </c>
      <c r="M289" s="53">
        <v>27.5</v>
      </c>
      <c r="N289" s="53">
        <v>25.9</v>
      </c>
      <c r="O289" s="53">
        <v>35.159999999999997</v>
      </c>
      <c r="P289" s="53">
        <v>27.47</v>
      </c>
      <c r="Q289" s="53">
        <v>27.581</v>
      </c>
      <c r="R289" s="53">
        <v>30.6</v>
      </c>
      <c r="S289" s="53">
        <v>139.18899999999999</v>
      </c>
      <c r="T289" s="53">
        <v>174.03399999999999</v>
      </c>
      <c r="U289" s="53">
        <v>205.55799999999999</v>
      </c>
      <c r="V289" s="53">
        <v>223.55199999999999</v>
      </c>
      <c r="W289" s="53">
        <v>229.29900000000001</v>
      </c>
      <c r="X289" s="53">
        <v>238.571</v>
      </c>
      <c r="Y289" s="53">
        <v>259.44600000000003</v>
      </c>
      <c r="Z289" s="53">
        <v>225.6</v>
      </c>
      <c r="AA289" s="53">
        <v>247.197</v>
      </c>
      <c r="AB289" s="53">
        <v>386.625</v>
      </c>
      <c r="AC289" s="53">
        <v>538.58600000000001</v>
      </c>
      <c r="AD289" s="53">
        <v>613.40899999999999</v>
      </c>
      <c r="AE289" s="53">
        <v>887.82406490001688</v>
      </c>
      <c r="AF289" s="53">
        <v>902.88699999999994</v>
      </c>
      <c r="AG289" s="53">
        <v>775.21699999999998</v>
      </c>
      <c r="AH289" s="53">
        <v>894.16800000000001</v>
      </c>
      <c r="AI289" s="53">
        <v>900.88400000000001</v>
      </c>
      <c r="AJ289" s="53">
        <v>1037.854</v>
      </c>
      <c r="AK289" s="53">
        <v>1076.789</v>
      </c>
      <c r="AL289" s="53">
        <v>1131.8679999999999</v>
      </c>
      <c r="AM289" s="53">
        <v>880.524</v>
      </c>
      <c r="AN289" s="53">
        <v>872.553</v>
      </c>
      <c r="AO289" s="53">
        <v>886.93100000000004</v>
      </c>
      <c r="AP289" s="53">
        <v>614.43799999999999</v>
      </c>
      <c r="AQ289" s="53">
        <v>597.45899999999995</v>
      </c>
      <c r="AR289" s="53">
        <v>664.69500000000005</v>
      </c>
      <c r="AS289" s="37"/>
      <c r="AT289" s="53">
        <f>K289</f>
        <v>26.007000000000001</v>
      </c>
      <c r="AU289" s="53">
        <f>O289</f>
        <v>35.159999999999997</v>
      </c>
      <c r="AV289" s="53">
        <f>S289</f>
        <v>139.18899999999999</v>
      </c>
      <c r="AW289" s="53">
        <f>W289</f>
        <v>229.29900000000001</v>
      </c>
      <c r="AX289" s="53">
        <f>AA289</f>
        <v>247.197</v>
      </c>
      <c r="AY289" s="53">
        <f>AE289</f>
        <v>887.82406490001688</v>
      </c>
      <c r="AZ289" s="53">
        <f>AI289</f>
        <v>900.88400000000001</v>
      </c>
      <c r="BA289" s="37">
        <f>AM289</f>
        <v>880.524</v>
      </c>
      <c r="BB289" s="37">
        <f>AQ289</f>
        <v>597.45899999999995</v>
      </c>
    </row>
    <row r="290" spans="2:54" ht="13.5" outlineLevel="1">
      <c r="B290" s="10" t="s">
        <v>304</v>
      </c>
      <c r="C290" s="10" t="s">
        <v>71</v>
      </c>
      <c r="D290" s="57"/>
      <c r="E290" s="57"/>
      <c r="F290" s="57"/>
      <c r="G290" s="57"/>
      <c r="H290" s="57"/>
      <c r="I290" s="10"/>
      <c r="J290" s="10"/>
      <c r="K290" s="57">
        <v>-19.77</v>
      </c>
      <c r="L290" s="57">
        <v>-57.262</v>
      </c>
      <c r="M290" s="57">
        <v>-44.155000000000001</v>
      </c>
      <c r="N290" s="57">
        <v>-42.404000000000003</v>
      </c>
      <c r="O290" s="57">
        <v>-38.738</v>
      </c>
      <c r="P290" s="57">
        <v>-36.783999999999999</v>
      </c>
      <c r="Q290" s="57">
        <v>-33.33</v>
      </c>
      <c r="R290" s="57">
        <v>-39.9</v>
      </c>
      <c r="S290" s="57">
        <v>-151.24700000000001</v>
      </c>
      <c r="T290" s="57">
        <v>-183.154</v>
      </c>
      <c r="U290" s="57">
        <v>-208.66399999999999</v>
      </c>
      <c r="V290" s="57">
        <v>-220.52699999999999</v>
      </c>
      <c r="W290" s="57">
        <v>-227.93700000000001</v>
      </c>
      <c r="X290" s="57">
        <v>-239.78200000000001</v>
      </c>
      <c r="Y290" s="57">
        <v>-244.72800000000001</v>
      </c>
      <c r="Z290" s="57">
        <v>-191.93299999999999</v>
      </c>
      <c r="AA290" s="57">
        <v>-232.435</v>
      </c>
      <c r="AB290" s="57">
        <v>-400.154</v>
      </c>
      <c r="AC290" s="57">
        <v>-550.54499999999996</v>
      </c>
      <c r="AD290" s="57">
        <v>-571.20100000000002</v>
      </c>
      <c r="AE290" s="57">
        <v>-638.71400000000006</v>
      </c>
      <c r="AF290" s="57">
        <v>-638.71400000000006</v>
      </c>
      <c r="AG290" s="57">
        <v>-613.54200000000003</v>
      </c>
      <c r="AH290" s="57">
        <v>-636.10599999999999</v>
      </c>
      <c r="AI290" s="57">
        <v>-675.39099999999996</v>
      </c>
      <c r="AJ290" s="57">
        <v>-739.072</v>
      </c>
      <c r="AK290" s="57">
        <v>-724.27499999999998</v>
      </c>
      <c r="AL290" s="57">
        <v>-730.66300000000001</v>
      </c>
      <c r="AM290" s="57">
        <f>-444</f>
        <v>-444</v>
      </c>
      <c r="AN290" s="57">
        <v>-406.28699999999998</v>
      </c>
      <c r="AO290" s="57">
        <v>-349.738</v>
      </c>
      <c r="AP290" s="57">
        <v>-259.53300000000002</v>
      </c>
      <c r="AQ290" s="57">
        <v>-244.21299999999999</v>
      </c>
      <c r="AR290" s="57">
        <v>-233.23599999999999</v>
      </c>
      <c r="AS290" s="37"/>
      <c r="AT290" s="57">
        <f>K290</f>
        <v>-19.77</v>
      </c>
      <c r="AU290" s="57">
        <f>O290</f>
        <v>-38.738</v>
      </c>
      <c r="AV290" s="57">
        <f>S290</f>
        <v>-151.24700000000001</v>
      </c>
      <c r="AW290" s="57">
        <f>W290</f>
        <v>-227.93700000000001</v>
      </c>
      <c r="AX290" s="57">
        <f>AA290</f>
        <v>-232.435</v>
      </c>
      <c r="AY290" s="57">
        <f>AE290</f>
        <v>-638.71400000000006</v>
      </c>
      <c r="AZ290" s="57">
        <f>AI290</f>
        <v>-675.39099999999996</v>
      </c>
      <c r="BA290" s="57">
        <f>AM290</f>
        <v>-444</v>
      </c>
      <c r="BB290" s="57">
        <f>AQ290</f>
        <v>-244.21299999999999</v>
      </c>
    </row>
    <row r="291" spans="2:54" ht="13.5" outlineLevel="1">
      <c r="B291" s="89"/>
      <c r="C291" s="89"/>
      <c r="D291" s="89"/>
      <c r="E291" s="89"/>
      <c r="F291" s="89"/>
      <c r="G291" s="89"/>
      <c r="H291" s="89"/>
      <c r="I291" s="89"/>
      <c r="J291" s="89"/>
      <c r="K291" s="89"/>
      <c r="L291" s="89"/>
      <c r="M291" s="89"/>
      <c r="N291" s="89"/>
      <c r="O291" s="89"/>
      <c r="AC291" s="3"/>
      <c r="AD291" s="3"/>
      <c r="AE291" s="3"/>
      <c r="AF291" s="3"/>
      <c r="AG291" s="3"/>
      <c r="AH291" s="3"/>
      <c r="AI291" s="3"/>
      <c r="AJ291" s="3"/>
      <c r="AK291" s="3"/>
      <c r="AL291" s="3"/>
      <c r="AM291" s="3"/>
      <c r="AN291" s="3"/>
      <c r="AO291" s="3"/>
      <c r="AP291" s="3"/>
      <c r="AQ291" s="3"/>
      <c r="AR291" s="3"/>
    </row>
    <row r="292" spans="2:54" s="83" customFormat="1" ht="13.5">
      <c r="B292" s="88" t="s">
        <v>305</v>
      </c>
      <c r="D292" s="90"/>
      <c r="E292" s="90"/>
      <c r="F292" s="90"/>
      <c r="G292" s="90"/>
      <c r="K292" s="55"/>
      <c r="L292" s="55"/>
      <c r="N292" s="53"/>
      <c r="Z292" s="54"/>
    </row>
    <row r="293" spans="2:54" s="83" customFormat="1" ht="13.5">
      <c r="B293" s="8" t="s">
        <v>10</v>
      </c>
      <c r="C293" s="8" t="s">
        <v>11</v>
      </c>
      <c r="D293" s="92"/>
      <c r="E293" s="92"/>
      <c r="F293" s="92"/>
      <c r="G293" s="92"/>
      <c r="H293" s="8" t="s">
        <v>44</v>
      </c>
      <c r="I293" s="8" t="s">
        <v>45</v>
      </c>
      <c r="J293" s="8" t="s">
        <v>46</v>
      </c>
      <c r="K293" s="8" t="s">
        <v>47</v>
      </c>
      <c r="L293" s="8" t="s">
        <v>48</v>
      </c>
      <c r="M293" s="8" t="s">
        <v>49</v>
      </c>
      <c r="N293" s="8" t="s">
        <v>50</v>
      </c>
      <c r="O293" s="8" t="s">
        <v>51</v>
      </c>
      <c r="P293" s="8" t="s">
        <v>309</v>
      </c>
      <c r="Q293" s="55"/>
      <c r="R293" s="55"/>
      <c r="S293" s="55"/>
      <c r="T293" s="55"/>
      <c r="U293" s="55"/>
      <c r="V293" s="55"/>
      <c r="W293" s="55"/>
    </row>
    <row r="294" spans="2:54">
      <c r="B294" s="83" t="s">
        <v>306</v>
      </c>
      <c r="C294" s="1" t="s">
        <v>307</v>
      </c>
      <c r="D294" s="13"/>
      <c r="E294" s="13"/>
      <c r="F294" s="13"/>
      <c r="G294" s="13"/>
      <c r="H294" s="93">
        <v>314166.66666666669</v>
      </c>
      <c r="I294" s="93">
        <v>314166.66666666669</v>
      </c>
      <c r="J294" s="93">
        <v>314166.66666666669</v>
      </c>
      <c r="K294" s="93">
        <v>314166.66666666669</v>
      </c>
      <c r="L294" s="93">
        <v>314166.66666666669</v>
      </c>
      <c r="M294" s="93">
        <v>314166.66666666669</v>
      </c>
      <c r="N294" s="93">
        <v>314166.66666666669</v>
      </c>
      <c r="O294" s="93">
        <v>314166.66666666669</v>
      </c>
      <c r="P294" s="93">
        <v>314166.66666666669</v>
      </c>
      <c r="Q294" s="55"/>
      <c r="R294" s="55"/>
      <c r="S294" s="55"/>
      <c r="T294" s="55"/>
      <c r="U294" s="55"/>
      <c r="V294" s="55"/>
      <c r="W294" s="55"/>
    </row>
    <row r="295" spans="2:54" s="83" customFormat="1">
      <c r="C295" s="1"/>
      <c r="D295" s="13"/>
      <c r="E295" s="13"/>
      <c r="F295" s="13"/>
      <c r="G295" s="13"/>
      <c r="H295" s="91"/>
      <c r="I295" s="91"/>
      <c r="J295" s="91"/>
      <c r="K295" s="55"/>
      <c r="L295" s="55"/>
      <c r="N295" s="53"/>
      <c r="Z295" s="54"/>
    </row>
    <row r="296" spans="2:54" s="83" customFormat="1" ht="13.5">
      <c r="B296" s="88" t="s">
        <v>308</v>
      </c>
      <c r="D296" s="90"/>
      <c r="E296" s="90"/>
      <c r="F296" s="90"/>
      <c r="G296" s="90"/>
      <c r="K296" s="55"/>
      <c r="L296" s="55"/>
      <c r="N296" s="53"/>
      <c r="Z296" s="54"/>
    </row>
    <row r="297" spans="2:54" s="83" customFormat="1" ht="13.5">
      <c r="B297" s="8" t="s">
        <v>10</v>
      </c>
      <c r="C297" s="8" t="s">
        <v>11</v>
      </c>
      <c r="D297" s="92"/>
      <c r="E297" s="92"/>
      <c r="F297" s="92"/>
      <c r="G297" s="92"/>
      <c r="H297" s="8" t="s">
        <v>310</v>
      </c>
      <c r="I297" s="8" t="s">
        <v>311</v>
      </c>
      <c r="J297" s="8" t="s">
        <v>312</v>
      </c>
      <c r="K297" s="8" t="s">
        <v>313</v>
      </c>
      <c r="L297" s="8" t="s">
        <v>314</v>
      </c>
      <c r="M297" s="8" t="s">
        <v>315</v>
      </c>
      <c r="N297" s="8" t="s">
        <v>316</v>
      </c>
      <c r="O297" s="1"/>
      <c r="T297" s="54"/>
    </row>
    <row r="298" spans="2:54">
      <c r="B298" s="83" t="s">
        <v>317</v>
      </c>
      <c r="C298" s="1" t="s">
        <v>307</v>
      </c>
      <c r="D298" s="13"/>
      <c r="E298" s="13"/>
      <c r="F298" s="13"/>
      <c r="G298" s="13"/>
      <c r="H298" s="121">
        <v>314166.66666666669</v>
      </c>
      <c r="I298" s="121">
        <v>314166.66666666669</v>
      </c>
      <c r="J298" s="121">
        <v>314166.66666666669</v>
      </c>
      <c r="K298" s="121">
        <v>314166.66666666669</v>
      </c>
      <c r="L298" s="121">
        <v>314166.66666666669</v>
      </c>
      <c r="M298" s="121">
        <v>314166.66666666669</v>
      </c>
      <c r="N298" s="121">
        <v>314166.66666666669</v>
      </c>
      <c r="V298" s="37"/>
    </row>
    <row r="299" spans="2:54">
      <c r="N299" s="83"/>
      <c r="AB299" s="37"/>
    </row>
    <row r="300" spans="2:54" ht="13.5">
      <c r="B300" s="88" t="s">
        <v>318</v>
      </c>
      <c r="C300" s="83"/>
      <c r="D300" s="90"/>
      <c r="E300" s="90"/>
      <c r="F300" s="90"/>
      <c r="G300" s="90"/>
      <c r="H300" s="83"/>
      <c r="I300" s="83"/>
      <c r="J300" s="94"/>
      <c r="K300" s="83"/>
      <c r="L300" s="83"/>
      <c r="M300" s="83"/>
      <c r="N300" s="83"/>
      <c r="O300" s="83"/>
      <c r="P300" s="83"/>
      <c r="Q300" s="83"/>
      <c r="R300" s="83"/>
      <c r="S300" s="83"/>
    </row>
    <row r="301" spans="2:54" ht="27">
      <c r="B301" s="8" t="s">
        <v>10</v>
      </c>
      <c r="C301" s="8" t="s">
        <v>11</v>
      </c>
      <c r="D301" s="92"/>
      <c r="E301" s="92"/>
      <c r="F301" s="92"/>
      <c r="G301" s="92"/>
      <c r="H301" s="95" t="s">
        <v>875</v>
      </c>
      <c r="I301" s="6" t="s">
        <v>876</v>
      </c>
      <c r="J301" s="6">
        <v>2027</v>
      </c>
      <c r="K301" s="6">
        <v>2028</v>
      </c>
      <c r="L301" s="6">
        <v>2029</v>
      </c>
      <c r="M301" s="6">
        <v>2030</v>
      </c>
      <c r="N301" s="6">
        <v>2031</v>
      </c>
      <c r="O301" s="6">
        <v>2032</v>
      </c>
      <c r="P301" s="6">
        <v>2033</v>
      </c>
      <c r="Q301" s="6" t="s">
        <v>320</v>
      </c>
    </row>
    <row r="302" spans="2:54">
      <c r="B302" s="1" t="s">
        <v>321</v>
      </c>
      <c r="C302" s="1" t="s">
        <v>71</v>
      </c>
      <c r="H302" s="208">
        <v>1144.3093385299999</v>
      </c>
      <c r="I302" s="208">
        <v>590.83964688000037</v>
      </c>
      <c r="J302" s="208">
        <v>85.133654276234921</v>
      </c>
      <c r="K302" s="208">
        <v>78.703621379568517</v>
      </c>
      <c r="L302" s="208">
        <v>64.648741800996959</v>
      </c>
      <c r="M302" s="208">
        <v>61.401885370997014</v>
      </c>
      <c r="N302" s="208">
        <v>51.428676320997056</v>
      </c>
      <c r="O302" s="208">
        <v>44.840568990996985</v>
      </c>
      <c r="P302" s="196">
        <v>43.018820240997002</v>
      </c>
      <c r="Q302" s="196">
        <v>124.29372326921116</v>
      </c>
      <c r="R302" s="96"/>
      <c r="S302" s="63"/>
    </row>
    <row r="303" spans="2:54">
      <c r="B303" s="1" t="s">
        <v>322</v>
      </c>
      <c r="C303" s="1" t="s">
        <v>71</v>
      </c>
      <c r="H303" s="208">
        <v>1993.2289598499999</v>
      </c>
      <c r="I303" s="209">
        <v>60.653126720000266</v>
      </c>
      <c r="J303" s="209">
        <v>79.052692680000064</v>
      </c>
      <c r="K303" s="209">
        <v>79.052692680000064</v>
      </c>
      <c r="L303" s="209">
        <v>79.052692680000064</v>
      </c>
      <c r="M303" s="209">
        <v>79.052692680000064</v>
      </c>
      <c r="N303" s="209">
        <v>79.052692680000064</v>
      </c>
      <c r="O303" s="209">
        <v>79.052692680000064</v>
      </c>
      <c r="P303" s="196">
        <v>79.052692680000064</v>
      </c>
      <c r="Q303" s="196">
        <v>1379.2069843699992</v>
      </c>
      <c r="R303" s="96"/>
      <c r="S303" s="63"/>
    </row>
    <row r="304" spans="2:54">
      <c r="H304" s="122"/>
      <c r="I304" s="37"/>
      <c r="J304" s="33"/>
      <c r="K304" s="33"/>
      <c r="L304" s="33"/>
      <c r="M304" s="33"/>
      <c r="N304" s="33"/>
      <c r="O304" s="33"/>
      <c r="P304" s="33"/>
      <c r="Q304" s="33"/>
      <c r="R304" s="33"/>
      <c r="S304" s="37"/>
      <c r="T304" s="37"/>
    </row>
    <row r="305" spans="2:19" ht="13.5">
      <c r="B305" s="88" t="s">
        <v>874</v>
      </c>
      <c r="C305" s="83"/>
      <c r="D305" s="90"/>
      <c r="E305" s="90"/>
      <c r="F305" s="90"/>
      <c r="G305" s="90"/>
      <c r="H305" s="97"/>
      <c r="I305" s="37"/>
      <c r="J305" s="33"/>
      <c r="K305" s="33"/>
      <c r="L305" s="33"/>
      <c r="M305" s="33"/>
      <c r="N305" s="33"/>
      <c r="O305" s="33"/>
      <c r="P305" s="33"/>
      <c r="Q305" s="33"/>
      <c r="R305" s="98"/>
      <c r="S305" s="37"/>
    </row>
    <row r="306" spans="2:19" ht="13.5">
      <c r="B306" s="8" t="s">
        <v>10</v>
      </c>
      <c r="C306" s="8" t="s">
        <v>11</v>
      </c>
      <c r="D306" s="13"/>
      <c r="E306" s="13"/>
      <c r="F306" s="13"/>
      <c r="G306" s="13"/>
      <c r="H306" s="6">
        <v>2026</v>
      </c>
      <c r="I306" s="6">
        <v>2027</v>
      </c>
      <c r="J306" s="6">
        <v>2028</v>
      </c>
      <c r="K306" s="6">
        <v>2029</v>
      </c>
      <c r="L306" s="6">
        <v>2030</v>
      </c>
      <c r="M306" s="6" t="s">
        <v>320</v>
      </c>
      <c r="N306" s="147"/>
      <c r="O306" s="146"/>
    </row>
    <row r="307" spans="2:19">
      <c r="B307" s="99" t="s">
        <v>323</v>
      </c>
      <c r="C307" s="1" t="s">
        <v>71</v>
      </c>
      <c r="H307" s="123">
        <v>615.05473834597626</v>
      </c>
      <c r="I307" s="123">
        <v>661.30253034828183</v>
      </c>
      <c r="J307" s="123">
        <v>327.78254980333327</v>
      </c>
      <c r="K307" s="196">
        <v>296.44849937433338</v>
      </c>
      <c r="L307" s="196">
        <v>296.44849937433338</v>
      </c>
      <c r="M307" s="206">
        <v>680.0373070852778</v>
      </c>
      <c r="N307" s="100"/>
      <c r="O307" s="100"/>
    </row>
    <row r="308" spans="2:19">
      <c r="B308" s="99" t="s">
        <v>324</v>
      </c>
      <c r="C308" s="1" t="s">
        <v>71</v>
      </c>
      <c r="H308" s="123">
        <v>285.93110786202431</v>
      </c>
      <c r="I308" s="123">
        <v>352.40644139472613</v>
      </c>
      <c r="J308" s="123">
        <v>293.40886636132689</v>
      </c>
      <c r="K308" s="196">
        <v>271.0398463362169</v>
      </c>
      <c r="L308" s="196">
        <v>255.22148178728574</v>
      </c>
      <c r="M308" s="206">
        <v>1039.0934597146756</v>
      </c>
      <c r="N308" s="100"/>
      <c r="O308" s="100"/>
    </row>
    <row r="309" spans="2:19">
      <c r="H309" s="97"/>
      <c r="I309" s="97"/>
      <c r="J309" s="97"/>
      <c r="K309" s="97"/>
      <c r="L309" s="97"/>
      <c r="M309" s="97"/>
    </row>
    <row r="310" spans="2:19" ht="13.5">
      <c r="B310" s="88" t="s">
        <v>325</v>
      </c>
      <c r="C310" s="83"/>
      <c r="D310" s="90"/>
      <c r="E310" s="90"/>
      <c r="F310" s="90"/>
      <c r="G310" s="90"/>
      <c r="H310" s="83"/>
      <c r="I310" s="83"/>
      <c r="J310" s="83"/>
      <c r="K310" s="83"/>
      <c r="L310" s="83"/>
      <c r="M310" s="83"/>
      <c r="N310" s="83"/>
      <c r="O310" s="83"/>
      <c r="P310" s="83"/>
      <c r="Q310" s="83"/>
      <c r="R310" s="83"/>
      <c r="S310" s="83"/>
    </row>
    <row r="311" spans="2:19" ht="27">
      <c r="B311" s="8" t="s">
        <v>319</v>
      </c>
      <c r="C311" s="8" t="s">
        <v>11</v>
      </c>
      <c r="D311" s="92"/>
      <c r="E311" s="92"/>
      <c r="F311" s="92"/>
      <c r="G311" s="92"/>
      <c r="H311" s="101" t="s">
        <v>326</v>
      </c>
      <c r="I311" s="101" t="s">
        <v>327</v>
      </c>
    </row>
    <row r="312" spans="2:19">
      <c r="B312" s="99" t="s">
        <v>323</v>
      </c>
      <c r="C312" s="1" t="s">
        <v>71</v>
      </c>
      <c r="H312" s="123">
        <v>2919.4642186699994</v>
      </c>
      <c r="I312" s="123">
        <v>30799.546999999988</v>
      </c>
      <c r="J312" s="100"/>
      <c r="K312" s="100"/>
      <c r="L312" s="100"/>
      <c r="M312" s="100"/>
      <c r="N312" s="100"/>
      <c r="P312" s="100"/>
      <c r="Q312" s="100"/>
      <c r="R312" s="100"/>
      <c r="S312" s="100"/>
    </row>
    <row r="313" spans="2:19">
      <c r="B313" s="99" t="s">
        <v>324</v>
      </c>
      <c r="C313" s="1" t="s">
        <v>71</v>
      </c>
      <c r="H313" s="123">
        <v>266.37021368710009</v>
      </c>
      <c r="I313" s="123">
        <v>5467.0910000000003</v>
      </c>
      <c r="J313" s="100"/>
      <c r="K313" s="100"/>
      <c r="L313" s="100"/>
      <c r="M313" s="100"/>
      <c r="N313" s="100"/>
      <c r="P313" s="100"/>
      <c r="Q313" s="100"/>
      <c r="R313" s="100"/>
      <c r="S313" s="100"/>
    </row>
    <row r="315" spans="2:19">
      <c r="B315" s="156" t="s">
        <v>328</v>
      </c>
      <c r="J315" s="201"/>
      <c r="K315" s="201"/>
      <c r="L315" s="201"/>
      <c r="M315" s="201"/>
      <c r="N315" s="201"/>
      <c r="O315" s="201"/>
      <c r="P315" s="201"/>
      <c r="Q315" s="201"/>
      <c r="R315" s="201"/>
    </row>
    <row r="316" spans="2:19" ht="52.5">
      <c r="B316" s="157" t="s">
        <v>329</v>
      </c>
      <c r="J316" s="201"/>
      <c r="K316" s="201"/>
      <c r="L316" s="201"/>
      <c r="M316" s="201"/>
      <c r="N316" s="201"/>
      <c r="O316" s="201"/>
      <c r="P316" s="201"/>
      <c r="Q316" s="201"/>
      <c r="R316" s="201"/>
    </row>
    <row r="317" spans="2:19" ht="56.25" customHeight="1">
      <c r="B317" s="157" t="s">
        <v>330</v>
      </c>
    </row>
    <row r="318" spans="2:19" ht="29.25" customHeight="1">
      <c r="B318" s="157" t="s">
        <v>331</v>
      </c>
    </row>
    <row r="319" spans="2:19" ht="15.75" customHeight="1">
      <c r="B319" s="157" t="s">
        <v>332</v>
      </c>
    </row>
    <row r="320" spans="2:19" ht="26.25">
      <c r="B320" s="157" t="s">
        <v>333</v>
      </c>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K129 I167:K167 N167:O167 H72:P72 Q9 Q167 AT262:AW264 AX273 AT266:AW267 AT94:AX94 I176:AB176 AX176 AT58:AX65 AT67:AX69 AT210:AX215 AT73:AX73 AX70:AX71 AV71:AW71 AW74:AX74 AT184:AX185 AX260:AX267 AT80:AX89 AY58:AY66 AT239:AX259 AY67:BA71 AY80:AY82 AY84:AY87 AY88:AZ89 AT54:AY56 AT92:AY92 AZ59:AZ66 AZ91:AZ92 AZ54:AZ55 AH167 AY240:AZ267 AT269:AZ269 AT219:AZ222 AT228:AZ235 AX216 AZ238 AT237:AZ237 AY239 AY210:AZ217 H239:AJ239 H252:AK252 BA84:BA92 AZ80:BA80 BA102 BA262:BA269 BA253:BA257 BA273 AZ205 BA222:BB222 AZ276 AT225:AZ226 AT223:AY224 AT196:BA196 H117:AH117 AT197:AZ199 K285:AL285 AZ82:AZ85 AT108:BA108 U72:X72 BA186:BA187 AY184:AZ187 AN239 AN252 AT189:BA194 AT200:BA204 AE72:AR72 BB54:BB56 BB186:BB188 BB190 BB192 BB195:BB199 BB205:BB208 BB225 BA243:BB248 BB253 BB257 BB264 BB266:BB269 BB80:BB94 AQ285:AR285 AJ117:AR117 BB58:BB79 AY73:BA79 AT75:AX79" formulaRange="1"/>
    <ignoredError sqref="H100:J100" evalError="1"/>
    <ignoredError sqref="AT57:AW57 AT72:AW72 AX57:AZ57 AX72:AZ72 AX218 AT218:AW218 AT176:AW176 AY90 AT90:AX90 AZ86:AZ87 AY218 AZ227 BA54:BA56 BA225 BA58:BA62" formula="1" formulaRange="1"/>
    <ignoredError sqref="AY155:AZ155 AY167 AT167:AX167 AT155:AX155 AT129:AZ129 AT227:AY227 AT270:AW270 AX270:AY270 AT152:AX152 AZ218 BA63:BA65 BA226:BA227 BA236 BA104 AZ100:BA100"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tabColor theme="0" tint="-4.9989318521683403E-2"/>
    <outlinePr summaryBelow="0"/>
  </sheetPr>
  <dimension ref="A6:BC475"/>
  <sheetViews>
    <sheetView showGridLines="0" tabSelected="1" zoomScale="77" zoomScaleNormal="77" workbookViewId="0">
      <pane xSplit="3" ySplit="8" topLeftCell="AK82" activePane="bottomRight" state="frozen"/>
      <selection pane="topRight" activeCell="AD219" sqref="AD219"/>
      <selection pane="bottomLeft" activeCell="AD219" sqref="AD219"/>
      <selection pane="bottomRight" activeCell="A80" sqref="A80:XFD80"/>
    </sheetView>
  </sheetViews>
  <sheetFormatPr defaultColWidth="10.73046875" defaultRowHeight="13.15" outlineLevelRow="2"/>
  <cols>
    <col min="1" max="1" width="2.73046875" style="13" customWidth="1"/>
    <col min="2" max="2" width="81.3984375" style="1" customWidth="1"/>
    <col min="3" max="3" width="11.3984375" style="1" bestFit="1" customWidth="1"/>
    <col min="4" max="7" width="0" style="1" hidden="1" customWidth="1"/>
    <col min="8" max="8" width="13.86328125" style="1" customWidth="1"/>
    <col min="9" max="13" width="12.3984375" style="1" bestFit="1" customWidth="1"/>
    <col min="14" max="14" width="14.86328125" style="1" bestFit="1" customWidth="1"/>
    <col min="15" max="15" width="14.3984375" style="1" customWidth="1"/>
    <col min="16" max="16" width="12.3984375" style="1" bestFit="1" customWidth="1"/>
    <col min="17" max="17" width="14.86328125" style="1" bestFit="1" customWidth="1"/>
    <col min="18" max="19" width="12.3984375" style="1" bestFit="1" customWidth="1"/>
    <col min="20" max="21" width="13.1328125" style="1" bestFit="1" customWidth="1"/>
    <col min="22" max="23" width="13" style="1" bestFit="1" customWidth="1"/>
    <col min="24" max="27" width="13.1328125" style="1" bestFit="1" customWidth="1"/>
    <col min="28" max="33" width="13.59765625" style="1" bestFit="1" customWidth="1"/>
    <col min="34" max="34" width="14" style="1" customWidth="1"/>
    <col min="35" max="35" width="18.86328125" style="1" bestFit="1" customWidth="1"/>
    <col min="36" max="36" width="14" style="1" bestFit="1" customWidth="1"/>
    <col min="37" max="37" width="14.3984375" style="1" bestFit="1" customWidth="1"/>
    <col min="38" max="38" width="14" style="1" bestFit="1" customWidth="1"/>
    <col min="39" max="40" width="14.3984375" style="1" bestFit="1" customWidth="1"/>
    <col min="41" max="44" width="13.86328125" style="1" customWidth="1"/>
    <col min="45" max="45" width="14.59765625" style="1" customWidth="1"/>
    <col min="46" max="46" width="11" style="1" customWidth="1"/>
    <col min="47" max="47" width="10.73046875" style="1" bestFit="1" customWidth="1"/>
    <col min="48" max="50" width="11.265625" style="1" bestFit="1" customWidth="1"/>
    <col min="51" max="51" width="12" style="1" bestFit="1" customWidth="1"/>
    <col min="52" max="52" width="10.59765625" style="1" customWidth="1"/>
    <col min="53" max="53" width="12" style="1" bestFit="1" customWidth="1"/>
    <col min="54" max="54" width="12" style="1" customWidth="1"/>
    <col min="55" max="55" width="14.1328125" style="1" bestFit="1" customWidth="1"/>
    <col min="56" max="16384" width="10.73046875" style="1"/>
  </cols>
  <sheetData>
    <row r="6" spans="1:54">
      <c r="AK6" s="13"/>
      <c r="AL6" s="13"/>
      <c r="AM6" s="13"/>
      <c r="AN6" s="13"/>
      <c r="AS6" s="13"/>
      <c r="AX6" s="13"/>
      <c r="AY6" s="13"/>
      <c r="AZ6" s="13"/>
    </row>
    <row r="7" spans="1:54" s="5" customFormat="1" ht="13.5">
      <c r="A7" s="102"/>
      <c r="B7" s="4" t="s">
        <v>334</v>
      </c>
      <c r="AK7" s="102"/>
      <c r="AL7" s="102"/>
      <c r="AM7" s="102"/>
      <c r="AN7" s="102"/>
      <c r="AS7" s="102"/>
      <c r="AX7" s="102"/>
      <c r="AY7" s="102"/>
      <c r="AZ7" s="102"/>
    </row>
    <row r="8" spans="1:54" ht="13.5">
      <c r="B8" s="6" t="s">
        <v>10</v>
      </c>
      <c r="C8" s="6" t="s">
        <v>335</v>
      </c>
      <c r="D8" s="6" t="s">
        <v>336</v>
      </c>
      <c r="E8" s="107" t="s">
        <v>337</v>
      </c>
      <c r="F8" s="107" t="s">
        <v>338</v>
      </c>
      <c r="G8" s="107" t="s">
        <v>339</v>
      </c>
      <c r="H8" s="6" t="s">
        <v>340</v>
      </c>
      <c r="I8" s="6" t="s">
        <v>341</v>
      </c>
      <c r="J8" s="6" t="s">
        <v>342</v>
      </c>
      <c r="K8" s="6" t="s">
        <v>343</v>
      </c>
      <c r="L8" s="6" t="s">
        <v>344</v>
      </c>
      <c r="M8" s="6" t="s">
        <v>345</v>
      </c>
      <c r="N8" s="6" t="s">
        <v>346</v>
      </c>
      <c r="O8" s="6" t="s">
        <v>347</v>
      </c>
      <c r="P8" s="6" t="s">
        <v>348</v>
      </c>
      <c r="Q8" s="6" t="s">
        <v>349</v>
      </c>
      <c r="R8" s="6" t="s">
        <v>350</v>
      </c>
      <c r="S8" s="6" t="s">
        <v>351</v>
      </c>
      <c r="T8" s="6" t="s">
        <v>352</v>
      </c>
      <c r="U8" s="6" t="s">
        <v>353</v>
      </c>
      <c r="V8" s="6" t="s">
        <v>354</v>
      </c>
      <c r="W8" s="6" t="s">
        <v>355</v>
      </c>
      <c r="X8" s="6" t="s">
        <v>356</v>
      </c>
      <c r="Y8" s="6" t="s">
        <v>357</v>
      </c>
      <c r="Z8" s="6" t="s">
        <v>358</v>
      </c>
      <c r="AA8" s="6" t="s">
        <v>359</v>
      </c>
      <c r="AB8" s="6" t="s">
        <v>360</v>
      </c>
      <c r="AC8" s="6" t="s">
        <v>361</v>
      </c>
      <c r="AD8" s="6" t="s">
        <v>362</v>
      </c>
      <c r="AE8" s="6" t="s">
        <v>363</v>
      </c>
      <c r="AF8" s="6" t="s">
        <v>364</v>
      </c>
      <c r="AG8" s="6" t="s">
        <v>365</v>
      </c>
      <c r="AH8" s="6" t="s">
        <v>366</v>
      </c>
      <c r="AI8" s="6" t="s">
        <v>367</v>
      </c>
      <c r="AJ8" s="6" t="s">
        <v>368</v>
      </c>
      <c r="AK8" s="6" t="s">
        <v>369</v>
      </c>
      <c r="AL8" s="6" t="s">
        <v>370</v>
      </c>
      <c r="AM8" s="6" t="s">
        <v>371</v>
      </c>
      <c r="AN8" s="6" t="s">
        <v>372</v>
      </c>
      <c r="AO8" s="6" t="s">
        <v>373</v>
      </c>
      <c r="AP8" s="6" t="s">
        <v>374</v>
      </c>
      <c r="AQ8" s="6" t="s">
        <v>375</v>
      </c>
      <c r="AR8" s="6" t="s">
        <v>629</v>
      </c>
      <c r="AS8" s="103"/>
      <c r="AT8" s="6">
        <v>2017</v>
      </c>
      <c r="AU8" s="6">
        <v>2018</v>
      </c>
      <c r="AV8" s="6">
        <v>2019</v>
      </c>
      <c r="AW8" s="6">
        <v>2020</v>
      </c>
      <c r="AX8" s="6">
        <v>2021</v>
      </c>
      <c r="AY8" s="6">
        <v>2022</v>
      </c>
      <c r="AZ8" s="6">
        <v>2023</v>
      </c>
      <c r="BA8" s="6">
        <v>2024</v>
      </c>
      <c r="BB8" s="7">
        <v>2025</v>
      </c>
    </row>
    <row r="9" spans="1:54" s="13" customFormat="1" ht="13.5" outlineLevel="1">
      <c r="B9" s="10" t="s">
        <v>376</v>
      </c>
      <c r="C9" s="10" t="s">
        <v>53</v>
      </c>
      <c r="D9" s="11">
        <f>Português!D9</f>
        <v>0</v>
      </c>
      <c r="E9" s="11">
        <f>Português!E9</f>
        <v>0</v>
      </c>
      <c r="F9" s="11">
        <f>Português!F9</f>
        <v>0</v>
      </c>
      <c r="G9" s="11">
        <f>Português!G9</f>
        <v>0</v>
      </c>
      <c r="H9" s="11">
        <f t="shared" ref="H9:AN9" si="0">SUM(H10,H12:H14)</f>
        <v>184</v>
      </c>
      <c r="I9" s="11">
        <f t="shared" si="0"/>
        <v>188</v>
      </c>
      <c r="J9" s="11">
        <f t="shared" si="0"/>
        <v>192</v>
      </c>
      <c r="K9" s="11">
        <f t="shared" si="0"/>
        <v>197</v>
      </c>
      <c r="L9" s="11">
        <f t="shared" si="0"/>
        <v>201</v>
      </c>
      <c r="M9" s="11">
        <f t="shared" si="0"/>
        <v>202</v>
      </c>
      <c r="N9" s="11">
        <f t="shared" si="0"/>
        <v>204</v>
      </c>
      <c r="O9" s="11">
        <f t="shared" si="0"/>
        <v>204</v>
      </c>
      <c r="P9" s="11">
        <f t="shared" si="0"/>
        <v>205</v>
      </c>
      <c r="Q9" s="11">
        <f t="shared" si="0"/>
        <v>216</v>
      </c>
      <c r="R9" s="12">
        <f t="shared" si="0"/>
        <v>220</v>
      </c>
      <c r="S9" s="12">
        <f t="shared" si="0"/>
        <v>445</v>
      </c>
      <c r="T9" s="12">
        <f t="shared" si="0"/>
        <v>452</v>
      </c>
      <c r="U9" s="12">
        <f t="shared" si="0"/>
        <v>438</v>
      </c>
      <c r="V9" s="12">
        <f t="shared" si="0"/>
        <v>446</v>
      </c>
      <c r="W9" s="12">
        <f t="shared" si="0"/>
        <v>464</v>
      </c>
      <c r="X9" s="12">
        <f t="shared" si="0"/>
        <v>457</v>
      </c>
      <c r="Y9" s="12">
        <f t="shared" si="0"/>
        <v>465</v>
      </c>
      <c r="Z9" s="12">
        <f t="shared" si="0"/>
        <v>475</v>
      </c>
      <c r="AA9" s="12">
        <f t="shared" si="0"/>
        <v>481</v>
      </c>
      <c r="AB9" s="12">
        <f t="shared" si="0"/>
        <v>749</v>
      </c>
      <c r="AC9" s="12">
        <f t="shared" si="0"/>
        <v>756</v>
      </c>
      <c r="AD9" s="12">
        <f t="shared" si="0"/>
        <v>760</v>
      </c>
      <c r="AE9" s="12">
        <f t="shared" si="0"/>
        <v>761</v>
      </c>
      <c r="AF9" s="12">
        <f t="shared" si="0"/>
        <v>766</v>
      </c>
      <c r="AG9" s="12">
        <f t="shared" si="0"/>
        <v>764</v>
      </c>
      <c r="AH9" s="12">
        <f t="shared" si="0"/>
        <v>762</v>
      </c>
      <c r="AI9" s="12">
        <f t="shared" si="0"/>
        <v>796</v>
      </c>
      <c r="AJ9" s="12">
        <f t="shared" si="0"/>
        <v>801</v>
      </c>
      <c r="AK9" s="12">
        <f t="shared" si="0"/>
        <v>803</v>
      </c>
      <c r="AL9" s="12">
        <f t="shared" si="0"/>
        <v>794</v>
      </c>
      <c r="AM9" s="12">
        <f t="shared" si="0"/>
        <v>807</v>
      </c>
      <c r="AN9" s="12">
        <f t="shared" si="0"/>
        <v>815</v>
      </c>
      <c r="AO9" s="12">
        <f>SUM(AO10,AO12:AO14)</f>
        <v>831</v>
      </c>
      <c r="AP9" s="12">
        <f>SUM(AP10,AP12:AP14)</f>
        <v>832</v>
      </c>
      <c r="AQ9" s="12">
        <f>SUM(AQ10,AQ12:AQ14)</f>
        <v>832</v>
      </c>
      <c r="AR9" s="12">
        <f>SUM(AR10,AR12:AR14)</f>
        <v>839</v>
      </c>
      <c r="AS9" s="19"/>
    </row>
    <row r="10" spans="1:54" s="13" customFormat="1" outlineLevel="1">
      <c r="B10" s="14" t="s">
        <v>377</v>
      </c>
      <c r="C10" s="1" t="s">
        <v>53</v>
      </c>
      <c r="D10" s="15">
        <f>Português!D10</f>
        <v>0</v>
      </c>
      <c r="E10" s="15">
        <f>Português!E10</f>
        <v>0</v>
      </c>
      <c r="F10" s="15">
        <f>Português!F10</f>
        <v>0</v>
      </c>
      <c r="G10" s="15">
        <f>Português!G10</f>
        <v>0</v>
      </c>
      <c r="H10" s="15">
        <f>Português!H10</f>
        <v>21</v>
      </c>
      <c r="I10" s="16">
        <f>Português!I10</f>
        <v>22</v>
      </c>
      <c r="J10" s="16">
        <f>Português!J10</f>
        <v>24</v>
      </c>
      <c r="K10" s="15">
        <f>Português!K10</f>
        <v>25</v>
      </c>
      <c r="L10" s="15">
        <f>Português!L10</f>
        <v>25</v>
      </c>
      <c r="M10" s="15">
        <f>Português!M10</f>
        <v>25</v>
      </c>
      <c r="N10" s="15">
        <f>Português!N10</f>
        <v>26</v>
      </c>
      <c r="O10" s="15">
        <f>Português!O10</f>
        <v>26</v>
      </c>
      <c r="P10" s="15">
        <f>Português!P10</f>
        <v>26</v>
      </c>
      <c r="Q10" s="15">
        <f>Português!Q10</f>
        <v>27</v>
      </c>
      <c r="R10" s="15">
        <f>Português!R10</f>
        <v>28</v>
      </c>
      <c r="S10" s="15">
        <f>Português!S10</f>
        <v>39</v>
      </c>
      <c r="T10" s="15">
        <f>Português!T10</f>
        <v>39</v>
      </c>
      <c r="U10" s="15">
        <f>Português!U10</f>
        <v>39</v>
      </c>
      <c r="V10" s="15">
        <f>Português!V10</f>
        <v>41</v>
      </c>
      <c r="W10" s="15">
        <f>Português!W10</f>
        <v>45</v>
      </c>
      <c r="X10" s="15">
        <f>Português!X10</f>
        <v>45</v>
      </c>
      <c r="Y10" s="15">
        <f>Português!Y10</f>
        <v>47</v>
      </c>
      <c r="Z10" s="15">
        <f>Português!Z10</f>
        <v>47</v>
      </c>
      <c r="AA10" s="15">
        <f>Português!AA10</f>
        <v>49</v>
      </c>
      <c r="AB10" s="15">
        <f>Português!AB10</f>
        <v>85</v>
      </c>
      <c r="AC10" s="15">
        <f>Português!AC10</f>
        <v>87</v>
      </c>
      <c r="AD10" s="15">
        <f>Português!AD10</f>
        <v>87</v>
      </c>
      <c r="AE10" s="17">
        <f>Português!AE10</f>
        <v>87</v>
      </c>
      <c r="AF10" s="17">
        <v>84</v>
      </c>
      <c r="AG10" s="17">
        <v>85</v>
      </c>
      <c r="AH10" s="17">
        <f>Português!AH10</f>
        <v>85</v>
      </c>
      <c r="AI10" s="17">
        <f>Português!AI10</f>
        <v>87</v>
      </c>
      <c r="AJ10" s="17">
        <f>Português!AJ10</f>
        <v>86</v>
      </c>
      <c r="AK10" s="17">
        <f>Português!AK10</f>
        <v>85</v>
      </c>
      <c r="AL10" s="17">
        <f>Português!AL10</f>
        <v>85</v>
      </c>
      <c r="AM10" s="17">
        <f>Português!AM10</f>
        <v>86</v>
      </c>
      <c r="AN10" s="17">
        <f>Português!AN10</f>
        <v>87</v>
      </c>
      <c r="AO10" s="17">
        <f>Português!AO10</f>
        <v>85</v>
      </c>
      <c r="AP10" s="17">
        <f>Português!AP10</f>
        <v>86</v>
      </c>
      <c r="AQ10" s="17">
        <f>Português!AQ10</f>
        <v>85</v>
      </c>
      <c r="AR10" s="17">
        <f>Português!AR10</f>
        <v>84</v>
      </c>
      <c r="AS10" s="19"/>
    </row>
    <row r="11" spans="1:54" s="13" customFormat="1" outlineLevel="1">
      <c r="B11" s="18" t="s">
        <v>378</v>
      </c>
      <c r="C11" s="1" t="s">
        <v>53</v>
      </c>
      <c r="D11" s="15">
        <f>Português!D11</f>
        <v>0</v>
      </c>
      <c r="E11" s="15">
        <f>Português!E11</f>
        <v>0</v>
      </c>
      <c r="F11" s="15">
        <f>Português!F11</f>
        <v>0</v>
      </c>
      <c r="G11" s="15">
        <f>Português!G11</f>
        <v>0</v>
      </c>
      <c r="H11" s="15">
        <f>Português!H11</f>
        <v>1276</v>
      </c>
      <c r="I11" s="15">
        <f>Português!I11</f>
        <v>1346</v>
      </c>
      <c r="J11" s="15">
        <f>Português!J11</f>
        <v>1432</v>
      </c>
      <c r="K11" s="15">
        <f>Português!K11</f>
        <v>1485</v>
      </c>
      <c r="L11" s="15">
        <f>Português!L11</f>
        <v>1671</v>
      </c>
      <c r="M11" s="15">
        <f>Português!M11</f>
        <v>1698</v>
      </c>
      <c r="N11" s="15">
        <f>Português!N11</f>
        <v>1789</v>
      </c>
      <c r="O11" s="15">
        <f>Português!O11</f>
        <v>1836</v>
      </c>
      <c r="P11" s="15">
        <f>Português!P11</f>
        <v>1823</v>
      </c>
      <c r="Q11" s="15">
        <f>Português!Q11</f>
        <v>1873</v>
      </c>
      <c r="R11" s="15">
        <f>Português!R11</f>
        <v>1842</v>
      </c>
      <c r="S11" s="15">
        <f>Português!S11</f>
        <v>2635</v>
      </c>
      <c r="T11" s="15">
        <f>Português!T11</f>
        <v>2754</v>
      </c>
      <c r="U11" s="15">
        <f>Português!U11</f>
        <v>3063</v>
      </c>
      <c r="V11" s="15">
        <f>Português!V11</f>
        <v>2939</v>
      </c>
      <c r="W11" s="15">
        <f>Português!W11</f>
        <v>3240</v>
      </c>
      <c r="X11" s="15">
        <f>Português!X11</f>
        <v>3876</v>
      </c>
      <c r="Y11" s="15">
        <f>Português!Y11</f>
        <v>3570</v>
      </c>
      <c r="Z11" s="15">
        <f>Português!Z11</f>
        <v>2988</v>
      </c>
      <c r="AA11" s="15">
        <f>Português!AA11</f>
        <v>3028</v>
      </c>
      <c r="AB11" s="15">
        <f>Português!AB11</f>
        <v>5933</v>
      </c>
      <c r="AC11" s="15">
        <f>Português!AC11</f>
        <v>6116</v>
      </c>
      <c r="AD11" s="15">
        <f>Português!AD11</f>
        <v>5764</v>
      </c>
      <c r="AE11" s="17">
        <f>Português!AE11</f>
        <v>5338</v>
      </c>
      <c r="AF11" s="17">
        <v>5533</v>
      </c>
      <c r="AG11" s="17">
        <v>5729</v>
      </c>
      <c r="AH11" s="17">
        <f>Português!AH11</f>
        <v>5704</v>
      </c>
      <c r="AI11" s="17">
        <f>Português!AI11</f>
        <v>5587</v>
      </c>
      <c r="AJ11" s="17">
        <f>Português!AJ11</f>
        <v>5740</v>
      </c>
      <c r="AK11" s="17">
        <f>Português!AK11</f>
        <v>5954</v>
      </c>
      <c r="AL11" s="17">
        <f>Português!AL11</f>
        <v>5823</v>
      </c>
      <c r="AM11" s="17">
        <f>Português!AM11</f>
        <v>5894</v>
      </c>
      <c r="AN11" s="17">
        <f>Português!AN11</f>
        <v>6139</v>
      </c>
      <c r="AO11" s="17">
        <f>Português!AO11</f>
        <v>6286</v>
      </c>
      <c r="AP11" s="17">
        <f>Português!AP11</f>
        <v>6158</v>
      </c>
      <c r="AQ11" s="17">
        <f>Português!AQ11</f>
        <v>5983</v>
      </c>
      <c r="AR11" s="17">
        <f>Português!AR11</f>
        <v>6217</v>
      </c>
      <c r="AS11" s="19"/>
    </row>
    <row r="12" spans="1:54" s="13" customFormat="1" outlineLevel="1">
      <c r="B12" s="14" t="s">
        <v>379</v>
      </c>
      <c r="C12" s="1" t="s">
        <v>53</v>
      </c>
      <c r="D12" s="15">
        <f>Português!D12</f>
        <v>0</v>
      </c>
      <c r="E12" s="15">
        <f>Português!E12</f>
        <v>0</v>
      </c>
      <c r="F12" s="15">
        <f>Português!F12</f>
        <v>0</v>
      </c>
      <c r="G12" s="15">
        <f>Português!G12</f>
        <v>0</v>
      </c>
      <c r="H12" s="15">
        <f>Português!H12</f>
        <v>18</v>
      </c>
      <c r="I12" s="16">
        <f>Português!I12</f>
        <v>19</v>
      </c>
      <c r="J12" s="16">
        <f>Português!J12</f>
        <v>19</v>
      </c>
      <c r="K12" s="15">
        <f>Português!K12</f>
        <v>18</v>
      </c>
      <c r="L12" s="15">
        <f>Português!L12</f>
        <v>19</v>
      </c>
      <c r="M12" s="15">
        <f>Português!M12</f>
        <v>19</v>
      </c>
      <c r="N12" s="15">
        <f>Português!N12</f>
        <v>19</v>
      </c>
      <c r="O12" s="15">
        <f>Português!O12</f>
        <v>19</v>
      </c>
      <c r="P12" s="15">
        <f>Português!P12</f>
        <v>20</v>
      </c>
      <c r="Q12" s="15">
        <f>Português!Q12</f>
        <v>19</v>
      </c>
      <c r="R12" s="15">
        <f>Português!R12</f>
        <v>19</v>
      </c>
      <c r="S12" s="15">
        <f>Português!S12</f>
        <v>42</v>
      </c>
      <c r="T12" s="15">
        <f>Português!T12</f>
        <v>42</v>
      </c>
      <c r="U12" s="15">
        <f>Português!U12</f>
        <v>41</v>
      </c>
      <c r="V12" s="15">
        <f>Português!V12</f>
        <v>42</v>
      </c>
      <c r="W12" s="15">
        <f>Português!W12</f>
        <v>46</v>
      </c>
      <c r="X12" s="15">
        <f>Português!X12</f>
        <v>45</v>
      </c>
      <c r="Y12" s="15">
        <f>Português!Y12</f>
        <v>47</v>
      </c>
      <c r="Z12" s="15">
        <f>Português!Z12</f>
        <v>49</v>
      </c>
      <c r="AA12" s="15">
        <f>Português!AA12</f>
        <v>49</v>
      </c>
      <c r="AB12" s="15">
        <f>Português!AB12</f>
        <v>77</v>
      </c>
      <c r="AC12" s="15">
        <f>Português!AC12</f>
        <v>76</v>
      </c>
      <c r="AD12" s="15">
        <f>Português!AD12</f>
        <v>76</v>
      </c>
      <c r="AE12" s="17">
        <f>Português!AE12</f>
        <v>75</v>
      </c>
      <c r="AF12" s="17">
        <v>78</v>
      </c>
      <c r="AG12" s="17">
        <v>77</v>
      </c>
      <c r="AH12" s="17">
        <f>Português!AH12</f>
        <v>77</v>
      </c>
      <c r="AI12" s="17">
        <f>Português!AI12</f>
        <v>77</v>
      </c>
      <c r="AJ12" s="17">
        <f>Português!AJ12</f>
        <v>76</v>
      </c>
      <c r="AK12" s="17">
        <f>Português!AK12</f>
        <v>77</v>
      </c>
      <c r="AL12" s="17">
        <f>Português!AL12</f>
        <v>77</v>
      </c>
      <c r="AM12" s="17">
        <f>Português!AM12</f>
        <v>77</v>
      </c>
      <c r="AN12" s="17">
        <f>Português!AN12</f>
        <v>78</v>
      </c>
      <c r="AO12" s="17">
        <f>Português!AO12</f>
        <v>80</v>
      </c>
      <c r="AP12" s="17">
        <f>Português!AP12</f>
        <v>78</v>
      </c>
      <c r="AQ12" s="17">
        <f>Português!AQ12</f>
        <v>74</v>
      </c>
      <c r="AR12" s="17">
        <f>Português!AR12</f>
        <v>75</v>
      </c>
      <c r="AS12" s="19"/>
    </row>
    <row r="13" spans="1:54" s="13" customFormat="1" outlineLevel="1">
      <c r="B13" s="14" t="s">
        <v>380</v>
      </c>
      <c r="C13" s="1" t="s">
        <v>53</v>
      </c>
      <c r="D13" s="15">
        <f>Português!D13</f>
        <v>0</v>
      </c>
      <c r="E13" s="15">
        <f>Português!E13</f>
        <v>0</v>
      </c>
      <c r="F13" s="15">
        <f>Português!F13</f>
        <v>0</v>
      </c>
      <c r="G13" s="15">
        <f>Português!G13</f>
        <v>0</v>
      </c>
      <c r="H13" s="15">
        <f>Português!H13</f>
        <v>71</v>
      </c>
      <c r="I13" s="16">
        <f>Português!I13</f>
        <v>73</v>
      </c>
      <c r="J13" s="16">
        <f>Português!J13</f>
        <v>75</v>
      </c>
      <c r="K13" s="15">
        <f>Português!K13</f>
        <v>74</v>
      </c>
      <c r="L13" s="15">
        <f>Português!L13</f>
        <v>74</v>
      </c>
      <c r="M13" s="15">
        <f>Português!M13</f>
        <v>75</v>
      </c>
      <c r="N13" s="15">
        <f>Português!N13</f>
        <v>75</v>
      </c>
      <c r="O13" s="15">
        <f>Português!O13</f>
        <v>75</v>
      </c>
      <c r="P13" s="15">
        <f>Português!P13</f>
        <v>75</v>
      </c>
      <c r="Q13" s="15">
        <f>Português!Q13</f>
        <v>82</v>
      </c>
      <c r="R13" s="15">
        <f>Português!R13</f>
        <v>83</v>
      </c>
      <c r="S13" s="15">
        <f>Português!S13</f>
        <v>185</v>
      </c>
      <c r="T13" s="15">
        <f>Português!T13</f>
        <v>194</v>
      </c>
      <c r="U13" s="15">
        <f>Português!U13</f>
        <v>184</v>
      </c>
      <c r="V13" s="15">
        <f>Português!V13</f>
        <v>188</v>
      </c>
      <c r="W13" s="15">
        <f>Português!W13</f>
        <v>198</v>
      </c>
      <c r="X13" s="15">
        <f>Português!X13</f>
        <v>194</v>
      </c>
      <c r="Y13" s="15">
        <f>Português!Y13</f>
        <v>199</v>
      </c>
      <c r="Z13" s="15">
        <f>Português!Z13</f>
        <v>203</v>
      </c>
      <c r="AA13" s="15">
        <f>Português!AA13</f>
        <v>205</v>
      </c>
      <c r="AB13" s="15">
        <f>Português!AB13</f>
        <v>318</v>
      </c>
      <c r="AC13" s="15">
        <f>Português!AC13</f>
        <v>323</v>
      </c>
      <c r="AD13" s="15">
        <f>Português!AD13</f>
        <v>329</v>
      </c>
      <c r="AE13" s="17">
        <f>Português!AE13</f>
        <v>328</v>
      </c>
      <c r="AF13" s="17">
        <v>335</v>
      </c>
      <c r="AG13" s="17">
        <v>331</v>
      </c>
      <c r="AH13" s="17">
        <f>Português!AH13</f>
        <v>331</v>
      </c>
      <c r="AI13" s="17">
        <f>Português!AI13</f>
        <v>339</v>
      </c>
      <c r="AJ13" s="17">
        <f>Português!AJ13</f>
        <v>345</v>
      </c>
      <c r="AK13" s="17">
        <f>Português!AK13</f>
        <v>347</v>
      </c>
      <c r="AL13" s="17">
        <f>Português!AL13</f>
        <v>341</v>
      </c>
      <c r="AM13" s="17">
        <f>Português!AM13</f>
        <v>352</v>
      </c>
      <c r="AN13" s="17">
        <f>Português!AN13</f>
        <v>351</v>
      </c>
      <c r="AO13" s="17">
        <f>Português!AO13</f>
        <v>365</v>
      </c>
      <c r="AP13" s="17">
        <f>Português!AP13</f>
        <v>363</v>
      </c>
      <c r="AQ13" s="17">
        <f>Português!AQ13</f>
        <v>364</v>
      </c>
      <c r="AR13" s="17">
        <f>Português!AR13</f>
        <v>367</v>
      </c>
      <c r="AS13" s="19"/>
    </row>
    <row r="14" spans="1:54" s="13" customFormat="1" outlineLevel="1">
      <c r="B14" s="14" t="s">
        <v>381</v>
      </c>
      <c r="C14" s="1" t="s">
        <v>53</v>
      </c>
      <c r="D14" s="15">
        <f>Português!D14</f>
        <v>0</v>
      </c>
      <c r="E14" s="15">
        <f>Português!E14</f>
        <v>0</v>
      </c>
      <c r="F14" s="15">
        <f>Português!F14</f>
        <v>0</v>
      </c>
      <c r="G14" s="15">
        <f>Português!G14</f>
        <v>0</v>
      </c>
      <c r="H14" s="15">
        <f>Português!H14</f>
        <v>74</v>
      </c>
      <c r="I14" s="16">
        <f>Português!I14</f>
        <v>74</v>
      </c>
      <c r="J14" s="16">
        <f>Português!J14</f>
        <v>74</v>
      </c>
      <c r="K14" s="15">
        <f>Português!K14</f>
        <v>80</v>
      </c>
      <c r="L14" s="15">
        <f>Português!L14</f>
        <v>83</v>
      </c>
      <c r="M14" s="15">
        <f>Português!M14</f>
        <v>83</v>
      </c>
      <c r="N14" s="15">
        <f>Português!N14</f>
        <v>84</v>
      </c>
      <c r="O14" s="15">
        <f>Português!O14</f>
        <v>84</v>
      </c>
      <c r="P14" s="15">
        <f>Português!P14</f>
        <v>84</v>
      </c>
      <c r="Q14" s="15">
        <f>Português!Q14</f>
        <v>88</v>
      </c>
      <c r="R14" s="15">
        <f>Português!R14</f>
        <v>90</v>
      </c>
      <c r="S14" s="15">
        <f>Português!S14</f>
        <v>179</v>
      </c>
      <c r="T14" s="15">
        <f>Português!T14</f>
        <v>177</v>
      </c>
      <c r="U14" s="15">
        <f>Português!U14</f>
        <v>174</v>
      </c>
      <c r="V14" s="15">
        <f>Português!V14</f>
        <v>175</v>
      </c>
      <c r="W14" s="15">
        <f>Português!W14</f>
        <v>175</v>
      </c>
      <c r="X14" s="15">
        <f>Português!X14</f>
        <v>173</v>
      </c>
      <c r="Y14" s="15">
        <f>Português!Y14</f>
        <v>172</v>
      </c>
      <c r="Z14" s="15">
        <f>Português!Z14</f>
        <v>176</v>
      </c>
      <c r="AA14" s="15">
        <f>Português!AA14</f>
        <v>178</v>
      </c>
      <c r="AB14" s="15">
        <f>Português!AB14</f>
        <v>269</v>
      </c>
      <c r="AC14" s="15">
        <f>Português!AC14</f>
        <v>270</v>
      </c>
      <c r="AD14" s="15">
        <f>Português!AD14</f>
        <v>268</v>
      </c>
      <c r="AE14" s="17">
        <f>Português!AE14</f>
        <v>271</v>
      </c>
      <c r="AF14" s="17">
        <v>269</v>
      </c>
      <c r="AG14" s="17">
        <v>271</v>
      </c>
      <c r="AH14" s="17">
        <f>Português!AH14</f>
        <v>269</v>
      </c>
      <c r="AI14" s="17">
        <f>Português!AI14</f>
        <v>293</v>
      </c>
      <c r="AJ14" s="17">
        <f>Português!AJ14</f>
        <v>294</v>
      </c>
      <c r="AK14" s="17">
        <f>Português!AK14</f>
        <v>294</v>
      </c>
      <c r="AL14" s="17">
        <f>Português!AL14</f>
        <v>291</v>
      </c>
      <c r="AM14" s="17">
        <f>Português!AM14</f>
        <v>292</v>
      </c>
      <c r="AN14" s="17">
        <f>Português!AN14</f>
        <v>299</v>
      </c>
      <c r="AO14" s="17">
        <f>Português!AO14</f>
        <v>301</v>
      </c>
      <c r="AP14" s="17">
        <f>Português!AP14</f>
        <v>305</v>
      </c>
      <c r="AQ14" s="17">
        <f>Português!AQ14</f>
        <v>309</v>
      </c>
      <c r="AR14" s="17">
        <f>Português!AR14</f>
        <v>313</v>
      </c>
      <c r="AS14" s="19"/>
    </row>
    <row r="15" spans="1:54" s="13" customFormat="1" ht="13.5" outlineLevel="1">
      <c r="B15" s="10" t="s">
        <v>382</v>
      </c>
      <c r="C15" s="10" t="s">
        <v>60</v>
      </c>
      <c r="D15" s="20">
        <f>Português!D15</f>
        <v>0</v>
      </c>
      <c r="E15" s="20">
        <f>Português!E15</f>
        <v>0</v>
      </c>
      <c r="F15" s="20">
        <f>Português!F15</f>
        <v>0</v>
      </c>
      <c r="G15" s="20">
        <f>Português!G15</f>
        <v>0</v>
      </c>
      <c r="H15" s="25">
        <f>Português!H15</f>
        <v>141.53426826110103</v>
      </c>
      <c r="I15" s="25">
        <f>Português!I15</f>
        <v>144.80139232084295</v>
      </c>
      <c r="J15" s="25">
        <f>Português!J15</f>
        <v>150.92633867614489</v>
      </c>
      <c r="K15" s="25">
        <f>Português!K15</f>
        <v>156.3798879821293</v>
      </c>
      <c r="L15" s="25">
        <f>Português!L15</f>
        <v>161.25401270785792</v>
      </c>
      <c r="M15" s="25">
        <f>Português!M15</f>
        <v>162.16</v>
      </c>
      <c r="N15" s="25">
        <f>Português!N15</f>
        <v>168.69477463852368</v>
      </c>
      <c r="O15" s="25">
        <f>Português!O15</f>
        <v>173.15162015709598</v>
      </c>
      <c r="P15" s="25">
        <f>Português!P15</f>
        <v>176.27</v>
      </c>
      <c r="Q15" s="25">
        <f>Português!Q15</f>
        <v>176.51612705805979</v>
      </c>
      <c r="R15" s="25">
        <f>Português!R15</f>
        <v>184.4</v>
      </c>
      <c r="S15" s="104">
        <f>Português!S15</f>
        <v>191.25</v>
      </c>
      <c r="T15" s="104">
        <f>Português!T15</f>
        <v>191.62</v>
      </c>
      <c r="U15" s="104">
        <f>Português!U15</f>
        <v>192.98</v>
      </c>
      <c r="V15" s="104">
        <f>Português!V15</f>
        <v>198.65</v>
      </c>
      <c r="W15" s="104">
        <f>Português!W15</f>
        <v>202.36654510414161</v>
      </c>
      <c r="X15" s="104">
        <f>Português!X15</f>
        <v>204.7651528351698</v>
      </c>
      <c r="Y15" s="104">
        <f>Português!Y15</f>
        <v>203.7939990521549</v>
      </c>
      <c r="Z15" s="104">
        <f>Português!Z15</f>
        <v>201.27528491947322</v>
      </c>
      <c r="AA15" s="104">
        <f>Português!AA15</f>
        <v>200.01417281488301</v>
      </c>
      <c r="AB15" s="104">
        <f>Português!AB15</f>
        <v>217.91392813785549</v>
      </c>
      <c r="AC15" s="104">
        <f>Português!AC15</f>
        <v>218.39002782641757</v>
      </c>
      <c r="AD15" s="104">
        <f>Português!AD15</f>
        <v>225.10810600675595</v>
      </c>
      <c r="AE15" s="104">
        <f>Português!AE15</f>
        <v>231.6</v>
      </c>
      <c r="AF15" s="104">
        <v>236.07</v>
      </c>
      <c r="AG15" s="104">
        <v>245.01</v>
      </c>
      <c r="AH15" s="104">
        <f>Português!AH15</f>
        <v>251.75963283290841</v>
      </c>
      <c r="AI15" s="104">
        <f>Português!AI15</f>
        <v>256.5472107891016</v>
      </c>
      <c r="AJ15" s="104">
        <f>Português!AJ15</f>
        <v>260.99</v>
      </c>
      <c r="AK15" s="104">
        <f>Português!AK15</f>
        <v>267.43</v>
      </c>
      <c r="AL15" s="104">
        <f>Português!AL15</f>
        <v>275.97221534630626</v>
      </c>
      <c r="AM15" s="104">
        <f>Português!AM15</f>
        <v>282.76589372166137</v>
      </c>
      <c r="AN15" s="104">
        <f>Português!AN15</f>
        <v>284.37</v>
      </c>
      <c r="AO15" s="104">
        <f>Português!AO15</f>
        <v>289.36</v>
      </c>
      <c r="AP15" s="104">
        <f>Português!AP15</f>
        <v>292.73</v>
      </c>
      <c r="AQ15" s="104">
        <f>Português!AQ15</f>
        <v>301.27999999999997</v>
      </c>
      <c r="AR15" s="104">
        <f>Português!AR15</f>
        <v>305</v>
      </c>
      <c r="AS15" s="19"/>
    </row>
    <row r="16" spans="1:54" s="13" customFormat="1" outlineLevel="1">
      <c r="B16" s="14" t="s">
        <v>61</v>
      </c>
      <c r="C16" s="1" t="s">
        <v>60</v>
      </c>
      <c r="D16" s="22">
        <f>Português!D16</f>
        <v>0</v>
      </c>
      <c r="E16" s="22">
        <f>Português!E16</f>
        <v>0</v>
      </c>
      <c r="F16" s="22">
        <f>Português!F16</f>
        <v>0</v>
      </c>
      <c r="G16" s="22">
        <f>Português!G16</f>
        <v>0</v>
      </c>
      <c r="H16" s="27">
        <f>Português!H16</f>
        <v>207.63863390433954</v>
      </c>
      <c r="I16" s="27">
        <f>Português!I16</f>
        <v>213.4577156999556</v>
      </c>
      <c r="J16" s="27">
        <f>Português!J16</f>
        <v>227.25818222092008</v>
      </c>
      <c r="K16" s="27">
        <f>Português!K16</f>
        <v>235.11375597982766</v>
      </c>
      <c r="L16" s="27">
        <f>Português!L16</f>
        <v>242.21998749574081</v>
      </c>
      <c r="M16" s="27">
        <f>Português!M16</f>
        <v>246.31504083546977</v>
      </c>
      <c r="N16" s="27">
        <f>Português!N16</f>
        <v>254.04427928590204</v>
      </c>
      <c r="O16" s="27">
        <f>Português!O16</f>
        <v>264.6329577851601</v>
      </c>
      <c r="P16" s="27">
        <f>Português!P16</f>
        <v>265.7727374497984</v>
      </c>
      <c r="Q16" s="27">
        <f>Português!Q16</f>
        <v>268.42946959086964</v>
      </c>
      <c r="R16" s="27">
        <f>Português!R16</f>
        <v>269.77</v>
      </c>
      <c r="S16" s="28">
        <f>Português!S16</f>
        <v>285.58999999999997</v>
      </c>
      <c r="T16" s="28">
        <f>Português!T16</f>
        <v>280.93</v>
      </c>
      <c r="U16" s="28">
        <f>Português!U16</f>
        <v>284.60000000000002</v>
      </c>
      <c r="V16" s="28">
        <f>Português!V16</f>
        <v>289.70999999999998</v>
      </c>
      <c r="W16" s="28">
        <f>Português!W16</f>
        <v>304.63426485537377</v>
      </c>
      <c r="X16" s="28">
        <f>Português!X16</f>
        <v>300.24555747600567</v>
      </c>
      <c r="Y16" s="28">
        <f>Português!Y16</f>
        <v>307.08513875625306</v>
      </c>
      <c r="Z16" s="28">
        <f>Português!Z16</f>
        <v>306.08537228549886</v>
      </c>
      <c r="AA16" s="28">
        <f>Português!AA16</f>
        <v>294.76365359520554</v>
      </c>
      <c r="AB16" s="28">
        <f>Português!AB16</f>
        <v>299.04410883319167</v>
      </c>
      <c r="AC16" s="28">
        <f>Português!AC16</f>
        <v>293.90275065204332</v>
      </c>
      <c r="AD16" s="28">
        <f>Português!AD16</f>
        <v>304.55291086090108</v>
      </c>
      <c r="AE16" s="29">
        <f>Português!AE16</f>
        <v>315.13360876173357</v>
      </c>
      <c r="AF16" s="29">
        <v>327.60000000000002</v>
      </c>
      <c r="AG16" s="29">
        <v>335.58</v>
      </c>
      <c r="AH16" s="29">
        <f>Português!AH16</f>
        <v>340.68</v>
      </c>
      <c r="AI16" s="29">
        <f>Português!AI16</f>
        <v>348.64</v>
      </c>
      <c r="AJ16" s="29">
        <f>Português!AJ16</f>
        <v>362.26</v>
      </c>
      <c r="AK16" s="29">
        <f>Português!AK16</f>
        <v>371.43</v>
      </c>
      <c r="AL16" s="29">
        <f>Português!AL16</f>
        <v>380.69</v>
      </c>
      <c r="AM16" s="29">
        <f>Português!AM16</f>
        <v>393.86</v>
      </c>
      <c r="AN16" s="29">
        <f>Português!AN16</f>
        <v>404.0453727415437</v>
      </c>
      <c r="AO16" s="29">
        <f>Português!AO16</f>
        <v>417.79</v>
      </c>
      <c r="AP16" s="29">
        <f>Português!AP16</f>
        <v>433.63</v>
      </c>
      <c r="AQ16" s="29">
        <f>Português!AQ16</f>
        <v>458.17</v>
      </c>
      <c r="AR16" s="29">
        <f>Português!AR16</f>
        <v>478.39</v>
      </c>
      <c r="AS16" s="19"/>
    </row>
    <row r="17" spans="1:45" s="13" customFormat="1" outlineLevel="1">
      <c r="B17" s="14" t="s">
        <v>383</v>
      </c>
      <c r="C17" s="1" t="s">
        <v>60</v>
      </c>
      <c r="D17" s="22">
        <f>Português!D17</f>
        <v>0</v>
      </c>
      <c r="E17" s="22">
        <f>Português!E17</f>
        <v>0</v>
      </c>
      <c r="F17" s="22">
        <f>Português!F17</f>
        <v>0</v>
      </c>
      <c r="G17" s="22">
        <f>Português!G17</f>
        <v>0</v>
      </c>
      <c r="H17" s="27">
        <f>Português!H17</f>
        <v>115.09387705554722</v>
      </c>
      <c r="I17" s="27">
        <f>Português!I17</f>
        <v>117.80955735016715</v>
      </c>
      <c r="J17" s="27">
        <f>Português!J17</f>
        <v>121.57609602474113</v>
      </c>
      <c r="K17" s="27">
        <f>Português!K17</f>
        <v>126.66180153394831</v>
      </c>
      <c r="L17" s="27">
        <f>Português!L17</f>
        <v>131.0194213898429</v>
      </c>
      <c r="M17" s="27">
        <f>Português!M17</f>
        <v>130.77674682121696</v>
      </c>
      <c r="N17" s="27">
        <f>Português!N17</f>
        <v>137.22771022584837</v>
      </c>
      <c r="O17" s="27">
        <f>Português!O17</f>
        <v>139.15433574481489</v>
      </c>
      <c r="P17" s="27">
        <f>Português!P17</f>
        <v>142.55000000000001</v>
      </c>
      <c r="Q17" s="27">
        <f>Português!Q17</f>
        <v>142.4694304925622</v>
      </c>
      <c r="R17" s="27">
        <f>Português!R17</f>
        <v>153.32</v>
      </c>
      <c r="S17" s="28" t="str">
        <f>Português!S17</f>
        <v>    158,70</v>
      </c>
      <c r="T17" s="28">
        <f>Português!T17</f>
        <v>160.33000000000001</v>
      </c>
      <c r="U17" s="28">
        <f>Português!U17</f>
        <v>160.63999999999999</v>
      </c>
      <c r="V17" s="28">
        <f>Português!V17</f>
        <v>165.98</v>
      </c>
      <c r="W17" s="28">
        <f>Português!W17</f>
        <v>165.71295815094527</v>
      </c>
      <c r="X17" s="28">
        <f>Português!X17</f>
        <v>170.43305284446765</v>
      </c>
      <c r="Y17" s="28">
        <f>Português!Y17</f>
        <v>168.51935368117481</v>
      </c>
      <c r="Z17" s="28">
        <f>Português!Z17</f>
        <v>168.89272689208198</v>
      </c>
      <c r="AA17" s="28">
        <f>Português!AA17</f>
        <v>171.22190112205766</v>
      </c>
      <c r="AB17" s="28">
        <f>Português!AB17</f>
        <v>201.35275887652136</v>
      </c>
      <c r="AC17" s="28">
        <f>Português!AC17</f>
        <v>202.68022596594363</v>
      </c>
      <c r="AD17" s="28">
        <f>Português!AD17</f>
        <v>208.34430116681366</v>
      </c>
      <c r="AE17" s="29">
        <f>Português!AE17</f>
        <v>213.98</v>
      </c>
      <c r="AF17" s="29">
        <v>216.91</v>
      </c>
      <c r="AG17" s="29">
        <v>225.8</v>
      </c>
      <c r="AH17" s="29">
        <f>Português!AH17</f>
        <v>232.55</v>
      </c>
      <c r="AI17" s="29">
        <f>Português!AI17</f>
        <v>234.02</v>
      </c>
      <c r="AJ17" s="29">
        <f>Português!AJ17</f>
        <v>239.21</v>
      </c>
      <c r="AK17" s="29">
        <f>Português!AK17</f>
        <v>244.58</v>
      </c>
      <c r="AL17" s="29">
        <f>Português!AL17</f>
        <v>252.71</v>
      </c>
      <c r="AM17" s="29">
        <f>Português!AM17</f>
        <v>258.05</v>
      </c>
      <c r="AN17" s="29">
        <f>Português!AN17</f>
        <v>256.84119738165293</v>
      </c>
      <c r="AO17" s="29">
        <f>Português!AO17</f>
        <v>262.55</v>
      </c>
      <c r="AP17" s="29">
        <f>Português!AP17</f>
        <v>263.62</v>
      </c>
      <c r="AQ17" s="29">
        <f>Português!AQ17</f>
        <v>269.58</v>
      </c>
      <c r="AR17" s="29">
        <f>Português!AR17</f>
        <v>269.69</v>
      </c>
      <c r="AS17" s="19"/>
    </row>
    <row r="18" spans="1:45" s="13" customFormat="1" ht="13.5" outlineLevel="1">
      <c r="B18" s="10" t="s">
        <v>384</v>
      </c>
      <c r="C18" s="10" t="s">
        <v>60</v>
      </c>
      <c r="D18" s="20">
        <f>Português!D18</f>
        <v>0</v>
      </c>
      <c r="E18" s="20">
        <f>Português!E18</f>
        <v>0</v>
      </c>
      <c r="F18" s="20">
        <f>Português!F18</f>
        <v>0</v>
      </c>
      <c r="G18" s="20">
        <f>Português!G18</f>
        <v>0</v>
      </c>
      <c r="H18" s="25">
        <f>Português!H18</f>
        <v>12.123057846809768</v>
      </c>
      <c r="I18" s="25">
        <f>Português!I18</f>
        <v>12.310154604589297</v>
      </c>
      <c r="J18" s="25">
        <f>Português!J18</f>
        <v>12.596219085405524</v>
      </c>
      <c r="K18" s="25">
        <f>Português!K18</f>
        <v>12.706129750125353</v>
      </c>
      <c r="L18" s="25">
        <f>Português!L18</f>
        <v>12.921166972747987</v>
      </c>
      <c r="M18" s="25">
        <f>Português!M18</f>
        <v>12.480143269850446</v>
      </c>
      <c r="N18" s="25">
        <f>Português!N18</f>
        <v>11.932062663962935</v>
      </c>
      <c r="O18" s="25">
        <f>Português!O18</f>
        <v>11.53120962781669</v>
      </c>
      <c r="P18" s="25">
        <f>Português!P18</f>
        <v>12.186858319781116</v>
      </c>
      <c r="Q18" s="25">
        <f>Português!Q18</f>
        <v>12.152778486548339</v>
      </c>
      <c r="R18" s="25">
        <f>Português!R18</f>
        <v>12.14</v>
      </c>
      <c r="S18" s="104">
        <f>Português!S18</f>
        <v>12.54</v>
      </c>
      <c r="T18" s="104">
        <f>Português!T18</f>
        <v>12.81</v>
      </c>
      <c r="U18" s="104">
        <f>Português!U18</f>
        <v>12.79</v>
      </c>
      <c r="V18" s="104">
        <f>Português!V18</f>
        <v>12.57</v>
      </c>
      <c r="W18" s="104">
        <f>Português!W18</f>
        <v>12.58</v>
      </c>
      <c r="X18" s="104">
        <f>Português!X18</f>
        <v>12.714394133892872</v>
      </c>
      <c r="Y18" s="104">
        <f>Português!Y18</f>
        <v>12.386526122111556</v>
      </c>
      <c r="Z18" s="104">
        <f>Português!Z18</f>
        <v>12.749857884544564</v>
      </c>
      <c r="AA18" s="104">
        <f>Português!AA18</f>
        <v>11.478676554882783</v>
      </c>
      <c r="AB18" s="104">
        <f>Português!AB18</f>
        <v>9.9807553910619706</v>
      </c>
      <c r="AC18" s="104">
        <f>Português!AC18</f>
        <v>9.8092117595548309</v>
      </c>
      <c r="AD18" s="104">
        <f>Português!AD18</f>
        <v>9.83</v>
      </c>
      <c r="AE18" s="104">
        <f>Português!AE18</f>
        <v>9.7126215064666575</v>
      </c>
      <c r="AF18" s="104">
        <v>9.9</v>
      </c>
      <c r="AG18" s="104">
        <v>9.8000000000000007</v>
      </c>
      <c r="AH18" s="104">
        <f>Português!AH18</f>
        <v>10.02</v>
      </c>
      <c r="AI18" s="104">
        <f>Português!AI18</f>
        <v>10.45</v>
      </c>
      <c r="AJ18" s="104">
        <f>Português!AJ18</f>
        <v>10.3</v>
      </c>
      <c r="AK18" s="104">
        <f>Português!AK18</f>
        <v>10.34</v>
      </c>
      <c r="AL18" s="104">
        <f>Português!AL18</f>
        <v>10.581446370131623</v>
      </c>
      <c r="AM18" s="104">
        <f>Português!AM18</f>
        <v>11.210395117511165</v>
      </c>
      <c r="AN18" s="104">
        <f>Português!AN18</f>
        <v>10.16</v>
      </c>
      <c r="AO18" s="104">
        <f>Português!AO18</f>
        <v>10.96</v>
      </c>
      <c r="AP18" s="104">
        <f>Português!AP18</f>
        <v>11.03</v>
      </c>
      <c r="AQ18" s="104">
        <f>Português!AQ18</f>
        <v>10.8</v>
      </c>
      <c r="AR18" s="104">
        <f>Português!AR18</f>
        <v>10.35</v>
      </c>
      <c r="AS18" s="19"/>
    </row>
    <row r="19" spans="1:45" s="13" customFormat="1" outlineLevel="1">
      <c r="B19" s="14" t="s">
        <v>61</v>
      </c>
      <c r="C19" s="1" t="s">
        <v>60</v>
      </c>
      <c r="D19" s="22">
        <f>Português!D19</f>
        <v>0</v>
      </c>
      <c r="E19" s="22">
        <f>Português!E19</f>
        <v>0</v>
      </c>
      <c r="F19" s="22">
        <f>Português!F19</f>
        <v>0</v>
      </c>
      <c r="G19" s="22">
        <f>Português!G19</f>
        <v>0</v>
      </c>
      <c r="H19" s="27">
        <f>Português!H19</f>
        <v>13.47941379254325</v>
      </c>
      <c r="I19" s="27">
        <f>Português!I19</f>
        <v>13.470505883871253</v>
      </c>
      <c r="J19" s="27">
        <f>Português!J19</f>
        <v>13.703812425266225</v>
      </c>
      <c r="K19" s="27">
        <f>Português!K19</f>
        <v>14.085595013616956</v>
      </c>
      <c r="L19" s="27">
        <f>Português!L19</f>
        <v>14.353729873384374</v>
      </c>
      <c r="M19" s="27">
        <f>Português!M19</f>
        <v>14.137186869150877</v>
      </c>
      <c r="N19" s="27">
        <f>Português!N19</f>
        <v>14.562517513187172</v>
      </c>
      <c r="O19" s="27">
        <f>Português!O19</f>
        <v>14.253852755360189</v>
      </c>
      <c r="P19" s="27">
        <f>Português!P19</f>
        <v>14.382882874078401</v>
      </c>
      <c r="Q19" s="27">
        <f>Português!Q19</f>
        <v>14.511844802945276</v>
      </c>
      <c r="R19" s="27">
        <f>Português!R19</f>
        <v>14.73</v>
      </c>
      <c r="S19" s="28">
        <f>Português!S19</f>
        <v>15.69</v>
      </c>
      <c r="T19" s="28">
        <f>Português!T19</f>
        <v>16.77</v>
      </c>
      <c r="U19" s="28">
        <f>Português!U19</f>
        <v>16.829999999999998</v>
      </c>
      <c r="V19" s="28">
        <f>Português!V19</f>
        <v>16.77</v>
      </c>
      <c r="W19" s="28">
        <f>Português!W19</f>
        <v>17.38</v>
      </c>
      <c r="X19" s="28">
        <f>Português!X19</f>
        <v>17.933473266731585</v>
      </c>
      <c r="Y19" s="28">
        <f>Português!Y19</f>
        <v>18.06945249572431</v>
      </c>
      <c r="Z19" s="28">
        <f>Português!Z19</f>
        <v>18.499389693765909</v>
      </c>
      <c r="AA19" s="28">
        <f>Português!AA19</f>
        <v>16.660723282683815</v>
      </c>
      <c r="AB19" s="28">
        <f>Português!AB19</f>
        <v>16.210970309515162</v>
      </c>
      <c r="AC19" s="28">
        <f>Português!AC19</f>
        <v>15.955156337468491</v>
      </c>
      <c r="AD19" s="28">
        <f>Português!AD19</f>
        <v>16.481871996460502</v>
      </c>
      <c r="AE19" s="29">
        <f>Português!AE19</f>
        <v>16.80709983277756</v>
      </c>
      <c r="AF19" s="29">
        <v>17.04</v>
      </c>
      <c r="AG19" s="29">
        <v>16.7</v>
      </c>
      <c r="AH19" s="29">
        <f>Português!AH19</f>
        <v>15.9</v>
      </c>
      <c r="AI19" s="29">
        <f>Português!AI19</f>
        <v>17.54</v>
      </c>
      <c r="AJ19" s="29">
        <f>Português!AJ19</f>
        <v>16.399999999999999</v>
      </c>
      <c r="AK19" s="29">
        <f>Português!AK19</f>
        <v>16.239999999999998</v>
      </c>
      <c r="AL19" s="29">
        <f>Português!AL19</f>
        <v>17.399999999999999</v>
      </c>
      <c r="AM19" s="29">
        <f>Português!AM19</f>
        <v>18.64</v>
      </c>
      <c r="AN19" s="29">
        <f>Português!AN19</f>
        <v>18.78</v>
      </c>
      <c r="AO19" s="29">
        <f>Português!AO19</f>
        <v>18.899999999999999</v>
      </c>
      <c r="AP19" s="29">
        <f>Português!AP19</f>
        <v>19.46</v>
      </c>
      <c r="AQ19" s="29">
        <f>Português!AQ19</f>
        <v>20.02</v>
      </c>
      <c r="AR19" s="29">
        <f>Português!AR19</f>
        <v>20.29</v>
      </c>
      <c r="AS19" s="19"/>
    </row>
    <row r="20" spans="1:45" s="13" customFormat="1" outlineLevel="1">
      <c r="B20" s="14" t="s">
        <v>383</v>
      </c>
      <c r="C20" s="1" t="s">
        <v>60</v>
      </c>
      <c r="D20" s="22">
        <f>Português!D20</f>
        <v>0</v>
      </c>
      <c r="E20" s="22">
        <f>Português!E20</f>
        <v>0</v>
      </c>
      <c r="F20" s="22">
        <f>Português!F20</f>
        <v>0</v>
      </c>
      <c r="G20" s="22">
        <f>Português!G20</f>
        <v>0</v>
      </c>
      <c r="H20" s="27">
        <f>Português!H20</f>
        <v>10.365728318375417</v>
      </c>
      <c r="I20" s="27">
        <f>Português!I20</f>
        <v>10.845943242083649</v>
      </c>
      <c r="J20" s="27">
        <f>Português!J20</f>
        <v>11.260637947687012</v>
      </c>
      <c r="K20" s="27">
        <f>Português!K20</f>
        <v>11.156170397969944</v>
      </c>
      <c r="L20" s="27">
        <f>Português!L20</f>
        <v>11.402664466804561</v>
      </c>
      <c r="M20" s="27">
        <f>Português!M20</f>
        <v>10.85003371327624</v>
      </c>
      <c r="N20" s="27">
        <f>Português!N20</f>
        <v>9.6117866999103274</v>
      </c>
      <c r="O20" s="27">
        <f>Português!O20</f>
        <v>9.2267152724762234</v>
      </c>
      <c r="P20" s="27">
        <f>Português!P20</f>
        <v>10.284176799805053</v>
      </c>
      <c r="Q20" s="27">
        <f>Português!Q20</f>
        <v>10.080917855977257</v>
      </c>
      <c r="R20" s="27">
        <f>Português!R20</f>
        <v>9.94</v>
      </c>
      <c r="S20" s="28">
        <f>Português!S20</f>
        <v>10.68</v>
      </c>
      <c r="T20" s="28">
        <f>Português!T20</f>
        <v>10.77</v>
      </c>
      <c r="U20" s="28">
        <f>Português!U20</f>
        <v>10.74</v>
      </c>
      <c r="V20" s="28">
        <f>Português!V20</f>
        <v>10.43</v>
      </c>
      <c r="W20" s="28">
        <f>Português!W20</f>
        <v>10.1</v>
      </c>
      <c r="X20" s="28">
        <f>Português!X20</f>
        <v>9.9393049269590783</v>
      </c>
      <c r="Y20" s="28">
        <f>Português!Y20</f>
        <v>9.3404676068079091</v>
      </c>
      <c r="Z20" s="28">
        <f>Português!Z20</f>
        <v>9.5553364741487492</v>
      </c>
      <c r="AA20" s="28">
        <f>Português!AA20</f>
        <v>8.7034750617614662</v>
      </c>
      <c r="AB20" s="28">
        <f>Português!AB20</f>
        <v>8.6382357379979862</v>
      </c>
      <c r="AC20" s="28">
        <f>Português!AC20</f>
        <v>8.4658430835892169</v>
      </c>
      <c r="AD20" s="28">
        <f>Português!AD20</f>
        <v>8.3699999999999992</v>
      </c>
      <c r="AE20" s="29">
        <f>Português!AE20</f>
        <v>8.1411950682416787</v>
      </c>
      <c r="AF20" s="29">
        <v>8.32</v>
      </c>
      <c r="AG20" s="29">
        <v>8.26</v>
      </c>
      <c r="AH20" s="29">
        <f>Português!AH20</f>
        <v>8.7200000000000006</v>
      </c>
      <c r="AI20" s="29">
        <f>Português!AI20</f>
        <v>8.83</v>
      </c>
      <c r="AJ20" s="29">
        <f>Português!AJ20</f>
        <v>8.9</v>
      </c>
      <c r="AK20" s="29">
        <f>Português!AK20</f>
        <v>8.93</v>
      </c>
      <c r="AL20" s="29">
        <f>Português!AL20</f>
        <v>9</v>
      </c>
      <c r="AM20" s="29">
        <f>Português!AM20</f>
        <v>9.57</v>
      </c>
      <c r="AN20" s="29">
        <f>Português!AN20</f>
        <v>8.24</v>
      </c>
      <c r="AO20" s="29">
        <f>Português!AO20</f>
        <v>9.23</v>
      </c>
      <c r="AP20" s="29">
        <f>Português!AP20</f>
        <v>9.15</v>
      </c>
      <c r="AQ20" s="29">
        <f>Português!AQ20</f>
        <v>8.73</v>
      </c>
      <c r="AR20" s="29">
        <f>Português!AR20</f>
        <v>8.17</v>
      </c>
      <c r="AS20" s="19"/>
    </row>
    <row r="21" spans="1:45" s="13" customFormat="1" ht="13.5" outlineLevel="1">
      <c r="B21" s="10" t="s">
        <v>385</v>
      </c>
      <c r="C21" s="10" t="s">
        <v>386</v>
      </c>
      <c r="D21" s="20">
        <f>Português!D21</f>
        <v>0</v>
      </c>
      <c r="E21" s="20">
        <f>Português!E21</f>
        <v>0</v>
      </c>
      <c r="F21" s="20">
        <f>Português!F21</f>
        <v>0</v>
      </c>
      <c r="G21" s="20">
        <f>Português!G21</f>
        <v>0</v>
      </c>
      <c r="H21" s="25">
        <f t="shared" ref="H21:AO21" si="1">SUM(H22:H23)</f>
        <v>2089.0129999999999</v>
      </c>
      <c r="I21" s="25">
        <f t="shared" si="1"/>
        <v>2130.5699999999997</v>
      </c>
      <c r="J21" s="25">
        <f t="shared" si="1"/>
        <v>2171.9120000000003</v>
      </c>
      <c r="K21" s="25">
        <f t="shared" si="1"/>
        <v>2225.66</v>
      </c>
      <c r="L21" s="25">
        <f t="shared" si="1"/>
        <v>2244.277</v>
      </c>
      <c r="M21" s="25">
        <f t="shared" si="1"/>
        <v>2283.3360000000002</v>
      </c>
      <c r="N21" s="25">
        <f t="shared" si="1"/>
        <v>2291.3670000000002</v>
      </c>
      <c r="O21" s="25">
        <f t="shared" si="1"/>
        <v>2356.009</v>
      </c>
      <c r="P21" s="25">
        <f t="shared" si="1"/>
        <v>2368.4780000000001</v>
      </c>
      <c r="Q21" s="25">
        <f t="shared" si="1"/>
        <v>2420.4619999999995</v>
      </c>
      <c r="R21" s="25">
        <f t="shared" si="1"/>
        <v>2401</v>
      </c>
      <c r="S21" s="104">
        <f t="shared" si="1"/>
        <v>3511</v>
      </c>
      <c r="T21" s="104">
        <f t="shared" si="1"/>
        <v>3564.13</v>
      </c>
      <c r="U21" s="104">
        <f t="shared" si="1"/>
        <v>3500.2760000000003</v>
      </c>
      <c r="V21" s="104">
        <f t="shared" si="1"/>
        <v>3552.8779999999997</v>
      </c>
      <c r="W21" s="104">
        <f t="shared" si="1"/>
        <v>3743.7420000000002</v>
      </c>
      <c r="X21" s="104">
        <f t="shared" si="1"/>
        <v>3761.2719999999995</v>
      </c>
      <c r="Y21" s="104">
        <f t="shared" si="1"/>
        <v>4083.7330000000002</v>
      </c>
      <c r="Z21" s="104">
        <f t="shared" si="1"/>
        <v>4264.1299999999992</v>
      </c>
      <c r="AA21" s="104">
        <f t="shared" si="1"/>
        <v>4278.4979999999996</v>
      </c>
      <c r="AB21" s="104">
        <f t="shared" si="1"/>
        <v>8774.1360000000004</v>
      </c>
      <c r="AC21" s="104">
        <f t="shared" si="1"/>
        <v>8938.0830000000005</v>
      </c>
      <c r="AD21" s="104">
        <f t="shared" si="1"/>
        <v>9034.6990000000005</v>
      </c>
      <c r="AE21" s="104">
        <f t="shared" si="1"/>
        <v>9138.0349999999999</v>
      </c>
      <c r="AF21" s="104">
        <f t="shared" si="1"/>
        <v>9131.0029999999988</v>
      </c>
      <c r="AG21" s="104">
        <f t="shared" si="1"/>
        <v>9015.3535604526969</v>
      </c>
      <c r="AH21" s="104">
        <f t="shared" si="1"/>
        <v>8925.4835604526979</v>
      </c>
      <c r="AI21" s="104">
        <f t="shared" si="1"/>
        <v>8864.1815604526982</v>
      </c>
      <c r="AJ21" s="104">
        <f t="shared" si="1"/>
        <v>8853.4065604526986</v>
      </c>
      <c r="AK21" s="104">
        <f t="shared" si="1"/>
        <v>8840.5910000000003</v>
      </c>
      <c r="AL21" s="104">
        <f t="shared" si="1"/>
        <v>8848.4510000000009</v>
      </c>
      <c r="AM21" s="104">
        <f t="shared" si="1"/>
        <v>8868.7670000000035</v>
      </c>
      <c r="AN21" s="104">
        <f t="shared" si="1"/>
        <v>8798.5889999999999</v>
      </c>
      <c r="AO21" s="104">
        <f t="shared" si="1"/>
        <v>8856.3069999999989</v>
      </c>
      <c r="AP21" s="104">
        <f>SUM(AP22:AP23)</f>
        <v>8868.91</v>
      </c>
      <c r="AQ21" s="104">
        <f>SUM(AQ22:AQ23)</f>
        <v>8728.9869999999974</v>
      </c>
      <c r="AR21" s="104">
        <f>SUM(AR22:AR23)</f>
        <v>8684.4499999999971</v>
      </c>
      <c r="AS21" s="19"/>
    </row>
    <row r="22" spans="1:45" s="13" customFormat="1" outlineLevel="1">
      <c r="B22" s="14" t="s">
        <v>61</v>
      </c>
      <c r="C22" s="1" t="s">
        <v>386</v>
      </c>
      <c r="D22" s="22">
        <f>Português!D22</f>
        <v>0</v>
      </c>
      <c r="E22" s="22">
        <f>Português!E22</f>
        <v>0</v>
      </c>
      <c r="F22" s="22">
        <f>Português!F22</f>
        <v>0</v>
      </c>
      <c r="G22" s="22">
        <f>Português!G22</f>
        <v>0</v>
      </c>
      <c r="H22" s="27">
        <f>Português!H22</f>
        <v>595.85599999999999</v>
      </c>
      <c r="I22" s="27">
        <f>Português!I22</f>
        <v>594.90699999999993</v>
      </c>
      <c r="J22" s="27">
        <f>Português!J22</f>
        <v>599.98700000000008</v>
      </c>
      <c r="K22" s="27">
        <f>Português!K22</f>
        <v>605.03899999999999</v>
      </c>
      <c r="L22" s="27">
        <f>Português!L22</f>
        <v>610.303</v>
      </c>
      <c r="M22" s="27">
        <f>Português!M22</f>
        <v>619.69000000000005</v>
      </c>
      <c r="N22" s="27">
        <f>Português!N22</f>
        <v>612.60500000000002</v>
      </c>
      <c r="O22" s="27">
        <f>Português!O22</f>
        <v>646.55899999999997</v>
      </c>
      <c r="P22" s="27">
        <f>Português!P22</f>
        <v>646.33500000000004</v>
      </c>
      <c r="Q22" s="27">
        <f>Português!Q22</f>
        <v>648.10400000000004</v>
      </c>
      <c r="R22" s="27">
        <f>Português!R22</f>
        <v>639</v>
      </c>
      <c r="S22" s="28">
        <f>Português!S22</f>
        <v>897</v>
      </c>
      <c r="T22" s="28">
        <f>Português!T22</f>
        <v>906.28399999999988</v>
      </c>
      <c r="U22" s="28">
        <f>Português!U22</f>
        <v>897.25500000000011</v>
      </c>
      <c r="V22" s="28">
        <f>Português!V22</f>
        <v>921.98299999999995</v>
      </c>
      <c r="W22" s="28">
        <f>Português!W22</f>
        <v>969.80700000000002</v>
      </c>
      <c r="X22" s="28">
        <f>Português!X22</f>
        <v>974.82</v>
      </c>
      <c r="Y22" s="28">
        <f>Português!Y22</f>
        <v>967.14700000000005</v>
      </c>
      <c r="Z22" s="28">
        <f>Português!Z22</f>
        <v>982.99800000000005</v>
      </c>
      <c r="AA22" s="28">
        <f>Português!AA22</f>
        <v>989.53100000000006</v>
      </c>
      <c r="AB22" s="28">
        <f>Português!AB22</f>
        <v>1486.046</v>
      </c>
      <c r="AC22" s="28">
        <f>Português!AC22</f>
        <v>1553.6870000000004</v>
      </c>
      <c r="AD22" s="28">
        <f>Português!AD22</f>
        <v>1566.7960000000003</v>
      </c>
      <c r="AE22" s="29">
        <f>Português!AE22</f>
        <v>1577.4490000000003</v>
      </c>
      <c r="AF22" s="29">
        <f>Português!AF22</f>
        <v>1585.6820000000002</v>
      </c>
      <c r="AG22" s="29">
        <f>Português!AG22</f>
        <v>1581.575560452698</v>
      </c>
      <c r="AH22" s="29">
        <f>Português!AH22</f>
        <v>1551.9085604526981</v>
      </c>
      <c r="AI22" s="29">
        <f>Português!AI22</f>
        <v>1549.3815604526983</v>
      </c>
      <c r="AJ22" s="29">
        <f>Português!AJ22</f>
        <v>1547.4065604526982</v>
      </c>
      <c r="AK22" s="29">
        <f>Português!AK22</f>
        <v>1573.2975604526982</v>
      </c>
      <c r="AL22" s="29">
        <f>Português!AL22</f>
        <v>1582.8055604526983</v>
      </c>
      <c r="AM22" s="29">
        <f>Português!AM22</f>
        <v>1588.2535686539768</v>
      </c>
      <c r="AN22" s="29">
        <f>Português!AN22</f>
        <v>1555.0055686539768</v>
      </c>
      <c r="AO22" s="29">
        <f>Português!AO22</f>
        <v>1573.1915686539769</v>
      </c>
      <c r="AP22" s="29">
        <f>Português!AP22</f>
        <v>1573.2345686539768</v>
      </c>
      <c r="AQ22" s="29">
        <f>Português!AQ22</f>
        <v>1554.3295686539768</v>
      </c>
      <c r="AR22" s="29">
        <f>Português!AR22</f>
        <v>1534.8765686539768</v>
      </c>
      <c r="AS22" s="19"/>
    </row>
    <row r="23" spans="1:45" s="13" customFormat="1" outlineLevel="1">
      <c r="B23" s="14" t="s">
        <v>383</v>
      </c>
      <c r="C23" s="1" t="s">
        <v>386</v>
      </c>
      <c r="D23" s="22">
        <f>Português!D23</f>
        <v>0</v>
      </c>
      <c r="E23" s="22">
        <f>Português!E23</f>
        <v>0</v>
      </c>
      <c r="F23" s="22">
        <f>Português!F23</f>
        <v>0</v>
      </c>
      <c r="G23" s="22">
        <f>Português!G23</f>
        <v>0</v>
      </c>
      <c r="H23" s="27">
        <f>Português!H23</f>
        <v>1493.1570000000002</v>
      </c>
      <c r="I23" s="27">
        <f>Português!I23</f>
        <v>1535.6629999999998</v>
      </c>
      <c r="J23" s="27">
        <f>Português!J23</f>
        <v>1571.925</v>
      </c>
      <c r="K23" s="27">
        <f>Português!K23</f>
        <v>1620.6210000000001</v>
      </c>
      <c r="L23" s="27">
        <f>Português!L23</f>
        <v>1633.9740000000002</v>
      </c>
      <c r="M23" s="27">
        <f>Português!M23</f>
        <v>1663.646</v>
      </c>
      <c r="N23" s="27">
        <f>Português!N23</f>
        <v>1678.7619999999999</v>
      </c>
      <c r="O23" s="27">
        <f>Português!O23</f>
        <v>1709.45</v>
      </c>
      <c r="P23" s="27">
        <f>Português!P23</f>
        <v>1722.1430000000003</v>
      </c>
      <c r="Q23" s="27">
        <f>Português!Q23</f>
        <v>1772.3579999999997</v>
      </c>
      <c r="R23" s="27">
        <f>Português!R23</f>
        <v>1762</v>
      </c>
      <c r="S23" s="28">
        <f>Português!S23</f>
        <v>2614</v>
      </c>
      <c r="T23" s="28">
        <f>Português!T23</f>
        <v>2657.846</v>
      </c>
      <c r="U23" s="28">
        <f>Português!U23</f>
        <v>2603.0210000000002</v>
      </c>
      <c r="V23" s="28">
        <f>Português!V23</f>
        <v>2630.895</v>
      </c>
      <c r="W23" s="28">
        <f>Português!W23</f>
        <v>2773.9350000000004</v>
      </c>
      <c r="X23" s="28">
        <f>Português!X23</f>
        <v>2786.4519999999993</v>
      </c>
      <c r="Y23" s="28">
        <f>Português!Y23</f>
        <v>3116.5860000000002</v>
      </c>
      <c r="Z23" s="28">
        <f>Português!Z23</f>
        <v>3281.1319999999996</v>
      </c>
      <c r="AA23" s="28">
        <f>Português!AA23</f>
        <v>3288.9669999999996</v>
      </c>
      <c r="AB23" s="28">
        <f>Português!AB23</f>
        <v>7288.09</v>
      </c>
      <c r="AC23" s="28">
        <f>Português!AC23</f>
        <v>7384.3959999999997</v>
      </c>
      <c r="AD23" s="28">
        <f>Português!AD23</f>
        <v>7467.9030000000002</v>
      </c>
      <c r="AE23" s="29">
        <f>Português!AE23</f>
        <v>7560.5859999999993</v>
      </c>
      <c r="AF23" s="29">
        <f>Português!AF23</f>
        <v>7545.320999999999</v>
      </c>
      <c r="AG23" s="29">
        <f>Português!AG23</f>
        <v>7433.7779999999984</v>
      </c>
      <c r="AH23" s="29">
        <f>Português!AH23</f>
        <v>7373.5749999999998</v>
      </c>
      <c r="AI23" s="29">
        <f>Português!AI23</f>
        <v>7314.8</v>
      </c>
      <c r="AJ23" s="29">
        <f>Português!AJ23</f>
        <v>7306</v>
      </c>
      <c r="AK23" s="29">
        <f>Português!AK23</f>
        <v>7267.2934395473021</v>
      </c>
      <c r="AL23" s="29">
        <f>Português!AL23</f>
        <v>7265.6454395473029</v>
      </c>
      <c r="AM23" s="29">
        <f>Português!AM23</f>
        <v>7280.5134313460267</v>
      </c>
      <c r="AN23" s="29">
        <f>Português!AN23</f>
        <v>7243.5834313460227</v>
      </c>
      <c r="AO23" s="29">
        <f>Português!AO23</f>
        <v>7283.115431346022</v>
      </c>
      <c r="AP23" s="29">
        <f>Português!AP23</f>
        <v>7295.6754313460224</v>
      </c>
      <c r="AQ23" s="29">
        <f>Português!AQ23</f>
        <v>7174.6574313460196</v>
      </c>
      <c r="AR23" s="29">
        <f>Português!AR23</f>
        <v>7149.5734313460207</v>
      </c>
      <c r="AS23" s="19"/>
    </row>
    <row r="24" spans="1:45" s="13" customFormat="1" ht="13.5" outlineLevel="1">
      <c r="B24" s="10" t="s">
        <v>387</v>
      </c>
      <c r="C24" s="10" t="s">
        <v>386</v>
      </c>
      <c r="D24" s="20">
        <f>Português!D24</f>
        <v>0</v>
      </c>
      <c r="E24" s="20">
        <f>Português!E24</f>
        <v>0</v>
      </c>
      <c r="F24" s="20">
        <f>Português!F24</f>
        <v>0</v>
      </c>
      <c r="G24" s="20">
        <f>Português!G24</f>
        <v>0</v>
      </c>
      <c r="H24" s="25">
        <f t="shared" ref="H24:AO24" si="2">SUM(H25:H26)</f>
        <v>1300.7280000000001</v>
      </c>
      <c r="I24" s="25">
        <f t="shared" si="2"/>
        <v>1335.028</v>
      </c>
      <c r="J24" s="25">
        <f t="shared" si="2"/>
        <v>1350.7860000000001</v>
      </c>
      <c r="K24" s="25">
        <f t="shared" si="2"/>
        <v>1415.752</v>
      </c>
      <c r="L24" s="25">
        <f t="shared" si="2"/>
        <v>1416.8579999999999</v>
      </c>
      <c r="M24" s="25">
        <f t="shared" si="2"/>
        <v>1530.7619999999999</v>
      </c>
      <c r="N24" s="25">
        <f t="shared" si="2"/>
        <v>1599.7270000000001</v>
      </c>
      <c r="O24" s="25">
        <f t="shared" si="2"/>
        <v>1679.77</v>
      </c>
      <c r="P24" s="25">
        <f t="shared" si="2"/>
        <v>1623.431</v>
      </c>
      <c r="Q24" s="25">
        <f t="shared" si="2"/>
        <v>1666.174</v>
      </c>
      <c r="R24" s="25">
        <f t="shared" si="2"/>
        <v>1678</v>
      </c>
      <c r="S24" s="104">
        <f t="shared" si="2"/>
        <v>2817</v>
      </c>
      <c r="T24" s="104">
        <f t="shared" si="2"/>
        <v>2810.1689999999999</v>
      </c>
      <c r="U24" s="104">
        <f t="shared" si="2"/>
        <v>2766.0510000000004</v>
      </c>
      <c r="V24" s="104">
        <f t="shared" si="2"/>
        <v>2847.569</v>
      </c>
      <c r="W24" s="104">
        <f t="shared" si="2"/>
        <v>2928.6950000000002</v>
      </c>
      <c r="X24" s="104">
        <f t="shared" si="2"/>
        <v>3089.6849999999999</v>
      </c>
      <c r="Y24" s="104">
        <f t="shared" si="2"/>
        <v>3112.8429999999998</v>
      </c>
      <c r="Z24" s="104">
        <f t="shared" si="2"/>
        <v>3184.2040000000002</v>
      </c>
      <c r="AA24" s="104">
        <f t="shared" si="2"/>
        <v>3257.3469999999998</v>
      </c>
      <c r="AB24" s="104">
        <f t="shared" si="2"/>
        <v>6497.8549999999977</v>
      </c>
      <c r="AC24" s="104">
        <f t="shared" si="2"/>
        <v>6747.0689999999995</v>
      </c>
      <c r="AD24" s="104">
        <f t="shared" si="2"/>
        <v>6880.9799999999987</v>
      </c>
      <c r="AE24" s="104">
        <f t="shared" si="2"/>
        <v>6933.6629999999986</v>
      </c>
      <c r="AF24" s="104">
        <f t="shared" si="2"/>
        <v>6984.3839999999982</v>
      </c>
      <c r="AG24" s="104">
        <f t="shared" si="2"/>
        <v>7106.8389999999999</v>
      </c>
      <c r="AH24" s="104">
        <f t="shared" si="2"/>
        <v>6922.6669999999995</v>
      </c>
      <c r="AI24" s="104">
        <f t="shared" si="2"/>
        <v>6994.34</v>
      </c>
      <c r="AJ24" s="104">
        <f t="shared" si="2"/>
        <v>6958.7420000000002</v>
      </c>
      <c r="AK24" s="104">
        <f t="shared" si="2"/>
        <v>6899.496000000001</v>
      </c>
      <c r="AL24" s="104">
        <f t="shared" si="2"/>
        <v>6913.2219999999979</v>
      </c>
      <c r="AM24" s="104">
        <f t="shared" si="2"/>
        <v>6932.1809999999978</v>
      </c>
      <c r="AN24" s="104">
        <f t="shared" si="2"/>
        <v>6940.4</v>
      </c>
      <c r="AO24" s="104">
        <f t="shared" si="2"/>
        <v>7032.2819999999974</v>
      </c>
      <c r="AP24" s="104">
        <f>SUM(AP25:AP26)</f>
        <v>7107.132999999998</v>
      </c>
      <c r="AQ24" s="104">
        <f>SUM(AQ25:AQ26)</f>
        <v>7129.6439999999984</v>
      </c>
      <c r="AR24" s="104">
        <f>SUM(AR25:AR26)</f>
        <v>7189.9859999999999</v>
      </c>
      <c r="AS24" s="19"/>
    </row>
    <row r="25" spans="1:45" s="13" customFormat="1" outlineLevel="1">
      <c r="B25" s="14" t="s">
        <v>61</v>
      </c>
      <c r="C25" s="1" t="s">
        <v>386</v>
      </c>
      <c r="D25" s="22">
        <f>Português!D25</f>
        <v>0</v>
      </c>
      <c r="E25" s="22">
        <f>Português!E25</f>
        <v>0</v>
      </c>
      <c r="F25" s="22">
        <f>Português!F25</f>
        <v>0</v>
      </c>
      <c r="G25" s="22">
        <f>Português!G25</f>
        <v>0</v>
      </c>
      <c r="H25" s="27">
        <f>Português!H25</f>
        <v>736.61599999999999</v>
      </c>
      <c r="I25" s="27">
        <f>Português!I25</f>
        <v>733.84</v>
      </c>
      <c r="J25" s="27">
        <f>Português!J25</f>
        <v>734.38200000000006</v>
      </c>
      <c r="K25" s="27">
        <f>Português!K25</f>
        <v>729.39400000000001</v>
      </c>
      <c r="L25" s="27">
        <f>Português!L25</f>
        <v>728.15600000000006</v>
      </c>
      <c r="M25" s="27">
        <f>Português!M25</f>
        <v>733.57799999999997</v>
      </c>
      <c r="N25" s="27">
        <f>Português!N25</f>
        <v>733.59899999999993</v>
      </c>
      <c r="O25" s="27">
        <f>Português!O25</f>
        <v>769.75800000000004</v>
      </c>
      <c r="P25" s="27">
        <f>Português!P25</f>
        <v>763.63800000000003</v>
      </c>
      <c r="Q25" s="27">
        <f>Português!Q25</f>
        <v>774.55100000000004</v>
      </c>
      <c r="R25" s="27">
        <f>Português!R25</f>
        <v>760</v>
      </c>
      <c r="S25" s="28">
        <f>Português!S25</f>
        <v>842</v>
      </c>
      <c r="T25" s="28">
        <f>Português!T25</f>
        <v>842.1690000000001</v>
      </c>
      <c r="U25" s="28">
        <f>Português!U25</f>
        <v>820.96</v>
      </c>
      <c r="V25" s="28">
        <f>Português!V25</f>
        <v>868.95600000000002</v>
      </c>
      <c r="W25" s="28">
        <f>Português!W25</f>
        <v>911.82400000000007</v>
      </c>
      <c r="X25" s="28">
        <f>Português!X25</f>
        <v>977.4380000000001</v>
      </c>
      <c r="Y25" s="28">
        <f>Português!Y25</f>
        <v>981.56999999999994</v>
      </c>
      <c r="Z25" s="28">
        <f>Português!Z25</f>
        <v>1020.121</v>
      </c>
      <c r="AA25" s="28">
        <f>Português!AA25</f>
        <v>1149.0179999999996</v>
      </c>
      <c r="AB25" s="28">
        <f>Português!AB25</f>
        <v>1191.5329999999999</v>
      </c>
      <c r="AC25" s="28">
        <f>Português!AC25</f>
        <v>1278.1429999999998</v>
      </c>
      <c r="AD25" s="28">
        <f>Português!AD25</f>
        <v>1216.461</v>
      </c>
      <c r="AE25" s="29">
        <f>Português!AE25</f>
        <v>1354.241</v>
      </c>
      <c r="AF25" s="29">
        <f>Português!AF25</f>
        <v>1372.3120000000001</v>
      </c>
      <c r="AG25" s="29">
        <f>Português!AG25</f>
        <v>1397.229</v>
      </c>
      <c r="AH25" s="29">
        <f>Português!AH25</f>
        <v>1385.6180000000002</v>
      </c>
      <c r="AI25" s="29">
        <f>Português!AI25</f>
        <v>1407.9390000000001</v>
      </c>
      <c r="AJ25" s="29">
        <f>Português!AJ25</f>
        <v>1426.086</v>
      </c>
      <c r="AK25" s="29">
        <f>Português!AK25</f>
        <v>1515.8290000000002</v>
      </c>
      <c r="AL25" s="29">
        <f>Português!AL25</f>
        <v>1393.8989999999999</v>
      </c>
      <c r="AM25" s="29">
        <f>Português!AM25</f>
        <v>1396.0249429928742</v>
      </c>
      <c r="AN25" s="29">
        <f>Português!AN25</f>
        <v>1390.7</v>
      </c>
      <c r="AO25" s="29">
        <f>Português!AO25</f>
        <v>1438.25</v>
      </c>
      <c r="AP25" s="29">
        <f>Português!AP25</f>
        <v>1456.0540000000001</v>
      </c>
      <c r="AQ25" s="29">
        <f>Português!AQ25</f>
        <v>1486.6279999999999</v>
      </c>
      <c r="AR25" s="29">
        <f>Português!AR25</f>
        <v>1488.941</v>
      </c>
      <c r="AS25" s="19"/>
    </row>
    <row r="26" spans="1:45" s="13" customFormat="1" outlineLevel="1">
      <c r="B26" s="14" t="s">
        <v>383</v>
      </c>
      <c r="C26" s="1" t="s">
        <v>386</v>
      </c>
      <c r="D26" s="22">
        <f>Português!D26</f>
        <v>0</v>
      </c>
      <c r="E26" s="22">
        <f>Português!E26</f>
        <v>0</v>
      </c>
      <c r="F26" s="22">
        <f>Português!F26</f>
        <v>0</v>
      </c>
      <c r="G26" s="22">
        <f>Português!G26</f>
        <v>0</v>
      </c>
      <c r="H26" s="27">
        <f>Português!H26</f>
        <v>564.11200000000008</v>
      </c>
      <c r="I26" s="27">
        <f>Português!I26</f>
        <v>601.18799999999999</v>
      </c>
      <c r="J26" s="27">
        <f>Português!J26</f>
        <v>616.404</v>
      </c>
      <c r="K26" s="27">
        <f>Português!K26</f>
        <v>686.35799999999995</v>
      </c>
      <c r="L26" s="27">
        <f>Português!L26</f>
        <v>688.70199999999988</v>
      </c>
      <c r="M26" s="27">
        <f>Português!M26</f>
        <v>797.18399999999997</v>
      </c>
      <c r="N26" s="27">
        <f>Português!N26</f>
        <v>866.12800000000016</v>
      </c>
      <c r="O26" s="27">
        <f>Português!O26</f>
        <v>910.01200000000006</v>
      </c>
      <c r="P26" s="27">
        <f>Português!P26</f>
        <v>859.79300000000012</v>
      </c>
      <c r="Q26" s="27">
        <f>Português!Q26</f>
        <v>891.62299999999993</v>
      </c>
      <c r="R26" s="27">
        <f>Português!R26</f>
        <v>918</v>
      </c>
      <c r="S26" s="28">
        <f>Português!S26</f>
        <v>1975</v>
      </c>
      <c r="T26" s="28">
        <f>Português!T26</f>
        <v>1968</v>
      </c>
      <c r="U26" s="28">
        <f>Português!U26</f>
        <v>1945.0910000000001</v>
      </c>
      <c r="V26" s="28">
        <f>Português!V26</f>
        <v>1978.6130000000001</v>
      </c>
      <c r="W26" s="28">
        <f>Português!W26</f>
        <v>2016.8710000000001</v>
      </c>
      <c r="X26" s="28">
        <f>Português!X26</f>
        <v>2112.2469999999998</v>
      </c>
      <c r="Y26" s="28">
        <f>Português!Y26</f>
        <v>2131.2730000000001</v>
      </c>
      <c r="Z26" s="28">
        <f>Português!Z26</f>
        <v>2164.0830000000001</v>
      </c>
      <c r="AA26" s="28">
        <f>Português!AA26</f>
        <v>2108.3290000000002</v>
      </c>
      <c r="AB26" s="28">
        <f>Português!AB26</f>
        <v>5306.3219999999983</v>
      </c>
      <c r="AC26" s="28">
        <f>Português!AC26</f>
        <v>5468.9259999999995</v>
      </c>
      <c r="AD26" s="28">
        <f>Português!AD26</f>
        <v>5664.5189999999984</v>
      </c>
      <c r="AE26" s="29">
        <f>Português!AE26</f>
        <v>5579.4219999999987</v>
      </c>
      <c r="AF26" s="29">
        <f>Português!AF26</f>
        <v>5612.0719999999983</v>
      </c>
      <c r="AG26" s="29">
        <f>Português!AG26</f>
        <v>5709.61</v>
      </c>
      <c r="AH26" s="29">
        <f>Português!AH26</f>
        <v>5537.0489999999991</v>
      </c>
      <c r="AI26" s="29">
        <f>Português!AI26</f>
        <v>5586.4009999999998</v>
      </c>
      <c r="AJ26" s="29">
        <f>Português!AJ26</f>
        <v>5532.6559999999999</v>
      </c>
      <c r="AK26" s="29">
        <f>Português!AK26</f>
        <v>5383.6670000000004</v>
      </c>
      <c r="AL26" s="29">
        <f>Português!AL26</f>
        <v>5519.3229999999985</v>
      </c>
      <c r="AM26" s="29">
        <f>Português!AM26</f>
        <v>5536.1560570071233</v>
      </c>
      <c r="AN26" s="29">
        <f>Português!AN26</f>
        <v>5549.7</v>
      </c>
      <c r="AO26" s="29">
        <f>Português!AO26</f>
        <v>5594.0319999999974</v>
      </c>
      <c r="AP26" s="29">
        <f>Português!AP26</f>
        <v>5651.0789999999979</v>
      </c>
      <c r="AQ26" s="29">
        <f>Português!AQ26</f>
        <v>5643.0159999999987</v>
      </c>
      <c r="AR26" s="29">
        <f>Português!AR26</f>
        <v>5701.0450000000001</v>
      </c>
      <c r="AS26" s="19"/>
    </row>
    <row r="27" spans="1:45" s="13" customFormat="1" outlineLevel="1">
      <c r="B27" s="40"/>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O27" s="29"/>
      <c r="AP27" s="29"/>
      <c r="AQ27" s="29"/>
      <c r="AR27" s="29"/>
      <c r="AS27" s="19"/>
    </row>
    <row r="28" spans="1:45">
      <c r="O28" s="3"/>
      <c r="P28" s="3"/>
      <c r="Q28" s="3"/>
      <c r="R28" s="3"/>
      <c r="S28" s="3"/>
      <c r="T28" s="3"/>
      <c r="U28" s="22"/>
      <c r="V28" s="22"/>
      <c r="W28" s="22"/>
      <c r="X28" s="22"/>
      <c r="Y28" s="22"/>
      <c r="Z28" s="22"/>
      <c r="AA28" s="22"/>
      <c r="AB28" s="22"/>
      <c r="AC28" s="22"/>
      <c r="AD28" s="22"/>
      <c r="AE28" s="22"/>
      <c r="AF28" s="22"/>
      <c r="AG28" s="22"/>
      <c r="AH28" s="22"/>
      <c r="AI28" s="22"/>
      <c r="AJ28" s="22"/>
      <c r="AK28" s="13"/>
      <c r="AL28" s="13"/>
      <c r="AM28" s="13"/>
      <c r="AN28" s="13"/>
      <c r="AS28" s="19"/>
    </row>
    <row r="29" spans="1:45" s="5" customFormat="1" ht="13.5">
      <c r="A29" s="102"/>
      <c r="B29" s="4" t="s">
        <v>388</v>
      </c>
      <c r="AK29" s="13"/>
      <c r="AL29" s="13"/>
      <c r="AM29" s="13"/>
      <c r="AN29" s="13"/>
      <c r="AS29" s="19"/>
    </row>
    <row r="30" spans="1:45" ht="13.5" outlineLevel="1">
      <c r="B30" s="6" t="s">
        <v>10</v>
      </c>
      <c r="C30" s="6" t="s">
        <v>335</v>
      </c>
      <c r="D30" s="6" t="s">
        <v>336</v>
      </c>
      <c r="E30" s="107" t="s">
        <v>337</v>
      </c>
      <c r="F30" s="107" t="s">
        <v>338</v>
      </c>
      <c r="G30" s="107" t="s">
        <v>339</v>
      </c>
      <c r="H30" s="6" t="s">
        <v>340</v>
      </c>
      <c r="I30" s="6" t="s">
        <v>341</v>
      </c>
      <c r="J30" s="6" t="s">
        <v>342</v>
      </c>
      <c r="K30" s="6" t="s">
        <v>343</v>
      </c>
      <c r="L30" s="6" t="s">
        <v>344</v>
      </c>
      <c r="M30" s="6" t="s">
        <v>345</v>
      </c>
      <c r="N30" s="6" t="str">
        <f>N8</f>
        <v>3Q18</v>
      </c>
      <c r="O30" s="6" t="s">
        <v>23</v>
      </c>
      <c r="P30" s="6" t="str">
        <f>P8</f>
        <v>1Q19</v>
      </c>
      <c r="Q30" s="6" t="s">
        <v>349</v>
      </c>
      <c r="R30" s="6" t="s">
        <v>350</v>
      </c>
      <c r="S30" s="6" t="s">
        <v>351</v>
      </c>
      <c r="T30" s="6" t="s">
        <v>352</v>
      </c>
      <c r="U30" s="6" t="s">
        <v>353</v>
      </c>
      <c r="V30" s="6" t="s">
        <v>354</v>
      </c>
      <c r="W30" s="6" t="s">
        <v>355</v>
      </c>
      <c r="X30" s="6" t="s">
        <v>356</v>
      </c>
      <c r="Y30" s="6" t="s">
        <v>357</v>
      </c>
      <c r="Z30" s="6" t="s">
        <v>358</v>
      </c>
      <c r="AA30" s="6" t="s">
        <v>359</v>
      </c>
      <c r="AB30" s="6" t="s">
        <v>360</v>
      </c>
      <c r="AC30" s="6" t="s">
        <v>361</v>
      </c>
      <c r="AD30" s="6" t="s">
        <v>362</v>
      </c>
      <c r="AE30" s="6" t="s">
        <v>363</v>
      </c>
      <c r="AF30" s="6" t="s">
        <v>364</v>
      </c>
      <c r="AG30" s="6" t="s">
        <v>365</v>
      </c>
      <c r="AH30" s="6" t="s">
        <v>366</v>
      </c>
      <c r="AI30" s="6" t="s">
        <v>367</v>
      </c>
      <c r="AJ30" s="6" t="s">
        <v>368</v>
      </c>
      <c r="AK30" s="6" t="s">
        <v>369</v>
      </c>
      <c r="AL30" s="6" t="s">
        <v>370</v>
      </c>
      <c r="AM30" s="6" t="s">
        <v>371</v>
      </c>
      <c r="AN30" s="6" t="s">
        <v>372</v>
      </c>
      <c r="AO30" s="6" t="s">
        <v>373</v>
      </c>
      <c r="AP30" s="6" t="s">
        <v>373</v>
      </c>
      <c r="AQ30" s="6" t="s">
        <v>375</v>
      </c>
      <c r="AR30" s="6" t="s">
        <v>629</v>
      </c>
      <c r="AS30" s="19"/>
    </row>
    <row r="31" spans="1:45" outlineLevel="1">
      <c r="B31" s="14" t="s">
        <v>389</v>
      </c>
      <c r="C31" s="1" t="s">
        <v>390</v>
      </c>
      <c r="D31" s="33"/>
      <c r="E31" s="33"/>
      <c r="F31" s="33"/>
      <c r="G31" s="33"/>
      <c r="H31" s="33"/>
      <c r="I31" s="33"/>
      <c r="J31" s="33"/>
      <c r="K31" s="33">
        <f>Português!K31</f>
        <v>503.64</v>
      </c>
      <c r="L31" s="33">
        <f>Português!L31</f>
        <v>546.06100000000004</v>
      </c>
      <c r="M31" s="33">
        <f>Português!M31</f>
        <v>587.02099999999996</v>
      </c>
      <c r="N31" s="33">
        <f>Português!N31</f>
        <v>628.89200000000005</v>
      </c>
      <c r="O31" s="33">
        <f>Português!O31</f>
        <v>671.10705397000004</v>
      </c>
      <c r="P31" s="33">
        <f>Português!P31</f>
        <v>714.34362580999993</v>
      </c>
      <c r="Q31" s="33">
        <f>Português!Q31</f>
        <v>758.26177259725432</v>
      </c>
      <c r="R31" s="33">
        <f>Português!R31</f>
        <v>808.12099999999998</v>
      </c>
      <c r="S31" s="33">
        <f>Português!S31</f>
        <v>1197.0909999999999</v>
      </c>
      <c r="T31" s="33">
        <f>Português!T31</f>
        <v>1294.3440000000001</v>
      </c>
      <c r="U31" s="33">
        <f>Português!U31</f>
        <v>1315.874</v>
      </c>
      <c r="V31" s="33">
        <f>Português!V31</f>
        <v>1188.2370000000001</v>
      </c>
      <c r="W31" s="33">
        <f>Português!W31</f>
        <v>1296.2360000000001</v>
      </c>
      <c r="X31" s="33">
        <f>Português!X31</f>
        <v>1342.797</v>
      </c>
      <c r="Y31" s="33">
        <f>Português!Y31</f>
        <v>1505.146</v>
      </c>
      <c r="Z31" s="33">
        <f>Português!Z31</f>
        <v>1708.3389999999999</v>
      </c>
      <c r="AA31" s="33">
        <f>Português!AA31</f>
        <v>1336.566</v>
      </c>
      <c r="AB31" s="33">
        <f>Português!AB31</f>
        <v>3630.2930000000001</v>
      </c>
      <c r="AC31" s="33">
        <f>Português!AC31</f>
        <v>3756.7730000000001</v>
      </c>
      <c r="AD31" s="33">
        <f>Português!AD31</f>
        <v>3844.8670000000002</v>
      </c>
      <c r="AE31" s="33">
        <f>Português!AE31</f>
        <v>3808.8955916496325</v>
      </c>
      <c r="AF31" s="35" t="str">
        <f>Português!AF31</f>
        <v>-</v>
      </c>
      <c r="AG31" s="35" t="str">
        <f>Português!AG31</f>
        <v>-</v>
      </c>
      <c r="AH31" s="35" t="str">
        <f>Português!AH31</f>
        <v>-</v>
      </c>
      <c r="AI31" s="35" t="str">
        <f>Português!AI31</f>
        <v>-</v>
      </c>
      <c r="AJ31" s="35" t="str">
        <f>Português!AJ31</f>
        <v>-</v>
      </c>
      <c r="AK31" s="35" t="str">
        <f>Português!AK31</f>
        <v>-</v>
      </c>
      <c r="AL31" s="35" t="str">
        <f>Português!AL31</f>
        <v>-</v>
      </c>
      <c r="AM31" s="35" t="str">
        <f>Português!AM31</f>
        <v>-</v>
      </c>
      <c r="AN31" s="35" t="str">
        <f>Português!AN31</f>
        <v>-</v>
      </c>
      <c r="AO31" s="35" t="str">
        <f>Português!AO31</f>
        <v>-</v>
      </c>
      <c r="AP31" s="35" t="str">
        <f>Português!AP31</f>
        <v>-</v>
      </c>
      <c r="AQ31" s="35" t="str">
        <f>Português!AQ31</f>
        <v>-</v>
      </c>
      <c r="AR31" s="35" t="str">
        <f>Português!AR31</f>
        <v>-</v>
      </c>
      <c r="AS31" s="19"/>
    </row>
    <row r="32" spans="1:45" outlineLevel="1">
      <c r="B32" s="14" t="s">
        <v>391</v>
      </c>
      <c r="C32" s="1" t="s">
        <v>390</v>
      </c>
      <c r="D32" s="33"/>
      <c r="E32" s="33"/>
      <c r="F32" s="33"/>
      <c r="G32" s="33"/>
      <c r="H32" s="33"/>
      <c r="I32" s="33"/>
      <c r="J32" s="33"/>
      <c r="K32" s="38">
        <f>Português!K32</f>
        <v>904.53899999999999</v>
      </c>
      <c r="L32" s="38">
        <f>Português!L32</f>
        <v>939.34100000000001</v>
      </c>
      <c r="M32" s="38">
        <f>Português!M32</f>
        <v>1102.3150000000001</v>
      </c>
      <c r="N32" s="38">
        <f>Português!N32</f>
        <v>1189.194</v>
      </c>
      <c r="O32" s="38">
        <f>Português!O32</f>
        <v>1196.94189428</v>
      </c>
      <c r="P32" s="38">
        <f>Português!P32</f>
        <v>1171.35304228</v>
      </c>
      <c r="Q32" s="38">
        <f>Português!Q32</f>
        <v>1305.3820000000001</v>
      </c>
      <c r="R32" s="38">
        <f>Português!R32</f>
        <v>1330.41</v>
      </c>
      <c r="S32" s="38">
        <f>Português!S32</f>
        <v>1616.2919999999999</v>
      </c>
      <c r="T32" s="38">
        <f>Português!T32</f>
        <v>1907.886</v>
      </c>
      <c r="U32" s="38">
        <f>Português!U32</f>
        <v>2066.2170000000001</v>
      </c>
      <c r="V32" s="38">
        <f>Português!V32</f>
        <v>2265.8009999999999</v>
      </c>
      <c r="W32" s="38">
        <f>Português!W32</f>
        <v>2648.0859999999998</v>
      </c>
      <c r="X32" s="38">
        <f>Português!X32</f>
        <v>2760.8440000000001</v>
      </c>
      <c r="Y32" s="38">
        <f>Português!Y32</f>
        <v>3490.6439999999998</v>
      </c>
      <c r="Z32" s="38">
        <f>Português!Z32</f>
        <v>3094.3649999999998</v>
      </c>
      <c r="AA32" s="38">
        <f>Português!AA32</f>
        <v>2518.2460000000001</v>
      </c>
      <c r="AB32" s="38">
        <f>Português!AB32</f>
        <v>4657.6480000000001</v>
      </c>
      <c r="AC32" s="38">
        <f>Português!AC32</f>
        <v>5510.9380000000001</v>
      </c>
      <c r="AD32" s="38">
        <f>Português!AD32</f>
        <v>5855.384</v>
      </c>
      <c r="AE32" s="38">
        <f>Português!AE32</f>
        <v>4364.4320031700008</v>
      </c>
      <c r="AF32" s="138" t="str">
        <f>Português!AF32</f>
        <v>-</v>
      </c>
      <c r="AG32" s="138" t="str">
        <f>Português!AG32</f>
        <v>-</v>
      </c>
      <c r="AH32" s="138" t="str">
        <f>Português!AH32</f>
        <v>-</v>
      </c>
      <c r="AI32" s="138" t="str">
        <f>Português!AI32</f>
        <v>-</v>
      </c>
      <c r="AJ32" s="138" t="str">
        <f>Português!AJ32</f>
        <v>-</v>
      </c>
      <c r="AK32" s="138" t="str">
        <f>Português!AK32</f>
        <v>-</v>
      </c>
      <c r="AL32" s="138" t="str">
        <f>Português!AL32</f>
        <v>-</v>
      </c>
      <c r="AM32" s="138" t="str">
        <f>Português!AM32</f>
        <v>-</v>
      </c>
      <c r="AN32" s="138" t="str">
        <f>Português!AN32</f>
        <v>-</v>
      </c>
      <c r="AO32" s="138" t="str">
        <f>Português!AO32</f>
        <v>-</v>
      </c>
      <c r="AP32" s="138" t="str">
        <f>Português!AP32</f>
        <v>-</v>
      </c>
      <c r="AQ32" s="138" t="str">
        <f>Português!AQ32</f>
        <v>-</v>
      </c>
      <c r="AR32" s="138" t="str">
        <f>Português!AR32</f>
        <v>-</v>
      </c>
      <c r="AS32" s="19"/>
    </row>
    <row r="33" spans="2:45" ht="13.5" outlineLevel="1">
      <c r="B33" s="10" t="s">
        <v>392</v>
      </c>
      <c r="C33" s="10" t="s">
        <v>390</v>
      </c>
      <c r="D33" s="105"/>
      <c r="E33" s="105"/>
      <c r="F33" s="105"/>
      <c r="G33" s="105"/>
      <c r="H33" s="105"/>
      <c r="I33" s="105"/>
      <c r="J33" s="105"/>
      <c r="K33" s="25">
        <f t="shared" ref="K33:AE33" si="3">K32-K31</f>
        <v>400.899</v>
      </c>
      <c r="L33" s="25">
        <f t="shared" si="3"/>
        <v>393.28</v>
      </c>
      <c r="M33" s="25">
        <f t="shared" si="3"/>
        <v>515.2940000000001</v>
      </c>
      <c r="N33" s="25">
        <f t="shared" si="3"/>
        <v>560.30199999999991</v>
      </c>
      <c r="O33" s="25">
        <f t="shared" si="3"/>
        <v>525.83484031</v>
      </c>
      <c r="P33" s="25">
        <f t="shared" si="3"/>
        <v>457.00941647000002</v>
      </c>
      <c r="Q33" s="25">
        <f t="shared" si="3"/>
        <v>547.12022740274574</v>
      </c>
      <c r="R33" s="25">
        <f t="shared" si="3"/>
        <v>522.2890000000001</v>
      </c>
      <c r="S33" s="25">
        <f t="shared" si="3"/>
        <v>419.20100000000002</v>
      </c>
      <c r="T33" s="25">
        <f t="shared" si="3"/>
        <v>613.54199999999992</v>
      </c>
      <c r="U33" s="25">
        <f t="shared" si="3"/>
        <v>750.34300000000007</v>
      </c>
      <c r="V33" s="25">
        <f t="shared" si="3"/>
        <v>1077.5639999999999</v>
      </c>
      <c r="W33" s="25">
        <f t="shared" si="3"/>
        <v>1351.8499999999997</v>
      </c>
      <c r="X33" s="25">
        <f t="shared" si="3"/>
        <v>1418.047</v>
      </c>
      <c r="Y33" s="25">
        <f t="shared" si="3"/>
        <v>1985.4979999999998</v>
      </c>
      <c r="Z33" s="25">
        <f t="shared" si="3"/>
        <v>1386.0259999999998</v>
      </c>
      <c r="AA33" s="25">
        <f t="shared" si="3"/>
        <v>1181.68</v>
      </c>
      <c r="AB33" s="25">
        <f t="shared" si="3"/>
        <v>1027.355</v>
      </c>
      <c r="AC33" s="25">
        <f t="shared" si="3"/>
        <v>1754.165</v>
      </c>
      <c r="AD33" s="25">
        <f t="shared" si="3"/>
        <v>2010.5169999999998</v>
      </c>
      <c r="AE33" s="25">
        <f t="shared" si="3"/>
        <v>555.53641152036835</v>
      </c>
      <c r="AF33" s="139" t="str">
        <f>Português!AF33</f>
        <v>-</v>
      </c>
      <c r="AG33" s="139" t="str">
        <f>Português!AG33</f>
        <v>-</v>
      </c>
      <c r="AH33" s="139" t="str">
        <f>Português!AH33</f>
        <v>-</v>
      </c>
      <c r="AI33" s="139" t="str">
        <f>Português!AI33</f>
        <v>-</v>
      </c>
      <c r="AJ33" s="139" t="str">
        <f>Português!AJ33</f>
        <v>-</v>
      </c>
      <c r="AK33" s="139" t="str">
        <f>Português!AK33</f>
        <v>-</v>
      </c>
      <c r="AL33" s="139" t="str">
        <f>Português!AL33</f>
        <v>-</v>
      </c>
      <c r="AM33" s="139" t="str">
        <f>Português!AM33</f>
        <v>-</v>
      </c>
      <c r="AN33" s="139" t="str">
        <f>Português!AN33</f>
        <v>-</v>
      </c>
      <c r="AO33" s="139" t="str">
        <f>Português!AO33</f>
        <v>-</v>
      </c>
      <c r="AP33" s="139" t="str">
        <f>Português!AP33</f>
        <v>-</v>
      </c>
      <c r="AQ33" s="139" t="str">
        <f>Português!AQ33</f>
        <v>-</v>
      </c>
      <c r="AR33" s="139" t="str">
        <f>Português!AR33</f>
        <v>-</v>
      </c>
      <c r="AS33" s="19"/>
    </row>
    <row r="34" spans="2:45" outlineLevel="1">
      <c r="B34" s="24" t="s">
        <v>393</v>
      </c>
      <c r="C34" s="24" t="s">
        <v>76</v>
      </c>
      <c r="D34" s="106"/>
      <c r="E34" s="106"/>
      <c r="F34" s="106"/>
      <c r="G34" s="106"/>
      <c r="H34" s="106"/>
      <c r="I34" s="106"/>
      <c r="J34" s="106"/>
      <c r="K34" s="39">
        <f t="shared" ref="K34:AE34" si="4">K32/K31</f>
        <v>1.7960030974505599</v>
      </c>
      <c r="L34" s="39">
        <f t="shared" si="4"/>
        <v>1.7202125769831575</v>
      </c>
      <c r="M34" s="39">
        <f t="shared" si="4"/>
        <v>1.8778118670371249</v>
      </c>
      <c r="N34" s="39">
        <f t="shared" si="4"/>
        <v>1.8909351685186007</v>
      </c>
      <c r="O34" s="39">
        <f t="shared" si="4"/>
        <v>1.783533472341517</v>
      </c>
      <c r="P34" s="39">
        <f t="shared" si="4"/>
        <v>1.6397613136840039</v>
      </c>
      <c r="Q34" s="39">
        <f t="shared" si="4"/>
        <v>1.7215453121534916</v>
      </c>
      <c r="R34" s="39">
        <f t="shared" si="4"/>
        <v>1.6463004921292728</v>
      </c>
      <c r="S34" s="39">
        <f t="shared" si="4"/>
        <v>1.3501830687892566</v>
      </c>
      <c r="T34" s="39">
        <f t="shared" si="4"/>
        <v>1.4740177263540448</v>
      </c>
      <c r="U34" s="39">
        <f t="shared" si="4"/>
        <v>1.5702240488071046</v>
      </c>
      <c r="V34" s="39">
        <f t="shared" si="4"/>
        <v>1.9068594901522169</v>
      </c>
      <c r="W34" s="39">
        <f t="shared" si="4"/>
        <v>2.0429042242307727</v>
      </c>
      <c r="X34" s="39">
        <f t="shared" si="4"/>
        <v>2.0560397439076792</v>
      </c>
      <c r="Y34" s="39">
        <f t="shared" si="4"/>
        <v>2.3191398043777811</v>
      </c>
      <c r="Z34" s="39">
        <f t="shared" si="4"/>
        <v>1.8113296014432732</v>
      </c>
      <c r="AA34" s="39">
        <f t="shared" si="4"/>
        <v>1.8841164596435942</v>
      </c>
      <c r="AB34" s="39">
        <f t="shared" si="4"/>
        <v>1.2829950640347763</v>
      </c>
      <c r="AC34" s="39">
        <f t="shared" si="4"/>
        <v>1.4669339882926118</v>
      </c>
      <c r="AD34" s="39">
        <f t="shared" si="4"/>
        <v>1.5229093750186937</v>
      </c>
      <c r="AE34" s="39">
        <f t="shared" si="4"/>
        <v>1.1458523601272477</v>
      </c>
      <c r="AF34" s="45" t="str">
        <f>Português!AF34</f>
        <v>-</v>
      </c>
      <c r="AG34" s="45" t="str">
        <f>Português!AG34</f>
        <v>-</v>
      </c>
      <c r="AH34" s="45" t="str">
        <f>Português!AH34</f>
        <v>-</v>
      </c>
      <c r="AI34" s="45" t="str">
        <f>Português!AI34</f>
        <v>-</v>
      </c>
      <c r="AJ34" s="45" t="str">
        <f>Português!AJ34</f>
        <v>-</v>
      </c>
      <c r="AK34" s="45" t="str">
        <f>Português!AK34</f>
        <v>-</v>
      </c>
      <c r="AL34" s="45" t="str">
        <f>Português!AL34</f>
        <v>-</v>
      </c>
      <c r="AM34" s="45" t="str">
        <f>Português!AM34</f>
        <v>-</v>
      </c>
      <c r="AN34" s="45" t="str">
        <f>Português!AN34</f>
        <v>-</v>
      </c>
      <c r="AO34" s="45" t="str">
        <f>Português!AO34</f>
        <v>-</v>
      </c>
      <c r="AP34" s="45" t="str">
        <f>Português!AP34</f>
        <v>-</v>
      </c>
      <c r="AQ34" s="45" t="str">
        <f>Português!AQ34</f>
        <v>-</v>
      </c>
      <c r="AR34" s="45" t="str">
        <f>Português!AR34</f>
        <v>-</v>
      </c>
      <c r="AS34" s="19"/>
    </row>
    <row r="35" spans="2:45" outlineLevel="1">
      <c r="B35" s="14" t="s">
        <v>394</v>
      </c>
      <c r="C35" s="1" t="s">
        <v>390</v>
      </c>
      <c r="D35" s="33"/>
      <c r="E35" s="33"/>
      <c r="F35" s="33"/>
      <c r="G35" s="33"/>
      <c r="H35" s="33"/>
      <c r="I35" s="33"/>
      <c r="J35" s="33"/>
      <c r="K35" s="38">
        <f>Português!K35</f>
        <v>278.40899999999999</v>
      </c>
      <c r="L35" s="38">
        <f>Português!L35</f>
        <v>281.19799999999998</v>
      </c>
      <c r="M35" s="38">
        <f>Português!M35</f>
        <v>287.51</v>
      </c>
      <c r="N35" s="38">
        <f>Português!N35</f>
        <v>292.46100000000001</v>
      </c>
      <c r="O35" s="38">
        <f>Português!O35</f>
        <v>343.42651231999997</v>
      </c>
      <c r="P35" s="38">
        <f>Português!P35</f>
        <v>328.14490116000002</v>
      </c>
      <c r="Q35" s="38">
        <f>Português!Q35</f>
        <v>352.45496551999997</v>
      </c>
      <c r="R35" s="38">
        <f>Português!R35</f>
        <v>332.21899999999999</v>
      </c>
      <c r="S35" s="38">
        <f>Português!S35</f>
        <v>458.75900000000001</v>
      </c>
      <c r="T35" s="38">
        <f>Português!T35</f>
        <v>686.33900000000006</v>
      </c>
      <c r="U35" s="38">
        <f>Português!U35</f>
        <v>648.79300000000001</v>
      </c>
      <c r="V35" s="38">
        <f>Português!V35</f>
        <v>783.08100000000002</v>
      </c>
      <c r="W35" s="38">
        <f>Português!W35</f>
        <v>802.19299999999998</v>
      </c>
      <c r="X35" s="38">
        <f>Português!X35</f>
        <v>998.01</v>
      </c>
      <c r="Y35" s="38">
        <f>Português!Y35</f>
        <v>1217.9000000000001</v>
      </c>
      <c r="Z35" s="38">
        <f>Português!Z35</f>
        <v>1366.22</v>
      </c>
      <c r="AA35" s="38">
        <f>Português!AA35</f>
        <v>1363.729</v>
      </c>
      <c r="AB35" s="38">
        <f>Português!AB35</f>
        <v>2868.2</v>
      </c>
      <c r="AC35" s="38">
        <f>Português!AC35</f>
        <v>2888.9380000000001</v>
      </c>
      <c r="AD35" s="38">
        <f>Português!AD35</f>
        <v>2871.0519991375813</v>
      </c>
      <c r="AE35" s="38">
        <f>Português!AE35</f>
        <v>3031.7166458310453</v>
      </c>
      <c r="AF35" s="138" t="str">
        <f>Português!AF35</f>
        <v>-</v>
      </c>
      <c r="AG35" s="138" t="str">
        <f>Português!AG35</f>
        <v>-</v>
      </c>
      <c r="AH35" s="138" t="str">
        <f>Português!AH35</f>
        <v>-</v>
      </c>
      <c r="AI35" s="138" t="str">
        <f>Português!AI35</f>
        <v>-</v>
      </c>
      <c r="AJ35" s="138" t="str">
        <f>Português!AJ35</f>
        <v>-</v>
      </c>
      <c r="AK35" s="138" t="str">
        <f>Português!AK35</f>
        <v>-</v>
      </c>
      <c r="AL35" s="138" t="str">
        <f>Português!AL35</f>
        <v>-</v>
      </c>
      <c r="AM35" s="138" t="str">
        <f>Português!AM35</f>
        <v>-</v>
      </c>
      <c r="AN35" s="138" t="str">
        <f>Português!AN35</f>
        <v>-</v>
      </c>
      <c r="AO35" s="138" t="str">
        <f>Português!AO35</f>
        <v>-</v>
      </c>
      <c r="AP35" s="138" t="str">
        <f>Português!AP35</f>
        <v>-</v>
      </c>
      <c r="AQ35" s="138" t="str">
        <f>Português!AQ35</f>
        <v>-</v>
      </c>
      <c r="AR35" s="138" t="str">
        <f>Português!AR35</f>
        <v>-</v>
      </c>
      <c r="AS35" s="19"/>
    </row>
    <row r="36" spans="2:45" outlineLevel="1">
      <c r="B36" s="14" t="s">
        <v>395</v>
      </c>
      <c r="C36" s="1" t="s">
        <v>390</v>
      </c>
      <c r="D36" s="33"/>
      <c r="E36" s="33"/>
      <c r="F36" s="33"/>
      <c r="G36" s="33"/>
      <c r="H36" s="33"/>
      <c r="I36" s="33"/>
      <c r="J36" s="33"/>
      <c r="K36" s="38">
        <f>Português!K36</f>
        <v>368.18099999999998</v>
      </c>
      <c r="L36" s="38">
        <f>Português!L36</f>
        <v>373.995</v>
      </c>
      <c r="M36" s="38">
        <f>Português!M36</f>
        <v>379.86200000000002</v>
      </c>
      <c r="N36" s="38">
        <f>Português!N36</f>
        <v>402.07100000000003</v>
      </c>
      <c r="O36" s="38">
        <f>Português!O36</f>
        <v>407.13496779000002</v>
      </c>
      <c r="P36" s="38">
        <f>Português!P36</f>
        <v>413.45907282000002</v>
      </c>
      <c r="Q36" s="38">
        <f>Português!Q36</f>
        <v>418.02300000000002</v>
      </c>
      <c r="R36" s="38">
        <f>Português!R36</f>
        <v>424.58800000000002</v>
      </c>
      <c r="S36" s="38">
        <f>Português!S36</f>
        <v>660.75</v>
      </c>
      <c r="T36" s="38">
        <f>Português!T36</f>
        <v>757.31899999999996</v>
      </c>
      <c r="U36" s="38">
        <f>Português!U36</f>
        <v>822.24900000000002</v>
      </c>
      <c r="V36" s="38">
        <f>Português!V36</f>
        <v>855.55499999999995</v>
      </c>
      <c r="W36" s="38">
        <f>Português!W36</f>
        <v>1003.827</v>
      </c>
      <c r="X36" s="38">
        <f>Português!X36</f>
        <v>1119.816</v>
      </c>
      <c r="Y36" s="38">
        <f>Português!Y36</f>
        <v>1314.759</v>
      </c>
      <c r="Z36" s="38">
        <f>Português!Z36</f>
        <v>1528.6220000000001</v>
      </c>
      <c r="AA36" s="38">
        <f>Português!AA36</f>
        <v>1636.904</v>
      </c>
      <c r="AB36" s="38">
        <f>Português!AB36</f>
        <v>2812.5239999999999</v>
      </c>
      <c r="AC36" s="38">
        <f>Português!AC36</f>
        <v>2797.5459999999998</v>
      </c>
      <c r="AD36" s="38">
        <f>Português!AD36</f>
        <v>3022.1619102800005</v>
      </c>
      <c r="AE36" s="38">
        <f>Português!AE36</f>
        <v>3016.5639761199996</v>
      </c>
      <c r="AF36" s="138" t="str">
        <f>Português!AF36</f>
        <v>-</v>
      </c>
      <c r="AG36" s="138" t="str">
        <f>Português!AG36</f>
        <v>-</v>
      </c>
      <c r="AH36" s="138" t="str">
        <f>Português!AH36</f>
        <v>-</v>
      </c>
      <c r="AI36" s="138" t="str">
        <f>Português!AI36</f>
        <v>-</v>
      </c>
      <c r="AJ36" s="138" t="str">
        <f>Português!AJ36</f>
        <v>-</v>
      </c>
      <c r="AK36" s="138" t="str">
        <f>Português!AK36</f>
        <v>-</v>
      </c>
      <c r="AL36" s="138" t="str">
        <f>Português!AL36</f>
        <v>-</v>
      </c>
      <c r="AM36" s="138" t="str">
        <f>Português!AM36</f>
        <v>-</v>
      </c>
      <c r="AN36" s="138" t="str">
        <f>Português!AN36</f>
        <v>-</v>
      </c>
      <c r="AO36" s="138" t="str">
        <f>Português!AO36</f>
        <v>-</v>
      </c>
      <c r="AP36" s="138" t="str">
        <f>Português!AP36</f>
        <v>-</v>
      </c>
      <c r="AQ36" s="138" t="str">
        <f>Português!AQ36</f>
        <v>-</v>
      </c>
      <c r="AR36" s="138" t="str">
        <f>Português!AR36</f>
        <v>-</v>
      </c>
      <c r="AS36" s="19"/>
    </row>
    <row r="37" spans="2:45" outlineLevel="1">
      <c r="B37" s="14" t="s">
        <v>396</v>
      </c>
      <c r="C37" s="1" t="s">
        <v>390</v>
      </c>
      <c r="D37" s="33"/>
      <c r="E37" s="33"/>
      <c r="F37" s="33"/>
      <c r="G37" s="33"/>
      <c r="H37" s="33"/>
      <c r="I37" s="33"/>
      <c r="J37" s="33"/>
      <c r="K37" s="38">
        <f>Português!K37</f>
        <v>0</v>
      </c>
      <c r="L37" s="38">
        <f>Português!L37</f>
        <v>0</v>
      </c>
      <c r="M37" s="38">
        <f>Português!M37</f>
        <v>0</v>
      </c>
      <c r="N37" s="38">
        <f>Português!N37</f>
        <v>0</v>
      </c>
      <c r="O37" s="38">
        <f>Português!O37</f>
        <v>0</v>
      </c>
      <c r="P37" s="38">
        <f>Português!P37</f>
        <v>0</v>
      </c>
      <c r="Q37" s="38">
        <f>Português!Q37</f>
        <v>0</v>
      </c>
      <c r="R37" s="38">
        <f>Português!R37</f>
        <v>0</v>
      </c>
      <c r="S37" s="38">
        <f>Português!S37</f>
        <v>0</v>
      </c>
      <c r="T37" s="38">
        <f>Português!T37</f>
        <v>0</v>
      </c>
      <c r="U37" s="38">
        <f>Português!U37</f>
        <v>0</v>
      </c>
      <c r="V37" s="38">
        <f>Português!V37</f>
        <v>0</v>
      </c>
      <c r="W37" s="38">
        <f>Português!W37</f>
        <v>1.9750000000000001</v>
      </c>
      <c r="X37" s="38">
        <f>Português!X37</f>
        <v>1.9750000000000001</v>
      </c>
      <c r="Y37" s="38">
        <f>Português!Y37</f>
        <v>2.91</v>
      </c>
      <c r="Z37" s="38">
        <f>Português!Z37</f>
        <v>2.8889999999999998</v>
      </c>
      <c r="AA37" s="38">
        <f>Português!AA37</f>
        <v>1.9750000000000001</v>
      </c>
      <c r="AB37" s="38">
        <f>Português!AB37</f>
        <v>93.6</v>
      </c>
      <c r="AC37" s="38">
        <f>Português!AC37</f>
        <v>190.029</v>
      </c>
      <c r="AD37" s="38">
        <f>Português!AD37</f>
        <v>210.202</v>
      </c>
      <c r="AE37" s="38">
        <f>Português!AE37</f>
        <v>234.529</v>
      </c>
      <c r="AF37" s="138" t="str">
        <f>Português!AF37</f>
        <v>-</v>
      </c>
      <c r="AG37" s="138" t="str">
        <f>Português!AG37</f>
        <v>-</v>
      </c>
      <c r="AH37" s="138" t="str">
        <f>Português!AH37</f>
        <v>-</v>
      </c>
      <c r="AI37" s="138" t="str">
        <f>Português!AI37</f>
        <v>-</v>
      </c>
      <c r="AJ37" s="138" t="str">
        <f>Português!AJ37</f>
        <v>-</v>
      </c>
      <c r="AK37" s="138" t="str">
        <f>Português!AK37</f>
        <v>-</v>
      </c>
      <c r="AL37" s="138" t="str">
        <f>Português!AL37</f>
        <v>-</v>
      </c>
      <c r="AM37" s="138" t="str">
        <f>Português!AM37</f>
        <v>-</v>
      </c>
      <c r="AN37" s="138" t="str">
        <f>Português!AN37</f>
        <v>-</v>
      </c>
      <c r="AO37" s="138" t="str">
        <f>Português!AO37</f>
        <v>-</v>
      </c>
      <c r="AP37" s="138" t="str">
        <f>Português!AP37</f>
        <v>-</v>
      </c>
      <c r="AQ37" s="138" t="str">
        <f>Português!AQ37</f>
        <v>-</v>
      </c>
      <c r="AR37" s="138" t="str">
        <f>Português!AR37</f>
        <v>-</v>
      </c>
      <c r="AS37" s="19"/>
    </row>
    <row r="38" spans="2:45" ht="13.5" outlineLevel="1">
      <c r="B38" s="10" t="s">
        <v>397</v>
      </c>
      <c r="C38" s="10" t="s">
        <v>390</v>
      </c>
      <c r="D38" s="105"/>
      <c r="E38" s="105"/>
      <c r="F38" s="105"/>
      <c r="G38" s="105"/>
      <c r="H38" s="105"/>
      <c r="I38" s="105"/>
      <c r="J38" s="105"/>
      <c r="K38" s="25">
        <f>K36-K35</f>
        <v>89.771999999999991</v>
      </c>
      <c r="L38" s="25">
        <f t="shared" ref="L38:V38" si="5">L36-L35</f>
        <v>92.797000000000025</v>
      </c>
      <c r="M38" s="25">
        <f t="shared" si="5"/>
        <v>92.352000000000032</v>
      </c>
      <c r="N38" s="25">
        <f t="shared" si="5"/>
        <v>109.61000000000001</v>
      </c>
      <c r="O38" s="25">
        <f t="shared" si="5"/>
        <v>63.708455470000047</v>
      </c>
      <c r="P38" s="25">
        <f t="shared" si="5"/>
        <v>85.31417166</v>
      </c>
      <c r="Q38" s="25">
        <f t="shared" si="5"/>
        <v>65.568034480000051</v>
      </c>
      <c r="R38" s="25">
        <f t="shared" si="5"/>
        <v>92.369000000000028</v>
      </c>
      <c r="S38" s="25">
        <f t="shared" si="5"/>
        <v>201.99099999999999</v>
      </c>
      <c r="T38" s="25">
        <f t="shared" si="5"/>
        <v>70.979999999999905</v>
      </c>
      <c r="U38" s="25">
        <f t="shared" si="5"/>
        <v>173.45600000000002</v>
      </c>
      <c r="V38" s="25">
        <f t="shared" si="5"/>
        <v>72.473999999999933</v>
      </c>
      <c r="W38" s="25">
        <f>W36-W35+W37</f>
        <v>203.60900000000001</v>
      </c>
      <c r="X38" s="25">
        <f t="shared" ref="X38:AE38" si="6">X36-X35+X37</f>
        <v>123.78100000000003</v>
      </c>
      <c r="Y38" s="25">
        <f t="shared" si="6"/>
        <v>99.76899999999992</v>
      </c>
      <c r="Z38" s="25">
        <f t="shared" si="6"/>
        <v>165.29100000000005</v>
      </c>
      <c r="AA38" s="25">
        <f t="shared" si="6"/>
        <v>275.14999999999998</v>
      </c>
      <c r="AB38" s="25">
        <f t="shared" si="6"/>
        <v>37.924000000000063</v>
      </c>
      <c r="AC38" s="25">
        <f t="shared" si="6"/>
        <v>98.636999999999716</v>
      </c>
      <c r="AD38" s="25">
        <f t="shared" si="6"/>
        <v>361.31191114241915</v>
      </c>
      <c r="AE38" s="25">
        <f t="shared" si="6"/>
        <v>219.37633028895425</v>
      </c>
      <c r="AF38" s="139" t="str">
        <f>Português!AF38</f>
        <v>-</v>
      </c>
      <c r="AG38" s="139" t="str">
        <f>Português!AG38</f>
        <v>-</v>
      </c>
      <c r="AH38" s="139" t="str">
        <f>Português!AH38</f>
        <v>-</v>
      </c>
      <c r="AI38" s="139" t="str">
        <f>Português!AI38</f>
        <v>-</v>
      </c>
      <c r="AJ38" s="139" t="str">
        <f>Português!AJ38</f>
        <v>-</v>
      </c>
      <c r="AK38" s="139" t="str">
        <f>Português!AK38</f>
        <v>-</v>
      </c>
      <c r="AL38" s="139" t="str">
        <f>Português!AL38</f>
        <v>-</v>
      </c>
      <c r="AM38" s="139" t="str">
        <f>Português!AM38</f>
        <v>-</v>
      </c>
      <c r="AN38" s="139" t="str">
        <f>Português!AN38</f>
        <v>-</v>
      </c>
      <c r="AO38" s="139" t="str">
        <f>Português!AO38</f>
        <v>-</v>
      </c>
      <c r="AP38" s="139" t="str">
        <f>Português!AP38</f>
        <v>-</v>
      </c>
      <c r="AQ38" s="139" t="str">
        <f>Português!AQ38</f>
        <v>-</v>
      </c>
      <c r="AR38" s="139" t="str">
        <f>Português!AR38</f>
        <v>-</v>
      </c>
      <c r="AS38" s="19"/>
    </row>
    <row r="39" spans="2:45" outlineLevel="1">
      <c r="B39" s="24" t="s">
        <v>398</v>
      </c>
      <c r="C39" s="24" t="s">
        <v>76</v>
      </c>
      <c r="D39" s="106"/>
      <c r="E39" s="106"/>
      <c r="F39" s="106"/>
      <c r="G39" s="106"/>
      <c r="H39" s="106"/>
      <c r="I39" s="106"/>
      <c r="J39" s="106"/>
      <c r="K39" s="39">
        <f t="shared" ref="K39:AE39" si="7">(K36+K37)/K35</f>
        <v>1.3224464726355829</v>
      </c>
      <c r="L39" s="39">
        <f t="shared" si="7"/>
        <v>1.3300059033136795</v>
      </c>
      <c r="M39" s="39">
        <f t="shared" si="7"/>
        <v>1.3212131751939065</v>
      </c>
      <c r="N39" s="39">
        <f t="shared" si="7"/>
        <v>1.3747850140702522</v>
      </c>
      <c r="O39" s="39">
        <f t="shared" si="7"/>
        <v>1.1855082621304363</v>
      </c>
      <c r="P39" s="39">
        <f t="shared" si="7"/>
        <v>1.2599893259301376</v>
      </c>
      <c r="Q39" s="39">
        <f t="shared" si="7"/>
        <v>1.1860323754646589</v>
      </c>
      <c r="R39" s="39">
        <f t="shared" si="7"/>
        <v>1.2780364759390643</v>
      </c>
      <c r="S39" s="39">
        <f t="shared" si="7"/>
        <v>1.4402987189352143</v>
      </c>
      <c r="T39" s="39">
        <f t="shared" si="7"/>
        <v>1.103418281636334</v>
      </c>
      <c r="U39" s="39">
        <f t="shared" si="7"/>
        <v>1.2673518364100722</v>
      </c>
      <c r="V39" s="39">
        <f t="shared" si="7"/>
        <v>1.0925498128546087</v>
      </c>
      <c r="W39" s="39">
        <f t="shared" si="7"/>
        <v>1.2538154783200552</v>
      </c>
      <c r="X39" s="39">
        <f t="shared" si="7"/>
        <v>1.1240278153525516</v>
      </c>
      <c r="Y39" s="39">
        <f t="shared" si="7"/>
        <v>1.0819188767550703</v>
      </c>
      <c r="Z39" s="39">
        <f t="shared" si="7"/>
        <v>1.1209841753158349</v>
      </c>
      <c r="AA39" s="39">
        <f t="shared" si="7"/>
        <v>1.2017629602362345</v>
      </c>
      <c r="AB39" s="39">
        <f t="shared" si="7"/>
        <v>1.013222229970016</v>
      </c>
      <c r="AC39" s="39">
        <f t="shared" si="7"/>
        <v>1.0341429964921365</v>
      </c>
      <c r="AD39" s="39">
        <f t="shared" si="7"/>
        <v>1.1258465228950754</v>
      </c>
      <c r="AE39" s="39">
        <f t="shared" si="7"/>
        <v>1.0723604333507295</v>
      </c>
      <c r="AF39" s="45" t="str">
        <f>Português!AF39</f>
        <v>-</v>
      </c>
      <c r="AG39" s="45" t="str">
        <f>Português!AG39</f>
        <v>-</v>
      </c>
      <c r="AH39" s="45" t="str">
        <f>Português!AH39</f>
        <v>-</v>
      </c>
      <c r="AI39" s="45" t="str">
        <f>Português!AI39</f>
        <v>-</v>
      </c>
      <c r="AJ39" s="45" t="str">
        <f>Português!AJ39</f>
        <v>-</v>
      </c>
      <c r="AK39" s="45" t="str">
        <f>Português!AK39</f>
        <v>-</v>
      </c>
      <c r="AL39" s="45" t="str">
        <f>Português!AL39</f>
        <v>-</v>
      </c>
      <c r="AM39" s="45" t="str">
        <f>Português!AM39</f>
        <v>-</v>
      </c>
      <c r="AN39" s="45" t="str">
        <f>Português!AN39</f>
        <v>-</v>
      </c>
      <c r="AO39" s="45" t="str">
        <f>Português!AO39</f>
        <v>-</v>
      </c>
      <c r="AP39" s="45" t="str">
        <f>Português!AP39</f>
        <v>-</v>
      </c>
      <c r="AQ39" s="45" t="str">
        <f>Português!AQ39</f>
        <v>-</v>
      </c>
      <c r="AR39" s="45" t="str">
        <f>Português!AR39</f>
        <v>-</v>
      </c>
      <c r="AS39" s="19"/>
    </row>
    <row r="40" spans="2:45">
      <c r="AK40" s="13"/>
      <c r="AL40" s="13"/>
      <c r="AM40" s="13"/>
      <c r="AN40" s="13"/>
      <c r="AO40" s="41"/>
      <c r="AP40" s="41"/>
      <c r="AQ40" s="41"/>
      <c r="AR40" s="41"/>
      <c r="AS40" s="19"/>
    </row>
    <row r="41" spans="2:45" s="13" customFormat="1" ht="13.5" outlineLevel="1">
      <c r="B41" s="6" t="s">
        <v>399</v>
      </c>
      <c r="C41" s="6" t="s">
        <v>335</v>
      </c>
      <c r="D41" s="6"/>
      <c r="E41" s="107"/>
      <c r="F41" s="107"/>
      <c r="G41" s="107"/>
      <c r="H41" s="6" t="s">
        <v>340</v>
      </c>
      <c r="I41" s="6" t="s">
        <v>341</v>
      </c>
      <c r="J41" s="6" t="s">
        <v>342</v>
      </c>
      <c r="K41" s="6" t="s">
        <v>343</v>
      </c>
      <c r="L41" s="6" t="s">
        <v>344</v>
      </c>
      <c r="M41" s="6" t="s">
        <v>345</v>
      </c>
      <c r="N41" s="6" t="s">
        <v>346</v>
      </c>
      <c r="O41" s="6" t="s">
        <v>347</v>
      </c>
      <c r="P41" s="6" t="s">
        <v>348</v>
      </c>
      <c r="Q41" s="6" t="s">
        <v>349</v>
      </c>
      <c r="R41" s="6" t="s">
        <v>350</v>
      </c>
      <c r="S41" s="6" t="s">
        <v>351</v>
      </c>
      <c r="T41" s="6" t="s">
        <v>352</v>
      </c>
      <c r="U41" s="6" t="s">
        <v>353</v>
      </c>
      <c r="V41" s="6" t="s">
        <v>354</v>
      </c>
      <c r="W41" s="6" t="s">
        <v>355</v>
      </c>
      <c r="X41" s="6" t="s">
        <v>356</v>
      </c>
      <c r="Y41" s="6" t="s">
        <v>357</v>
      </c>
      <c r="Z41" s="6" t="s">
        <v>358</v>
      </c>
      <c r="AA41" s="6" t="s">
        <v>359</v>
      </c>
      <c r="AB41" s="6" t="s">
        <v>360</v>
      </c>
      <c r="AC41" s="6" t="s">
        <v>361</v>
      </c>
      <c r="AD41" s="6" t="s">
        <v>362</v>
      </c>
      <c r="AE41" s="6" t="s">
        <v>363</v>
      </c>
      <c r="AF41" s="6" t="s">
        <v>364</v>
      </c>
      <c r="AG41" s="6" t="s">
        <v>365</v>
      </c>
      <c r="AH41" s="6" t="s">
        <v>366</v>
      </c>
      <c r="AI41" s="6" t="s">
        <v>367</v>
      </c>
      <c r="AJ41" s="6" t="s">
        <v>368</v>
      </c>
      <c r="AK41" s="6" t="s">
        <v>369</v>
      </c>
      <c r="AL41" s="6" t="s">
        <v>370</v>
      </c>
      <c r="AM41" s="6" t="s">
        <v>371</v>
      </c>
      <c r="AN41" s="6" t="s">
        <v>372</v>
      </c>
      <c r="AO41" s="6" t="s">
        <v>373</v>
      </c>
      <c r="AP41" s="6" t="s">
        <v>374</v>
      </c>
      <c r="AQ41" s="6" t="s">
        <v>375</v>
      </c>
      <c r="AR41" s="6" t="s">
        <v>629</v>
      </c>
      <c r="AS41" s="19"/>
    </row>
    <row r="42" spans="2:45" s="13" customFormat="1" ht="13.5" outlineLevel="1">
      <c r="B42" s="40" t="s">
        <v>400</v>
      </c>
      <c r="C42" s="2" t="s">
        <v>390</v>
      </c>
      <c r="D42" s="41"/>
      <c r="E42" s="41"/>
      <c r="F42" s="41"/>
      <c r="G42" s="41"/>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6">
        <f>Português!AF42</f>
        <v>3439.7</v>
      </c>
      <c r="AG42" s="46">
        <f>Português!AG42</f>
        <v>3625.9830000000002</v>
      </c>
      <c r="AH42" s="46">
        <f>Português!AH42</f>
        <v>3747.2</v>
      </c>
      <c r="AI42" s="46">
        <f>Português!AI42</f>
        <v>4071.4870000000001</v>
      </c>
      <c r="AJ42" s="46">
        <f>Português!AJ42</f>
        <v>4105.1652308599996</v>
      </c>
      <c r="AK42" s="46">
        <f>Português!AK42</f>
        <v>4333.6220000000003</v>
      </c>
      <c r="AL42" s="46">
        <f>Português!AL42</f>
        <v>4372.71</v>
      </c>
      <c r="AM42" s="46">
        <f>Português!AM42</f>
        <v>4357.4939999999997</v>
      </c>
      <c r="AN42" s="46">
        <f>Português!AN42</f>
        <v>4394.9610000000002</v>
      </c>
      <c r="AO42" s="46">
        <f>Português!AO42</f>
        <v>4442.866</v>
      </c>
      <c r="AP42" s="46">
        <f>Português!AP42</f>
        <v>4646.1379999999999</v>
      </c>
      <c r="AQ42" s="46">
        <f>Português!AQ42</f>
        <v>4460.0959999999995</v>
      </c>
      <c r="AR42" s="46">
        <f>Português!AR42</f>
        <v>4580.0079999999998</v>
      </c>
      <c r="AS42" s="19"/>
    </row>
    <row r="43" spans="2:45" s="13" customFormat="1" ht="13.5" outlineLevel="1">
      <c r="B43" s="40" t="s">
        <v>401</v>
      </c>
      <c r="C43" s="2" t="s">
        <v>390</v>
      </c>
      <c r="D43" s="41"/>
      <c r="E43" s="41"/>
      <c r="F43" s="41"/>
      <c r="G43" s="41"/>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7">
        <f t="shared" ref="AF43:AO43" si="8">SUM(AF44:AF49)</f>
        <v>4011.4370000000013</v>
      </c>
      <c r="AG43" s="47">
        <f t="shared" si="8"/>
        <v>4568.3690000000006</v>
      </c>
      <c r="AH43" s="47">
        <f t="shared" si="8"/>
        <v>4816.5329999999994</v>
      </c>
      <c r="AI43" s="47">
        <f t="shared" si="8"/>
        <v>5484.1410000000005</v>
      </c>
      <c r="AJ43" s="47">
        <f t="shared" si="8"/>
        <v>6028.3494939800012</v>
      </c>
      <c r="AK43" s="47">
        <f t="shared" si="8"/>
        <v>7470.4839999999995</v>
      </c>
      <c r="AL43" s="47">
        <f t="shared" si="8"/>
        <v>7789.9979999999978</v>
      </c>
      <c r="AM43" s="47">
        <f t="shared" si="8"/>
        <v>8993.1790000000037</v>
      </c>
      <c r="AN43" s="47">
        <f t="shared" si="8"/>
        <v>9391.0980000000018</v>
      </c>
      <c r="AO43" s="47">
        <f t="shared" si="8"/>
        <v>9427.7000000000007</v>
      </c>
      <c r="AP43" s="47">
        <f>SUM(AP44:AP49)</f>
        <v>9854.8490000000038</v>
      </c>
      <c r="AQ43" s="47">
        <f>SUM(AQ44:AQ49)</f>
        <v>9924.8009999999977</v>
      </c>
      <c r="AR43" s="47">
        <f>SUM(AR44:AR49)</f>
        <v>9894.0139999999992</v>
      </c>
      <c r="AS43" s="19"/>
    </row>
    <row r="44" spans="2:45" s="13" customFormat="1" ht="13.5" outlineLevel="1">
      <c r="B44" s="13" t="s">
        <v>402</v>
      </c>
      <c r="C44" s="1" t="s">
        <v>390</v>
      </c>
      <c r="D44" s="41"/>
      <c r="E44" s="41"/>
      <c r="F44" s="41"/>
      <c r="G44" s="41"/>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7">
        <f>Português!AF44</f>
        <v>17838.061000000002</v>
      </c>
      <c r="AG44" s="47">
        <f>Português!AG44</f>
        <v>18281.607</v>
      </c>
      <c r="AH44" s="47">
        <f>Português!AH44</f>
        <v>18436.3</v>
      </c>
      <c r="AI44" s="47">
        <f>Português!AI44</f>
        <v>21269.168000000001</v>
      </c>
      <c r="AJ44" s="47">
        <f>Português!AJ44</f>
        <v>21700.61819642</v>
      </c>
      <c r="AK44" s="47">
        <f>Português!AK44</f>
        <v>26366.806</v>
      </c>
      <c r="AL44" s="47">
        <f>Português!AL44</f>
        <v>26615.335999999999</v>
      </c>
      <c r="AM44" s="47">
        <f>Português!AM44</f>
        <v>30030.722000000002</v>
      </c>
      <c r="AN44" s="47">
        <f>Português!AN44</f>
        <v>30369.210999999999</v>
      </c>
      <c r="AO44" s="47">
        <f>Português!AO44</f>
        <v>30294.735000000001</v>
      </c>
      <c r="AP44" s="47">
        <f>Português!AP44</f>
        <v>30871.064999999999</v>
      </c>
      <c r="AQ44" s="47">
        <f>Português!AQ44</f>
        <v>31058.001</v>
      </c>
      <c r="AR44" s="47">
        <f>Português!AR44</f>
        <v>31185.580999999998</v>
      </c>
      <c r="AS44" s="19"/>
    </row>
    <row r="45" spans="2:45" s="13" customFormat="1" ht="13.5" outlineLevel="1">
      <c r="B45" s="13" t="s">
        <v>403</v>
      </c>
      <c r="C45" s="1" t="s">
        <v>390</v>
      </c>
      <c r="D45" s="41"/>
      <c r="E45" s="41"/>
      <c r="F45" s="41"/>
      <c r="G45" s="41"/>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7">
        <f>Português!AF45</f>
        <v>-9097.6180000000004</v>
      </c>
      <c r="AG45" s="47">
        <f>Português!AG45</f>
        <v>-9011.2549999999992</v>
      </c>
      <c r="AH45" s="47">
        <f>Português!AH45</f>
        <v>-9158.8040000000001</v>
      </c>
      <c r="AI45" s="47">
        <f>Português!AI45</f>
        <v>-11439.205</v>
      </c>
      <c r="AJ45" s="47">
        <f>Português!AJ45</f>
        <v>-11304.01618067</v>
      </c>
      <c r="AK45" s="47">
        <f>Português!AK45</f>
        <v>-11328.993</v>
      </c>
      <c r="AL45" s="47">
        <f>Português!AL45</f>
        <v>-11259.003000000001</v>
      </c>
      <c r="AM45" s="47">
        <f>Português!AM45</f>
        <v>-11680.093999999999</v>
      </c>
      <c r="AN45" s="47">
        <f>Português!AN45</f>
        <v>-11587.15</v>
      </c>
      <c r="AO45" s="47">
        <f>Português!AO45</f>
        <v>-11464.405000000001</v>
      </c>
      <c r="AP45" s="47">
        <f>Português!AP45</f>
        <v>-11336.236999999999</v>
      </c>
      <c r="AQ45" s="47">
        <f>Português!AQ45</f>
        <v>-11625.53</v>
      </c>
      <c r="AR45" s="47">
        <f>Português!AR45</f>
        <v>-11615.249</v>
      </c>
      <c r="AS45" s="19"/>
    </row>
    <row r="46" spans="2:45" s="13" customFormat="1" outlineLevel="1">
      <c r="B46" s="13" t="s">
        <v>404</v>
      </c>
      <c r="C46" s="1" t="s">
        <v>390</v>
      </c>
      <c r="D46" s="41"/>
      <c r="E46" s="41"/>
      <c r="F46" s="41"/>
      <c r="G46" s="41"/>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6">
        <f>Português!AF46</f>
        <v>-3375.8310000000001</v>
      </c>
      <c r="AG46" s="46">
        <f>Português!AG46</f>
        <v>-3301.6970000000001</v>
      </c>
      <c r="AH46" s="46">
        <f>Português!AH46</f>
        <v>-3077.817</v>
      </c>
      <c r="AI46" s="46">
        <f>Português!AI46</f>
        <v>-3076.6559999999999</v>
      </c>
      <c r="AJ46" s="46">
        <f>Português!AJ46</f>
        <v>-3089.5085217699998</v>
      </c>
      <c r="AK46" s="46">
        <f>Português!AK46</f>
        <v>-6307.0649999999996</v>
      </c>
      <c r="AL46" s="46">
        <f>Português!AL46</f>
        <v>-6317.79</v>
      </c>
      <c r="AM46" s="46">
        <f>Português!AM46</f>
        <v>-7897.933</v>
      </c>
      <c r="AN46" s="46">
        <f>Português!AN46</f>
        <v>-7911.29</v>
      </c>
      <c r="AO46" s="46">
        <f>Português!AO46</f>
        <v>-7935.85</v>
      </c>
      <c r="AP46" s="46">
        <f>Português!AP46</f>
        <v>-7947.0649999999996</v>
      </c>
      <c r="AQ46" s="46">
        <f>Português!AQ46</f>
        <v>-7921.8459999999995</v>
      </c>
      <c r="AR46" s="46">
        <f>Português!AR46</f>
        <v>-7959.0159999999996</v>
      </c>
      <c r="AS46" s="19"/>
    </row>
    <row r="47" spans="2:45" s="13" customFormat="1" outlineLevel="1">
      <c r="B47" s="13" t="s">
        <v>405</v>
      </c>
      <c r="C47" s="1" t="s">
        <v>390</v>
      </c>
      <c r="D47" s="41"/>
      <c r="E47" s="41"/>
      <c r="F47" s="41"/>
      <c r="G47" s="41"/>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6">
        <f>Português!AF47</f>
        <v>-735.13400000000001</v>
      </c>
      <c r="AG47" s="46">
        <f>Português!AG47</f>
        <v>-755.01400000000001</v>
      </c>
      <c r="AH47" s="46">
        <f>Português!AH47</f>
        <v>-724.84199999999998</v>
      </c>
      <c r="AI47" s="46">
        <f>Português!AI47</f>
        <v>-688.971</v>
      </c>
      <c r="AJ47" s="46">
        <f>Português!AJ47</f>
        <v>-650.62400000000002</v>
      </c>
      <c r="AK47" s="46">
        <f>Português!AK47</f>
        <v>-658.52700000000004</v>
      </c>
      <c r="AL47" s="46">
        <f>Português!AL47</f>
        <v>-677.52700000000004</v>
      </c>
      <c r="AM47" s="46">
        <f>Português!AM47</f>
        <v>-704.88900000000001</v>
      </c>
      <c r="AN47" s="46">
        <f>Português!AN47</f>
        <v>-706.48699999999997</v>
      </c>
      <c r="AO47" s="46">
        <f>Português!AO47</f>
        <v>-734.05700000000002</v>
      </c>
      <c r="AP47" s="46">
        <f>Português!AP47</f>
        <v>-740.61199999999997</v>
      </c>
      <c r="AQ47" s="46">
        <f>Português!AQ47</f>
        <v>-731.68899999999996</v>
      </c>
      <c r="AR47" s="46">
        <f>Português!AR47</f>
        <v>-792.92600000000004</v>
      </c>
      <c r="AS47" s="19"/>
    </row>
    <row r="48" spans="2:45" s="13" customFormat="1" outlineLevel="1">
      <c r="B48" s="13" t="s">
        <v>406</v>
      </c>
      <c r="C48" s="1" t="s">
        <v>390</v>
      </c>
      <c r="D48" s="41"/>
      <c r="E48" s="41"/>
      <c r="F48" s="41"/>
      <c r="G48" s="41"/>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6">
        <f>Português!AF48</f>
        <v>-549.14599999999996</v>
      </c>
      <c r="AG48" s="46">
        <f>Português!AG48</f>
        <v>-507.67500000000001</v>
      </c>
      <c r="AH48" s="46">
        <f>Português!AH48</f>
        <v>-581.77200000000005</v>
      </c>
      <c r="AI48" s="46">
        <f>Português!AI48</f>
        <v>-480.01499999999999</v>
      </c>
      <c r="AJ48" s="46">
        <f>Português!AJ48</f>
        <v>-502.74700000000001</v>
      </c>
      <c r="AK48" s="46">
        <f>Português!AK48</f>
        <v>-479.548</v>
      </c>
      <c r="AL48" s="46">
        <f>Português!AL48</f>
        <v>-459.82499999999999</v>
      </c>
      <c r="AM48" s="46">
        <f>Português!AM48</f>
        <v>-648.20600000000002</v>
      </c>
      <c r="AN48" s="46">
        <f>Português!AN48</f>
        <v>-626.19500000000005</v>
      </c>
      <c r="AO48" s="46">
        <f>Português!AO48</f>
        <v>-605.20899999999995</v>
      </c>
      <c r="AP48" s="46">
        <f>Português!AP48</f>
        <v>-823.55100000000004</v>
      </c>
      <c r="AQ48" s="46">
        <f>Português!AQ48</f>
        <v>-692.38400000000001</v>
      </c>
      <c r="AR48" s="46">
        <f>Português!AR48</f>
        <v>-690.56500000000005</v>
      </c>
      <c r="AS48" s="19"/>
    </row>
    <row r="49" spans="1:55" s="13" customFormat="1" outlineLevel="1">
      <c r="B49" s="13" t="s">
        <v>407</v>
      </c>
      <c r="C49" s="1" t="s">
        <v>390</v>
      </c>
      <c r="D49" s="41"/>
      <c r="E49" s="41"/>
      <c r="F49" s="41"/>
      <c r="G49" s="41"/>
      <c r="H49" s="44"/>
      <c r="I49" s="44"/>
      <c r="J49" s="44"/>
      <c r="K49" s="44"/>
      <c r="L49" s="44"/>
      <c r="M49" s="44"/>
      <c r="N49" s="44"/>
      <c r="O49" s="44"/>
      <c r="P49" s="44"/>
      <c r="Q49" s="44"/>
      <c r="R49" s="44"/>
      <c r="S49" s="44"/>
      <c r="T49" s="44"/>
      <c r="U49" s="44"/>
      <c r="V49" s="44"/>
      <c r="W49" s="44"/>
      <c r="X49" s="44"/>
      <c r="Y49" s="44"/>
      <c r="Z49" s="44"/>
      <c r="AA49" s="44"/>
      <c r="AB49" s="44"/>
      <c r="AC49" s="44"/>
      <c r="AD49" s="44"/>
      <c r="AE49" s="44"/>
      <c r="AF49" s="33">
        <f>Português!AF49</f>
        <v>-68.894999999999996</v>
      </c>
      <c r="AG49" s="33">
        <f>Português!AG49</f>
        <v>-137.59700000000001</v>
      </c>
      <c r="AH49" s="33">
        <f>Português!AH49</f>
        <v>-76.531999999999996</v>
      </c>
      <c r="AI49" s="33">
        <f>Português!AI49</f>
        <v>-100.18</v>
      </c>
      <c r="AJ49" s="33">
        <f>Português!AJ49</f>
        <v>-125.373</v>
      </c>
      <c r="AK49" s="33">
        <f>Português!AK49</f>
        <v>-122.18899999999999</v>
      </c>
      <c r="AL49" s="33">
        <f>Português!AL49</f>
        <v>-111.193</v>
      </c>
      <c r="AM49" s="33">
        <f>Português!AM49</f>
        <v>-106.42100000000001</v>
      </c>
      <c r="AN49" s="33">
        <f>Português!AN49</f>
        <v>-146.99100000000001</v>
      </c>
      <c r="AO49" s="33">
        <f>Português!AO49</f>
        <v>-127.514</v>
      </c>
      <c r="AP49" s="33">
        <f>Português!AP49</f>
        <v>-168.751</v>
      </c>
      <c r="AQ49" s="33">
        <f>Português!AQ49</f>
        <v>-161.751</v>
      </c>
      <c r="AR49" s="33">
        <f>Português!AR49</f>
        <v>-233.81100000000001</v>
      </c>
      <c r="AS49" s="19"/>
    </row>
    <row r="50" spans="1:55" s="13" customFormat="1" ht="13.5" outlineLevel="1">
      <c r="B50" s="40" t="s">
        <v>408</v>
      </c>
      <c r="C50" s="2" t="s">
        <v>390</v>
      </c>
      <c r="D50" s="41"/>
      <c r="E50" s="41"/>
      <c r="F50" s="41"/>
      <c r="G50" s="41"/>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7">
        <f t="shared" ref="AF50:AO50" si="9">AF43-AF42</f>
        <v>571.73700000000144</v>
      </c>
      <c r="AG50" s="47">
        <f t="shared" si="9"/>
        <v>942.38600000000042</v>
      </c>
      <c r="AH50" s="47">
        <f t="shared" si="9"/>
        <v>1069.3329999999996</v>
      </c>
      <c r="AI50" s="47">
        <f t="shared" si="9"/>
        <v>1412.6540000000005</v>
      </c>
      <c r="AJ50" s="47">
        <f t="shared" si="9"/>
        <v>1923.1842631200016</v>
      </c>
      <c r="AK50" s="47">
        <f t="shared" si="9"/>
        <v>3136.8619999999992</v>
      </c>
      <c r="AL50" s="47">
        <f t="shared" si="9"/>
        <v>3417.2879999999977</v>
      </c>
      <c r="AM50" s="47">
        <f t="shared" si="9"/>
        <v>4635.685000000004</v>
      </c>
      <c r="AN50" s="47">
        <f t="shared" si="9"/>
        <v>4996.1370000000015</v>
      </c>
      <c r="AO50" s="47">
        <f t="shared" si="9"/>
        <v>4984.8340000000007</v>
      </c>
      <c r="AP50" s="47">
        <f>AP43-AP42</f>
        <v>5208.7110000000039</v>
      </c>
      <c r="AQ50" s="47">
        <f>AQ43-AQ42</f>
        <v>5464.7049999999981</v>
      </c>
      <c r="AR50" s="47">
        <f>AR43-AR42</f>
        <v>5314.0059999999994</v>
      </c>
      <c r="AS50" s="19"/>
    </row>
    <row r="51" spans="1:55" ht="13.5">
      <c r="AK51" s="13"/>
      <c r="AL51" s="13"/>
      <c r="AM51" s="13"/>
      <c r="AN51" s="13"/>
      <c r="AO51" s="52"/>
      <c r="AP51" s="52"/>
      <c r="AQ51" s="52"/>
      <c r="AR51" s="52"/>
      <c r="AS51" s="19"/>
      <c r="AX51" s="13"/>
      <c r="AY51" s="13"/>
      <c r="AZ51" s="13"/>
    </row>
    <row r="52" spans="1:55" s="5" customFormat="1" ht="13.5">
      <c r="A52" s="102"/>
      <c r="B52" s="4" t="s">
        <v>409</v>
      </c>
      <c r="AK52" s="13"/>
      <c r="AL52" s="13"/>
      <c r="AM52" s="13"/>
      <c r="AN52" s="13"/>
      <c r="AS52" s="19"/>
      <c r="AX52" s="102"/>
      <c r="AY52" s="102"/>
      <c r="AZ52" s="102"/>
    </row>
    <row r="53" spans="1:55" ht="27" customHeight="1" outlineLevel="1">
      <c r="B53" s="6" t="s">
        <v>10</v>
      </c>
      <c r="C53" s="6" t="s">
        <v>335</v>
      </c>
      <c r="D53" s="6" t="s">
        <v>336</v>
      </c>
      <c r="E53" s="6" t="s">
        <v>337</v>
      </c>
      <c r="F53" s="6" t="s">
        <v>338</v>
      </c>
      <c r="G53" s="6" t="s">
        <v>339</v>
      </c>
      <c r="H53" s="6" t="s">
        <v>340</v>
      </c>
      <c r="I53" s="6" t="s">
        <v>341</v>
      </c>
      <c r="J53" s="6" t="s">
        <v>342</v>
      </c>
      <c r="K53" s="6" t="s">
        <v>343</v>
      </c>
      <c r="L53" s="6" t="s">
        <v>344</v>
      </c>
      <c r="M53" s="6" t="s">
        <v>345</v>
      </c>
      <c r="N53" s="6" t="s">
        <v>346</v>
      </c>
      <c r="O53" s="6" t="s">
        <v>347</v>
      </c>
      <c r="P53" s="6" t="s">
        <v>410</v>
      </c>
      <c r="Q53" s="6" t="s">
        <v>349</v>
      </c>
      <c r="R53" s="6" t="s">
        <v>350</v>
      </c>
      <c r="S53" s="6" t="s">
        <v>351</v>
      </c>
      <c r="T53" s="6" t="s">
        <v>352</v>
      </c>
      <c r="U53" s="6" t="s">
        <v>353</v>
      </c>
      <c r="V53" s="6" t="s">
        <v>354</v>
      </c>
      <c r="W53" s="6" t="s">
        <v>355</v>
      </c>
      <c r="X53" s="6" t="s">
        <v>356</v>
      </c>
      <c r="Y53" s="6" t="s">
        <v>357</v>
      </c>
      <c r="Z53" s="6" t="s">
        <v>358</v>
      </c>
      <c r="AA53" s="6" t="s">
        <v>359</v>
      </c>
      <c r="AB53" s="6" t="s">
        <v>360</v>
      </c>
      <c r="AC53" s="6" t="s">
        <v>361</v>
      </c>
      <c r="AD53" s="6" t="s">
        <v>362</v>
      </c>
      <c r="AE53" s="6" t="s">
        <v>363</v>
      </c>
      <c r="AF53" s="6" t="s">
        <v>411</v>
      </c>
      <c r="AG53" s="6" t="s">
        <v>412</v>
      </c>
      <c r="AH53" s="6" t="s">
        <v>413</v>
      </c>
      <c r="AI53" s="6" t="s">
        <v>414</v>
      </c>
      <c r="AJ53" s="6" t="s">
        <v>368</v>
      </c>
      <c r="AK53" s="6" t="s">
        <v>369</v>
      </c>
      <c r="AL53" s="6" t="s">
        <v>370</v>
      </c>
      <c r="AM53" s="6" t="s">
        <v>371</v>
      </c>
      <c r="AN53" s="6" t="s">
        <v>372</v>
      </c>
      <c r="AO53" s="6" t="s">
        <v>373</v>
      </c>
      <c r="AP53" s="6" t="s">
        <v>374</v>
      </c>
      <c r="AQ53" s="6" t="s">
        <v>375</v>
      </c>
      <c r="AR53" s="6" t="s">
        <v>629</v>
      </c>
      <c r="AS53" s="19"/>
      <c r="AT53" s="6">
        <v>2017</v>
      </c>
      <c r="AU53" s="6">
        <v>2018</v>
      </c>
      <c r="AV53" s="6">
        <v>2019</v>
      </c>
      <c r="AW53" s="6">
        <v>2020</v>
      </c>
      <c r="AX53" s="6">
        <v>2021</v>
      </c>
      <c r="AY53" s="6">
        <v>2022</v>
      </c>
      <c r="AZ53" s="101" t="s">
        <v>415</v>
      </c>
      <c r="BA53" s="6">
        <v>2024</v>
      </c>
      <c r="BB53" s="7">
        <v>2025</v>
      </c>
    </row>
    <row r="54" spans="1:55" outlineLevel="1">
      <c r="B54" s="18" t="s">
        <v>416</v>
      </c>
      <c r="C54" s="1" t="s">
        <v>390</v>
      </c>
      <c r="D54" s="108"/>
      <c r="E54" s="108"/>
      <c r="F54" s="108"/>
      <c r="G54" s="108"/>
      <c r="H54" s="53">
        <f>Português!H54</f>
        <v>925.57022447999975</v>
      </c>
      <c r="I54" s="53">
        <f>Português!I54</f>
        <v>965.17208590999985</v>
      </c>
      <c r="J54" s="53">
        <f>Português!J54</f>
        <v>1024.7834355700002</v>
      </c>
      <c r="K54" s="53">
        <f>Português!K54</f>
        <v>1084.2657113099999</v>
      </c>
      <c r="L54" s="53">
        <f>Português!L54</f>
        <v>1136.0940000000001</v>
      </c>
      <c r="M54" s="53">
        <f>Português!M54</f>
        <v>1160.5070000000001</v>
      </c>
      <c r="N54" s="53">
        <f>Português!N54</f>
        <v>1213.623</v>
      </c>
      <c r="O54" s="53">
        <f>Português!O54</f>
        <v>1247.9361650000001</v>
      </c>
      <c r="P54" s="53">
        <f>Português!P54</f>
        <v>1309.577</v>
      </c>
      <c r="Q54" s="53">
        <f>Português!Q54</f>
        <v>1327.9549999999999</v>
      </c>
      <c r="R54" s="53">
        <f>Português!R54</f>
        <v>1394.433</v>
      </c>
      <c r="S54" s="53">
        <f>Português!S54</f>
        <v>1845.1970000000001</v>
      </c>
      <c r="T54" s="53">
        <f>Português!T54</f>
        <v>2111.9209999999998</v>
      </c>
      <c r="U54" s="53">
        <f>Português!U54</f>
        <v>2106.0010000000002</v>
      </c>
      <c r="V54" s="53">
        <f>Português!V54</f>
        <v>2160.6750000000002</v>
      </c>
      <c r="W54" s="53">
        <f>Português!W54</f>
        <v>2315.3999999999987</v>
      </c>
      <c r="X54" s="53">
        <f>Português!X54</f>
        <v>2371.605</v>
      </c>
      <c r="Y54" s="53">
        <f>Português!Y54</f>
        <v>2442.4780000000001</v>
      </c>
      <c r="Z54" s="53">
        <f>Português!Z54</f>
        <v>2614.973</v>
      </c>
      <c r="AA54" s="53">
        <f>Português!AA54</f>
        <v>2649.393</v>
      </c>
      <c r="AB54" s="53">
        <f>Português!AB54</f>
        <v>4791.8050000000003</v>
      </c>
      <c r="AC54" s="53">
        <f>Português!AC54</f>
        <v>5981.308</v>
      </c>
      <c r="AD54" s="53">
        <f>Português!AD54</f>
        <v>6239.7240000000002</v>
      </c>
      <c r="AE54" s="53">
        <f>Português!AE54</f>
        <v>6461.8320000000003</v>
      </c>
      <c r="AF54" s="53">
        <f>Português!AF54</f>
        <v>6698.1746688000003</v>
      </c>
      <c r="AG54" s="53">
        <f>Português!AG54</f>
        <v>6851.5421982799999</v>
      </c>
      <c r="AH54" s="53">
        <f>Português!AH54</f>
        <v>6857.9958539300014</v>
      </c>
      <c r="AI54" s="53">
        <f>Português!AI54</f>
        <v>6977.7222789899997</v>
      </c>
      <c r="AJ54" s="53">
        <f>Português!AJ54</f>
        <v>7078.1850000000004</v>
      </c>
      <c r="AK54" s="53">
        <f>Português!AK54</f>
        <v>7198.2879999999996</v>
      </c>
      <c r="AL54" s="53">
        <f>Português!AL54</f>
        <v>7408.4924554800009</v>
      </c>
      <c r="AM54" s="53">
        <f>Português!AM54</f>
        <v>7601.7475445200025</v>
      </c>
      <c r="AN54" s="53">
        <f>Português!AN54</f>
        <v>7611.9579999999996</v>
      </c>
      <c r="AO54" s="53">
        <f>Português!AO54</f>
        <v>7754.2292429500003</v>
      </c>
      <c r="AP54" s="53">
        <f>Português!AP54</f>
        <v>7817.7583126600002</v>
      </c>
      <c r="AQ54" s="53">
        <f>Português!AQ54</f>
        <v>8007.0187049100014</v>
      </c>
      <c r="AR54" s="53">
        <f>Português!AR54</f>
        <v>8007.5559999999996</v>
      </c>
      <c r="AS54" s="19"/>
      <c r="AT54" s="53">
        <f>SUM(H54:K54)</f>
        <v>3999.7914572699997</v>
      </c>
      <c r="AU54" s="53">
        <f>SUM(L54:O54)</f>
        <v>4758.1601650000002</v>
      </c>
      <c r="AV54" s="53">
        <f>SUM(P54:S54)</f>
        <v>5877.1620000000003</v>
      </c>
      <c r="AW54" s="53">
        <f>SUM(T54:W54)</f>
        <v>8693.9969999999994</v>
      </c>
      <c r="AX54" s="53">
        <f>SUM(X54:AA54)</f>
        <v>10078.449000000001</v>
      </c>
      <c r="AY54" s="53">
        <f>SUM(AB54:AE54)</f>
        <v>23474.669000000002</v>
      </c>
      <c r="AZ54" s="53">
        <f>SUM(AF54:AI54)</f>
        <v>27385.435000000001</v>
      </c>
      <c r="BA54" s="53">
        <f>SUM(AJ54:AM54)</f>
        <v>29286.713000000003</v>
      </c>
      <c r="BB54" s="53">
        <f>SUM(AN54:AQ54)</f>
        <v>31190.964260520002</v>
      </c>
      <c r="BC54" s="37"/>
    </row>
    <row r="55" spans="1:55" outlineLevel="1">
      <c r="B55" s="18" t="s">
        <v>417</v>
      </c>
      <c r="C55" s="1" t="s">
        <v>390</v>
      </c>
      <c r="D55" s="108"/>
      <c r="E55" s="108"/>
      <c r="F55" s="108"/>
      <c r="G55" s="108"/>
      <c r="H55" s="53">
        <f>Português!H55</f>
        <v>2.0145319599999931</v>
      </c>
      <c r="I55" s="53">
        <f>Português!I55</f>
        <v>2.5316611400002724</v>
      </c>
      <c r="J55" s="53">
        <f>Português!J55</f>
        <v>8.3242446599997351</v>
      </c>
      <c r="K55" s="53">
        <f>Português!K55</f>
        <v>7.1004848200002462</v>
      </c>
      <c r="L55" s="53">
        <f>Português!L55</f>
        <v>3.0680000000000001</v>
      </c>
      <c r="M55" s="53">
        <f>Português!M55</f>
        <v>3.4647999999999999</v>
      </c>
      <c r="N55" s="53">
        <f>Português!N55</f>
        <v>2.0139999999999998</v>
      </c>
      <c r="O55" s="53">
        <f>Português!O55</f>
        <v>17.022500000000001</v>
      </c>
      <c r="P55" s="53">
        <f>Português!P55</f>
        <v>5.8070000000000004</v>
      </c>
      <c r="Q55" s="53">
        <f>Português!Q55</f>
        <v>4.6970000000000001</v>
      </c>
      <c r="R55" s="53">
        <f>Português!R55</f>
        <v>7.6109999999999998</v>
      </c>
      <c r="S55" s="53">
        <f>Português!S55</f>
        <v>35.9</v>
      </c>
      <c r="T55" s="53">
        <f>Português!T55</f>
        <v>76.430000000000007</v>
      </c>
      <c r="U55" s="53">
        <f>Português!U55</f>
        <v>70.878</v>
      </c>
      <c r="V55" s="53">
        <f>Português!V55</f>
        <v>80.289000000000001</v>
      </c>
      <c r="W55" s="53">
        <f>Português!W55</f>
        <v>91.343000000000004</v>
      </c>
      <c r="X55" s="53">
        <f>Português!X55</f>
        <v>83.194000000000003</v>
      </c>
      <c r="Y55" s="53">
        <f>Português!Y55</f>
        <v>92.605999999999995</v>
      </c>
      <c r="Z55" s="53">
        <f>Português!Z55</f>
        <v>100.651</v>
      </c>
      <c r="AA55" s="53">
        <f>Português!AA55</f>
        <v>85.790999999999997</v>
      </c>
      <c r="AB55" s="53">
        <f>Português!AB55</f>
        <v>286.57900000000001</v>
      </c>
      <c r="AC55" s="53">
        <f>Português!AC55</f>
        <v>371.39400000000001</v>
      </c>
      <c r="AD55" s="53">
        <f>Português!AD55</f>
        <v>386.20100000000002</v>
      </c>
      <c r="AE55" s="53">
        <f>Português!AE55</f>
        <v>358.81599999999997</v>
      </c>
      <c r="AF55" s="53">
        <f>Português!AF55</f>
        <v>361.14800000000002</v>
      </c>
      <c r="AG55" s="53">
        <f>Português!AG55</f>
        <v>339.31900000000002</v>
      </c>
      <c r="AH55" s="53">
        <f>Português!AH55</f>
        <v>349.95299999999997</v>
      </c>
      <c r="AI55" s="53">
        <f>Português!AI55</f>
        <v>267.56242378999991</v>
      </c>
      <c r="AJ55" s="53">
        <f>Português!AJ55</f>
        <v>218.46700000000001</v>
      </c>
      <c r="AK55" s="53">
        <f>Português!AK55</f>
        <v>246.80699999999999</v>
      </c>
      <c r="AL55" s="53">
        <f>Português!AL55</f>
        <v>243.48999999999998</v>
      </c>
      <c r="AM55" s="53">
        <f>Português!AM55</f>
        <v>220.85400000000007</v>
      </c>
      <c r="AN55" s="53">
        <f>Português!AN55</f>
        <v>222.36699999999999</v>
      </c>
      <c r="AO55" s="53">
        <f>Português!AO55</f>
        <v>217.02272963999997</v>
      </c>
      <c r="AP55" s="53">
        <f>Português!AP55</f>
        <v>226.86099999999999</v>
      </c>
      <c r="AQ55" s="53">
        <f>Português!AQ55</f>
        <v>223.99716616000006</v>
      </c>
      <c r="AR55" s="53">
        <f>Português!AR55</f>
        <v>215.142</v>
      </c>
      <c r="AS55" s="19"/>
      <c r="AT55" s="53">
        <f>SUM(H55:K55)</f>
        <v>19.970922580000249</v>
      </c>
      <c r="AU55" s="53">
        <f>SUM(L55:O55)</f>
        <v>25.569299999999998</v>
      </c>
      <c r="AV55" s="53">
        <f>SUM(P55:S55)</f>
        <v>54.015000000000001</v>
      </c>
      <c r="AW55" s="53">
        <f>SUM(T55:W55)</f>
        <v>318.94</v>
      </c>
      <c r="AX55" s="53">
        <f>SUM(X55:AA55)</f>
        <v>362.24200000000002</v>
      </c>
      <c r="AY55" s="53">
        <f>SUM(AB55:AE55)</f>
        <v>1402.99</v>
      </c>
      <c r="AZ55" s="53">
        <f>SUM(AF55:AI55)</f>
        <v>1317.98242379</v>
      </c>
      <c r="BA55" s="53">
        <f t="shared" ref="BA55:BA64" si="10">SUM(AJ55:AM55)</f>
        <v>929.61800000000005</v>
      </c>
      <c r="BB55" s="53">
        <f t="shared" ref="BB55:BB64" si="11">SUM(AN55:AQ55)</f>
        <v>890.24789579999992</v>
      </c>
      <c r="BC55" s="37"/>
    </row>
    <row r="56" spans="1:55" outlineLevel="1">
      <c r="B56" s="18" t="s">
        <v>418</v>
      </c>
      <c r="C56" s="1" t="s">
        <v>390</v>
      </c>
      <c r="D56" s="108"/>
      <c r="E56" s="108"/>
      <c r="F56" s="108"/>
      <c r="G56" s="108"/>
      <c r="H56" s="53">
        <f>Português!H56</f>
        <v>-39.811618499999994</v>
      </c>
      <c r="I56" s="53">
        <f>Português!I56</f>
        <v>-40.970793260000022</v>
      </c>
      <c r="J56" s="53">
        <f>Português!J56</f>
        <v>-43.416113939999988</v>
      </c>
      <c r="K56" s="53">
        <f>Português!K56</f>
        <v>-47.583718340000019</v>
      </c>
      <c r="L56" s="53">
        <f>Português!L56</f>
        <v>-49.290399999999998</v>
      </c>
      <c r="M56" s="53">
        <f>Português!M56</f>
        <v>-53.022799999999997</v>
      </c>
      <c r="N56" s="53">
        <f>Português!N56</f>
        <v>-51.902000000000001</v>
      </c>
      <c r="O56" s="53">
        <f>Português!O56</f>
        <v>-53.616</v>
      </c>
      <c r="P56" s="53">
        <f>Português!P56</f>
        <v>-58.384</v>
      </c>
      <c r="Q56" s="53">
        <f>Português!Q56</f>
        <v>-56.395000000000003</v>
      </c>
      <c r="R56" s="53">
        <f>Português!R56</f>
        <v>-86.272999999999996</v>
      </c>
      <c r="S56" s="53">
        <f>Português!S56</f>
        <v>-95.741999999999962</v>
      </c>
      <c r="T56" s="53">
        <f>Português!T56</f>
        <v>-109.563</v>
      </c>
      <c r="U56" s="53">
        <f>Português!U56</f>
        <v>-100.581</v>
      </c>
      <c r="V56" s="53">
        <f>Português!V56</f>
        <v>-114.584</v>
      </c>
      <c r="W56" s="53">
        <f>Português!W56</f>
        <v>-133.24799999999999</v>
      </c>
      <c r="X56" s="53">
        <f>Português!X56</f>
        <v>-131.64599999999999</v>
      </c>
      <c r="Y56" s="53">
        <f>Português!Y56</f>
        <v>-132.64099999999999</v>
      </c>
      <c r="Z56" s="53">
        <f>Português!Z56</f>
        <v>-156.74199999999999</v>
      </c>
      <c r="AA56" s="53">
        <f>Português!AA56</f>
        <v>-136.27699999999999</v>
      </c>
      <c r="AB56" s="53">
        <f>Português!AB56</f>
        <v>-236.86199999999999</v>
      </c>
      <c r="AC56" s="53">
        <f>Português!AC56</f>
        <v>-269.08600000000001</v>
      </c>
      <c r="AD56" s="53">
        <f>Português!AD56</f>
        <v>-304.71300000000002</v>
      </c>
      <c r="AE56" s="53">
        <f>Português!AE56</f>
        <v>-318.19499999999999</v>
      </c>
      <c r="AF56" s="53">
        <f>Português!AF56</f>
        <v>-333.12900000000002</v>
      </c>
      <c r="AG56" s="53">
        <f>Português!AG56</f>
        <v>-351.03699999999998</v>
      </c>
      <c r="AH56" s="53">
        <f>Português!AH56</f>
        <v>-342.80479481999998</v>
      </c>
      <c r="AI56" s="53">
        <f>Português!AI56</f>
        <v>-310.33199999999999</v>
      </c>
      <c r="AJ56" s="53">
        <f>Português!AJ56</f>
        <v>-305.20514658000099</v>
      </c>
      <c r="AK56" s="53">
        <f>Português!AK56</f>
        <v>-294.69548136000003</v>
      </c>
      <c r="AL56" s="53">
        <f>Português!AL56</f>
        <v>-314.22300000000001</v>
      </c>
      <c r="AM56" s="53">
        <f>Português!AM56</f>
        <v>-350.15195167000002</v>
      </c>
      <c r="AN56" s="53">
        <f>Português!AN56</f>
        <v>-334.81616897999999</v>
      </c>
      <c r="AO56" s="53">
        <f>Português!AO56</f>
        <v>-297.28499999999997</v>
      </c>
      <c r="AP56" s="53">
        <f>Português!AP56</f>
        <v>-269.69238449000005</v>
      </c>
      <c r="AQ56" s="53">
        <f>Português!AQ56</f>
        <v>-316.16312642999998</v>
      </c>
      <c r="AR56" s="53">
        <f>Português!AR56</f>
        <v>-330.22800000000001</v>
      </c>
      <c r="AS56" s="19"/>
      <c r="AT56" s="53">
        <f>SUM(H56:K56)</f>
        <v>-171.78224404000002</v>
      </c>
      <c r="AU56" s="53">
        <f>SUM(L56:O56)</f>
        <v>-207.83119999999997</v>
      </c>
      <c r="AV56" s="53">
        <f>SUM(P56:S56)</f>
        <v>-296.79399999999998</v>
      </c>
      <c r="AW56" s="53">
        <f>SUM(T56:W56)</f>
        <v>-457.976</v>
      </c>
      <c r="AX56" s="53">
        <f>SUM(X56:AA56)</f>
        <v>-557.30600000000004</v>
      </c>
      <c r="AY56" s="53">
        <f>SUM(AB56:AE56)</f>
        <v>-1128.856</v>
      </c>
      <c r="AZ56" s="53">
        <f>SUM(AF56:AI56)</f>
        <v>-1337.3027948199997</v>
      </c>
      <c r="BA56" s="53">
        <f t="shared" si="10"/>
        <v>-1264.2755796100009</v>
      </c>
      <c r="BB56" s="53">
        <f t="shared" si="11"/>
        <v>-1217.9566798999999</v>
      </c>
      <c r="BC56" s="37"/>
    </row>
    <row r="57" spans="1:55" ht="13.5" outlineLevel="1">
      <c r="B57" s="56" t="s">
        <v>419</v>
      </c>
      <c r="C57" s="10" t="s">
        <v>390</v>
      </c>
      <c r="D57" s="109"/>
      <c r="E57" s="109"/>
      <c r="F57" s="109"/>
      <c r="G57" s="109"/>
      <c r="H57" s="57">
        <f t="shared" ref="H57:AO57" si="12">SUM(H54:H56)</f>
        <v>887.77313793999974</v>
      </c>
      <c r="I57" s="57">
        <f t="shared" si="12"/>
        <v>926.73295379000012</v>
      </c>
      <c r="J57" s="57">
        <f t="shared" si="12"/>
        <v>989.69156628999997</v>
      </c>
      <c r="K57" s="57">
        <f t="shared" si="12"/>
        <v>1043.78247779</v>
      </c>
      <c r="L57" s="57">
        <f t="shared" si="12"/>
        <v>1089.8715999999999</v>
      </c>
      <c r="M57" s="57">
        <f t="shared" si="12"/>
        <v>1110.9490000000001</v>
      </c>
      <c r="N57" s="57">
        <f t="shared" si="12"/>
        <v>1163.7349999999999</v>
      </c>
      <c r="O57" s="57">
        <f t="shared" si="12"/>
        <v>1211.3426650000001</v>
      </c>
      <c r="P57" s="57">
        <f t="shared" si="12"/>
        <v>1257</v>
      </c>
      <c r="Q57" s="57">
        <f t="shared" si="12"/>
        <v>1276.2569999999998</v>
      </c>
      <c r="R57" s="57">
        <f t="shared" si="12"/>
        <v>1315.7710000000002</v>
      </c>
      <c r="S57" s="57">
        <f t="shared" si="12"/>
        <v>1785.3550000000002</v>
      </c>
      <c r="T57" s="57">
        <f t="shared" si="12"/>
        <v>2078.7879999999996</v>
      </c>
      <c r="U57" s="57">
        <f t="shared" si="12"/>
        <v>2076.2980000000002</v>
      </c>
      <c r="V57" s="57">
        <f t="shared" si="12"/>
        <v>2126.3800000000006</v>
      </c>
      <c r="W57" s="57">
        <f t="shared" si="12"/>
        <v>2273.4949999999985</v>
      </c>
      <c r="X57" s="57">
        <f t="shared" si="12"/>
        <v>2323.1529999999998</v>
      </c>
      <c r="Y57" s="57">
        <f t="shared" si="12"/>
        <v>2402.4429999999998</v>
      </c>
      <c r="Z57" s="57">
        <f t="shared" si="12"/>
        <v>2558.8819999999996</v>
      </c>
      <c r="AA57" s="57">
        <f t="shared" si="12"/>
        <v>2598.9070000000002</v>
      </c>
      <c r="AB57" s="57">
        <f t="shared" si="12"/>
        <v>4841.5219999999999</v>
      </c>
      <c r="AC57" s="57">
        <f t="shared" si="12"/>
        <v>6083.616</v>
      </c>
      <c r="AD57" s="57">
        <f t="shared" si="12"/>
        <v>6321.2120000000004</v>
      </c>
      <c r="AE57" s="57">
        <f t="shared" si="12"/>
        <v>6502.4530000000004</v>
      </c>
      <c r="AF57" s="57">
        <f t="shared" si="12"/>
        <v>6726.1936688000005</v>
      </c>
      <c r="AG57" s="57">
        <f t="shared" si="12"/>
        <v>6839.82419828</v>
      </c>
      <c r="AH57" s="57">
        <f t="shared" si="12"/>
        <v>6865.1440591100018</v>
      </c>
      <c r="AI57" s="57">
        <f t="shared" si="12"/>
        <v>6934.9527027799995</v>
      </c>
      <c r="AJ57" s="57">
        <f t="shared" si="12"/>
        <v>6991.4468534199987</v>
      </c>
      <c r="AK57" s="57">
        <f t="shared" si="12"/>
        <v>7150.3995186399989</v>
      </c>
      <c r="AL57" s="57">
        <f t="shared" si="12"/>
        <v>7337.7594554800007</v>
      </c>
      <c r="AM57" s="57">
        <f t="shared" si="12"/>
        <v>7472.4495928500028</v>
      </c>
      <c r="AN57" s="57">
        <f t="shared" si="12"/>
        <v>7499.5088310199999</v>
      </c>
      <c r="AO57" s="57">
        <f t="shared" si="12"/>
        <v>7673.9669725900003</v>
      </c>
      <c r="AP57" s="57">
        <f>SUM(AP54:AP56)</f>
        <v>7774.9269281699999</v>
      </c>
      <c r="AQ57" s="57">
        <f>SUM(AQ54:AQ56)</f>
        <v>7914.8527446400012</v>
      </c>
      <c r="AR57" s="57">
        <f>SUM(AR54:AR56)</f>
        <v>7892.47</v>
      </c>
      <c r="AS57" s="19"/>
      <c r="AT57" s="57">
        <f t="shared" ref="AT57:AZ57" si="13">SUM(AT54:AT56)</f>
        <v>3847.9801358099999</v>
      </c>
      <c r="AU57" s="57">
        <f t="shared" si="13"/>
        <v>4575.8982650000007</v>
      </c>
      <c r="AV57" s="57">
        <f t="shared" si="13"/>
        <v>5634.3830000000007</v>
      </c>
      <c r="AW57" s="57">
        <f t="shared" si="13"/>
        <v>8554.9609999999993</v>
      </c>
      <c r="AX57" s="57">
        <f t="shared" si="13"/>
        <v>9883.3850000000002</v>
      </c>
      <c r="AY57" s="57">
        <f t="shared" si="13"/>
        <v>23748.803000000004</v>
      </c>
      <c r="AZ57" s="57">
        <f t="shared" si="13"/>
        <v>27366.114628970001</v>
      </c>
      <c r="BA57" s="57">
        <f t="shared" si="10"/>
        <v>28952.055420390003</v>
      </c>
      <c r="BB57" s="57">
        <f t="shared" si="11"/>
        <v>30863.255476419999</v>
      </c>
      <c r="BC57" s="37"/>
    </row>
    <row r="58" spans="1:55" outlineLevel="1">
      <c r="B58" s="18" t="s">
        <v>420</v>
      </c>
      <c r="C58" s="1" t="s">
        <v>390</v>
      </c>
      <c r="D58" s="108"/>
      <c r="E58" s="108"/>
      <c r="F58" s="108"/>
      <c r="G58" s="108"/>
      <c r="H58" s="53">
        <f>Português!H58</f>
        <v>-499.64762231999998</v>
      </c>
      <c r="I58" s="53">
        <f>Português!I58</f>
        <v>-536.25539664999997</v>
      </c>
      <c r="J58" s="53">
        <f>Português!J58</f>
        <v>-578.32571326000004</v>
      </c>
      <c r="K58" s="53">
        <f>Português!K58</f>
        <v>-586.71933099</v>
      </c>
      <c r="L58" s="53">
        <f>Português!L58</f>
        <v>-592.32359873999997</v>
      </c>
      <c r="M58" s="53">
        <f>Português!M58</f>
        <v>-659.25800000000004</v>
      </c>
      <c r="N58" s="53">
        <f>Português!N58</f>
        <v>-707.46199999999999</v>
      </c>
      <c r="O58" s="53">
        <f>Português!O58</f>
        <v>-710.60400000000004</v>
      </c>
      <c r="P58" s="53">
        <f>Português!P58</f>
        <v>-694.80799999999999</v>
      </c>
      <c r="Q58" s="53">
        <f>Português!Q58</f>
        <v>-728.23</v>
      </c>
      <c r="R58" s="53">
        <f>Português!R58</f>
        <v>-798.96</v>
      </c>
      <c r="S58" s="53">
        <f>Português!S58</f>
        <v>-1013.338</v>
      </c>
      <c r="T58" s="53">
        <f>Português!T58</f>
        <v>-1160.664</v>
      </c>
      <c r="U58" s="53">
        <f>Português!U58</f>
        <v>-1088.537</v>
      </c>
      <c r="V58" s="53">
        <f>Português!V58</f>
        <v>-1226.9849999999999</v>
      </c>
      <c r="W58" s="53">
        <f>Português!W58</f>
        <v>-1352.1369999999999</v>
      </c>
      <c r="X58" s="53">
        <f>Português!X58</f>
        <v>-1420.1270000000002</v>
      </c>
      <c r="Y58" s="53">
        <f>Português!Y58</f>
        <v>-1599.421</v>
      </c>
      <c r="Z58" s="53">
        <f>Português!Z58</f>
        <v>-1738.366</v>
      </c>
      <c r="AA58" s="53">
        <f>Português!AA58</f>
        <v>-1685.596</v>
      </c>
      <c r="AB58" s="53">
        <f>Português!AB58</f>
        <v>-3531.8690000000001</v>
      </c>
      <c r="AC58" s="53">
        <f>Português!AC58</f>
        <v>-4400.7370000000001</v>
      </c>
      <c r="AD58" s="53">
        <f>Português!AD58</f>
        <v>-4614.442</v>
      </c>
      <c r="AE58" s="53">
        <f>Português!AE58</f>
        <v>-4743.3100000000004</v>
      </c>
      <c r="AF58" s="53">
        <f>Português!AF58</f>
        <v>-4860.0332000799999</v>
      </c>
      <c r="AG58" s="53">
        <f>Português!AG58</f>
        <v>-5055.1958398319512</v>
      </c>
      <c r="AH58" s="53">
        <f>Português!AH58</f>
        <v>-4950.65816443722</v>
      </c>
      <c r="AI58" s="53">
        <f>Português!AI58</f>
        <v>-4805.5331315642761</v>
      </c>
      <c r="AJ58" s="53">
        <f>Português!AJ58</f>
        <v>-4751.3680198900001</v>
      </c>
      <c r="AK58" s="53">
        <f>Português!AK58</f>
        <v>-5037.7220694500011</v>
      </c>
      <c r="AL58" s="53">
        <f>Português!AL58</f>
        <v>-5163.5948481999985</v>
      </c>
      <c r="AM58" s="53">
        <f>Português!AM58</f>
        <v>-5073.8489246999907</v>
      </c>
      <c r="AN58" s="53">
        <f>Português!AN58</f>
        <v>-5387.6033740399998</v>
      </c>
      <c r="AO58" s="53">
        <f>Português!AO58</f>
        <v>-5672.1284005700008</v>
      </c>
      <c r="AP58" s="53">
        <f>Português!AP58</f>
        <v>-5850.1968035</v>
      </c>
      <c r="AQ58" s="53">
        <f>Português!AQ58</f>
        <v>-5972.4129615799957</v>
      </c>
      <c r="AR58" s="53">
        <f>Português!AR58</f>
        <v>-5696.9059999999999</v>
      </c>
      <c r="AS58" s="19"/>
      <c r="AT58" s="53">
        <f>SUM(H58:K58)</f>
        <v>-2200.9480632199998</v>
      </c>
      <c r="AU58" s="53">
        <f>SUM(L58:O58)</f>
        <v>-2669.6475987399999</v>
      </c>
      <c r="AV58" s="53">
        <f>SUM(P58:S58)</f>
        <v>-3235.3360000000002</v>
      </c>
      <c r="AW58" s="53">
        <f>SUM(T58:W58)</f>
        <v>-4828.3229999999994</v>
      </c>
      <c r="AX58" s="53">
        <f>SUM(X58:AA58)</f>
        <v>-6443.51</v>
      </c>
      <c r="AY58" s="53">
        <f>SUM(AB58:AE58)</f>
        <v>-17290.358</v>
      </c>
      <c r="AZ58" s="53">
        <f>SUM(AF58:AI58)</f>
        <v>-19671.420335913448</v>
      </c>
      <c r="BA58" s="53">
        <f t="shared" si="10"/>
        <v>-20026.53386223999</v>
      </c>
      <c r="BB58" s="53">
        <f t="shared" si="11"/>
        <v>-22882.341539689995</v>
      </c>
      <c r="BC58" s="37"/>
    </row>
    <row r="59" spans="1:55" outlineLevel="1">
      <c r="B59" s="18" t="s">
        <v>421</v>
      </c>
      <c r="C59" s="1" t="s">
        <v>390</v>
      </c>
      <c r="D59" s="53"/>
      <c r="E59" s="53"/>
      <c r="F59" s="53"/>
      <c r="G59" s="53"/>
      <c r="H59" s="53">
        <f>Português!H59</f>
        <v>-5.1166674900000002</v>
      </c>
      <c r="I59" s="53">
        <f>Português!I59</f>
        <v>-5.2802282900000002</v>
      </c>
      <c r="J59" s="53">
        <f>Português!J59</f>
        <v>-6.2159361000000004</v>
      </c>
      <c r="K59" s="53">
        <f>Português!K59</f>
        <v>-5.7889761000000002</v>
      </c>
      <c r="L59" s="53">
        <f>Português!L59</f>
        <v>-5.7889761000000002</v>
      </c>
      <c r="M59" s="53">
        <f>Português!M59</f>
        <v>-9.5672500199999995</v>
      </c>
      <c r="N59" s="53">
        <f>Português!N59</f>
        <v>-13.248350029999999</v>
      </c>
      <c r="O59" s="53">
        <f>Português!O59</f>
        <v>-13.249350029999999</v>
      </c>
      <c r="P59" s="53">
        <f>Português!P59</f>
        <v>0</v>
      </c>
      <c r="Q59" s="53">
        <f>Português!Q59</f>
        <v>0</v>
      </c>
      <c r="R59" s="53">
        <f>Português!R59</f>
        <v>0</v>
      </c>
      <c r="S59" s="53">
        <f>Português!S59</f>
        <v>0</v>
      </c>
      <c r="T59" s="53">
        <f>Português!T59</f>
        <v>0</v>
      </c>
      <c r="U59" s="53">
        <f>Português!U59</f>
        <v>0</v>
      </c>
      <c r="V59" s="53">
        <f>Português!V59</f>
        <v>0</v>
      </c>
      <c r="W59" s="53">
        <f>Português!W59</f>
        <v>0</v>
      </c>
      <c r="X59" s="53">
        <f>Português!X59</f>
        <v>0</v>
      </c>
      <c r="Y59" s="53">
        <f>Português!Y59</f>
        <v>0</v>
      </c>
      <c r="Z59" s="53">
        <f>Português!Z59</f>
        <v>0</v>
      </c>
      <c r="AA59" s="53">
        <f>Português!AA59</f>
        <v>0</v>
      </c>
      <c r="AB59" s="53">
        <f>Português!AB59</f>
        <v>0</v>
      </c>
      <c r="AC59" s="53">
        <f>Português!AC59</f>
        <v>0</v>
      </c>
      <c r="AD59" s="53">
        <f>Português!AD59</f>
        <v>0</v>
      </c>
      <c r="AE59" s="53">
        <f>Português!AE59</f>
        <v>0</v>
      </c>
      <c r="AF59" s="53">
        <f>Português!AF59</f>
        <v>0</v>
      </c>
      <c r="AG59" s="53">
        <f>Português!AG59</f>
        <v>0</v>
      </c>
      <c r="AH59" s="53">
        <f>Português!AH59</f>
        <v>0</v>
      </c>
      <c r="AI59" s="53">
        <f>Português!AI59</f>
        <v>0</v>
      </c>
      <c r="AJ59" s="53">
        <f>Português!AJ59</f>
        <v>0</v>
      </c>
      <c r="AK59" s="53">
        <f>Português!AK59</f>
        <v>0</v>
      </c>
      <c r="AL59" s="53">
        <f>Português!AL59</f>
        <v>0</v>
      </c>
      <c r="AM59" s="53">
        <f>Português!AM59</f>
        <v>0</v>
      </c>
      <c r="AN59" s="53">
        <f>Português!AN59</f>
        <v>0</v>
      </c>
      <c r="AO59" s="53">
        <f>Português!AO59</f>
        <v>0</v>
      </c>
      <c r="AP59" s="53">
        <f>Português!AP59</f>
        <v>0</v>
      </c>
      <c r="AQ59" s="53">
        <f>Português!AQ59</f>
        <v>0</v>
      </c>
      <c r="AR59" s="53">
        <f>Português!AR59</f>
        <v>0</v>
      </c>
      <c r="AS59" s="19"/>
      <c r="AT59" s="53">
        <f>SUM(H59:K59)</f>
        <v>-22.401807980000001</v>
      </c>
      <c r="AU59" s="53">
        <f>SUM(L59:O59)</f>
        <v>-41.853926180000002</v>
      </c>
      <c r="AV59" s="53">
        <f>SUM(P59:S59)</f>
        <v>0</v>
      </c>
      <c r="AW59" s="53">
        <f>SUM(T59:W59)</f>
        <v>0</v>
      </c>
      <c r="AX59" s="53">
        <f>SUM(X59:AA59)</f>
        <v>0</v>
      </c>
      <c r="AY59" s="53">
        <f>SUM(AB59:AE59)</f>
        <v>0</v>
      </c>
      <c r="AZ59" s="53">
        <f>SUM(AF59:AI59)</f>
        <v>0</v>
      </c>
      <c r="BA59" s="53">
        <f t="shared" si="10"/>
        <v>0</v>
      </c>
      <c r="BB59" s="53">
        <f t="shared" si="11"/>
        <v>0</v>
      </c>
      <c r="BC59" s="37"/>
    </row>
    <row r="60" spans="1:55" outlineLevel="1">
      <c r="B60" s="18" t="s">
        <v>422</v>
      </c>
      <c r="C60" s="1" t="s">
        <v>390</v>
      </c>
      <c r="D60" s="53"/>
      <c r="E60" s="53"/>
      <c r="F60" s="53"/>
      <c r="G60" s="53"/>
      <c r="H60" s="53">
        <f>Português!H60</f>
        <v>-5.1079999999999997</v>
      </c>
      <c r="I60" s="53">
        <f>Português!I60</f>
        <v>-5.5730000000000004</v>
      </c>
      <c r="J60" s="53">
        <f>Português!J60</f>
        <v>-6.5910000000000002</v>
      </c>
      <c r="K60" s="53">
        <f>Português!K60</f>
        <v>-18.29</v>
      </c>
      <c r="L60" s="53">
        <f>Português!L60</f>
        <v>-7.8579999999999997</v>
      </c>
      <c r="M60" s="53">
        <f>Português!M60</f>
        <v>-8.4849999999999994</v>
      </c>
      <c r="N60" s="53">
        <f>Português!N60</f>
        <v>-9.0150000000000006</v>
      </c>
      <c r="O60" s="53">
        <f>Português!O60</f>
        <v>-10.122</v>
      </c>
      <c r="P60" s="53">
        <f>Português!P60</f>
        <v>-19.439</v>
      </c>
      <c r="Q60" s="53">
        <f>Português!Q60</f>
        <v>-20.893000000000001</v>
      </c>
      <c r="R60" s="53">
        <f>Português!R60</f>
        <v>-24.042999999999999</v>
      </c>
      <c r="S60" s="53">
        <f>Português!S60</f>
        <v>-28.619</v>
      </c>
      <c r="T60" s="53">
        <f>Português!T60</f>
        <v>-33.216999999999999</v>
      </c>
      <c r="U60" s="53">
        <f>Português!U60</f>
        <v>-44.134</v>
      </c>
      <c r="V60" s="53">
        <f>Português!V60</f>
        <v>-37.954999999999998</v>
      </c>
      <c r="W60" s="53">
        <f>Português!W60</f>
        <v>-47.372</v>
      </c>
      <c r="X60" s="53">
        <f>Português!X60</f>
        <v>-43.155999999999999</v>
      </c>
      <c r="Y60" s="53">
        <f>Português!Y60</f>
        <v>-38.719000000000001</v>
      </c>
      <c r="Z60" s="53">
        <f>Português!Z60</f>
        <v>-53.57</v>
      </c>
      <c r="AA60" s="53">
        <f>Português!AA60</f>
        <v>-52.176000000000002</v>
      </c>
      <c r="AB60" s="53">
        <f>Português!AB60</f>
        <v>-94.186000000000007</v>
      </c>
      <c r="AC60" s="53">
        <f>Português!AC60</f>
        <v>-119.309</v>
      </c>
      <c r="AD60" s="53">
        <f>Português!AD60</f>
        <v>-124.288</v>
      </c>
      <c r="AE60" s="53">
        <f>Português!AE60</f>
        <v>-154.49340000000001</v>
      </c>
      <c r="AF60" s="53">
        <f>Português!AF60</f>
        <v>-110.51996515999998</v>
      </c>
      <c r="AG60" s="53">
        <f>Português!AG60</f>
        <v>-102.51163506999998</v>
      </c>
      <c r="AH60" s="53">
        <f>Português!AH60</f>
        <v>-105.64571368000011</v>
      </c>
      <c r="AI60" s="53">
        <f>Português!AI60</f>
        <v>-109.78993400999998</v>
      </c>
      <c r="AJ60" s="53">
        <f>Português!AJ60</f>
        <v>-112.26570794999999</v>
      </c>
      <c r="AK60" s="53">
        <f>Português!AK60</f>
        <v>-103.818</v>
      </c>
      <c r="AL60" s="53">
        <f>Português!AL60</f>
        <v>-120.91924526999995</v>
      </c>
      <c r="AM60" s="53">
        <f>Português!AM60</f>
        <v>-124.55387576000005</v>
      </c>
      <c r="AN60" s="53">
        <f>Português!AN60</f>
        <v>-136.19536947</v>
      </c>
      <c r="AO60" s="53">
        <f>Português!AO60</f>
        <v>-133.98778439999995</v>
      </c>
      <c r="AP60" s="53">
        <f>Português!AP60</f>
        <v>-143.74260111000001</v>
      </c>
      <c r="AQ60" s="53">
        <f>Português!AQ60</f>
        <v>-141.90037738999999</v>
      </c>
      <c r="AR60" s="53">
        <f>Português!AR60</f>
        <v>-163.91900000000001</v>
      </c>
      <c r="AS60" s="19"/>
      <c r="AT60" s="53">
        <f>SUM(H60:K60)</f>
        <v>-35.561999999999998</v>
      </c>
      <c r="AU60" s="53">
        <f>SUM(L60:O60)</f>
        <v>-35.480000000000004</v>
      </c>
      <c r="AV60" s="53">
        <f>SUM(P60:S60)</f>
        <v>-92.994</v>
      </c>
      <c r="AW60" s="53">
        <f>SUM(T60:W60)</f>
        <v>-162.678</v>
      </c>
      <c r="AX60" s="53">
        <f>SUM(X60:AA60)</f>
        <v>-187.62099999999998</v>
      </c>
      <c r="AY60" s="53">
        <f>SUM(AB60:AE60)</f>
        <v>-492.27640000000002</v>
      </c>
      <c r="AZ60" s="53">
        <f>SUM(AF60:AI60)</f>
        <v>-428.46724792000003</v>
      </c>
      <c r="BA60" s="53">
        <f t="shared" si="10"/>
        <v>-461.55682897999998</v>
      </c>
      <c r="BB60" s="53">
        <f t="shared" si="11"/>
        <v>-555.82613236999998</v>
      </c>
      <c r="BC60" s="37"/>
    </row>
    <row r="61" spans="1:55" outlineLevel="1">
      <c r="B61" s="18" t="s">
        <v>423</v>
      </c>
      <c r="C61" s="1" t="s">
        <v>390</v>
      </c>
      <c r="D61" s="108"/>
      <c r="E61" s="108"/>
      <c r="F61" s="108"/>
      <c r="G61" s="108"/>
      <c r="H61" s="53">
        <f>Português!H61</f>
        <v>-4.5497647900000002</v>
      </c>
      <c r="I61" s="53">
        <f>Português!I61</f>
        <v>4.4670296299999999</v>
      </c>
      <c r="J61" s="53">
        <f>Português!J61</f>
        <v>-8.0922288299999998</v>
      </c>
      <c r="K61" s="53">
        <f>Português!K61</f>
        <v>-5.9643002599999999</v>
      </c>
      <c r="L61" s="53">
        <f>Português!L61</f>
        <v>-2.6953432699999995</v>
      </c>
      <c r="M61" s="53">
        <f>Português!M61</f>
        <v>-2.8454083100000003</v>
      </c>
      <c r="N61" s="53">
        <f>Português!N61</f>
        <v>-6.9162100400000011</v>
      </c>
      <c r="O61" s="53">
        <f>Português!O61</f>
        <v>-10.111092379999999</v>
      </c>
      <c r="P61" s="53">
        <f>Português!P61</f>
        <v>-2.722</v>
      </c>
      <c r="Q61" s="53">
        <f>Português!Q61</f>
        <v>17.597000000000001</v>
      </c>
      <c r="R61" s="53">
        <f>Português!R61</f>
        <v>29.063000000000002</v>
      </c>
      <c r="S61" s="53">
        <f>Português!S61</f>
        <v>6.8929999999999998</v>
      </c>
      <c r="T61" s="53">
        <f>Português!T61</f>
        <v>-10.053000000000001</v>
      </c>
      <c r="U61" s="53">
        <f>Português!U61</f>
        <v>17.103999999999999</v>
      </c>
      <c r="V61" s="53">
        <f>Português!V61</f>
        <v>-6.0449999999999999</v>
      </c>
      <c r="W61" s="53">
        <f>Português!W61</f>
        <v>-7.1079999999999997</v>
      </c>
      <c r="X61" s="53">
        <f>Português!X61</f>
        <v>12.135</v>
      </c>
      <c r="Y61" s="53">
        <f>Português!Y61</f>
        <v>-14.567</v>
      </c>
      <c r="Z61" s="53">
        <f>Português!Z61</f>
        <v>-14.135</v>
      </c>
      <c r="AA61" s="53">
        <f>Português!AA61</f>
        <v>16.478000000000002</v>
      </c>
      <c r="AB61" s="53">
        <f>Português!AB61</f>
        <v>-15.317</v>
      </c>
      <c r="AC61" s="53">
        <f>Português!AC61</f>
        <v>6.32</v>
      </c>
      <c r="AD61" s="53">
        <f>Português!AD61</f>
        <v>5.0330000000000004</v>
      </c>
      <c r="AE61" s="53">
        <f>Português!AE61</f>
        <v>-44.092300000000002</v>
      </c>
      <c r="AF61" s="53">
        <f>Português!AF61</f>
        <v>1.757531089999995</v>
      </c>
      <c r="AG61" s="53">
        <f>Português!AG61</f>
        <v>-28.794332350000005</v>
      </c>
      <c r="AH61" s="53">
        <f>Português!AH61</f>
        <v>7.9648980700000038</v>
      </c>
      <c r="AI61" s="53">
        <f>Português!AI61</f>
        <v>41.109703269999997</v>
      </c>
      <c r="AJ61" s="53">
        <f>Português!AJ61</f>
        <v>-0.97773089000000057</v>
      </c>
      <c r="AK61" s="53">
        <f>Português!AK61</f>
        <v>37.655209170000006</v>
      </c>
      <c r="AL61" s="53">
        <f>Português!AL61</f>
        <v>-21.386609440000004</v>
      </c>
      <c r="AM61" s="53">
        <f>Português!AM61</f>
        <v>22.977060460000004</v>
      </c>
      <c r="AN61" s="53">
        <f>Português!AN61</f>
        <v>-24.047611390000007</v>
      </c>
      <c r="AO61" s="53">
        <f>Português!AO61</f>
        <v>-1.3388381399999962</v>
      </c>
      <c r="AP61" s="53">
        <f>Português!AP61</f>
        <v>-14.0438799</v>
      </c>
      <c r="AQ61" s="53">
        <f>Português!AQ61</f>
        <v>-2.6496705699999978</v>
      </c>
      <c r="AR61" s="53">
        <f>Português!AR61</f>
        <v>-33.603999999999999</v>
      </c>
      <c r="AS61" s="19"/>
      <c r="AT61" s="53">
        <f>SUM(H61:K61)</f>
        <v>-14.13926425</v>
      </c>
      <c r="AU61" s="53">
        <f>SUM(L61:O61)</f>
        <v>-22.568054</v>
      </c>
      <c r="AV61" s="53">
        <f>SUM(P61:S61)</f>
        <v>50.831000000000003</v>
      </c>
      <c r="AW61" s="53">
        <f>SUM(T61:W61)</f>
        <v>-6.1020000000000012</v>
      </c>
      <c r="AX61" s="53">
        <f>SUM(X61:AA61)</f>
        <v>-8.8999999999998636E-2</v>
      </c>
      <c r="AY61" s="53">
        <f>SUM(AB61:AE61)</f>
        <v>-48.0563</v>
      </c>
      <c r="AZ61" s="53">
        <f>SUM(AF61:AI61)</f>
        <v>22.03780007999999</v>
      </c>
      <c r="BA61" s="53">
        <f t="shared" si="10"/>
        <v>38.267929300000006</v>
      </c>
      <c r="BB61" s="53">
        <f t="shared" si="11"/>
        <v>-42.08</v>
      </c>
      <c r="BC61" s="37"/>
    </row>
    <row r="62" spans="1:55" outlineLevel="1">
      <c r="B62" s="18" t="s">
        <v>424</v>
      </c>
      <c r="C62" s="1" t="s">
        <v>390</v>
      </c>
      <c r="D62" s="108"/>
      <c r="E62" s="108"/>
      <c r="F62" s="108"/>
      <c r="G62" s="108"/>
      <c r="H62" s="53">
        <f>Português!H62</f>
        <v>-2.1546598899999996</v>
      </c>
      <c r="I62" s="53">
        <f>Português!I62</f>
        <v>-11.624850049999999</v>
      </c>
      <c r="J62" s="53">
        <f>Português!J62</f>
        <v>1.3626807799999994</v>
      </c>
      <c r="K62" s="53">
        <f>Português!K62</f>
        <v>1.1293738000000002</v>
      </c>
      <c r="L62" s="53">
        <f>Português!L62</f>
        <v>-1.0456463900000004</v>
      </c>
      <c r="M62" s="53">
        <f>Português!M62</f>
        <v>-7.4778557500000007</v>
      </c>
      <c r="N62" s="53">
        <f>Português!N62</f>
        <v>-5.0963056099999999</v>
      </c>
      <c r="O62" s="53">
        <f>Português!O62</f>
        <v>-13.346912249999999</v>
      </c>
      <c r="P62" s="53">
        <f>Português!P62</f>
        <v>-9.4420000000000002</v>
      </c>
      <c r="Q62" s="53">
        <f>Português!Q62</f>
        <v>-19.834</v>
      </c>
      <c r="R62" s="53">
        <f>Português!R62</f>
        <v>-24.638999999999999</v>
      </c>
      <c r="S62" s="53">
        <f>Português!S62</f>
        <v>-69.010999999999996</v>
      </c>
      <c r="T62" s="53">
        <f>Português!T62</f>
        <v>-75.661000000000001</v>
      </c>
      <c r="U62" s="53">
        <f>Português!U62</f>
        <v>-16.995000000000001</v>
      </c>
      <c r="V62" s="53">
        <f>Português!V62</f>
        <v>-13.461</v>
      </c>
      <c r="W62" s="53">
        <f>Português!W62</f>
        <v>-105.758</v>
      </c>
      <c r="X62" s="53">
        <f>Português!X62</f>
        <v>-70.954999999999998</v>
      </c>
      <c r="Y62" s="53">
        <f>Português!Y62</f>
        <v>-46.081000000000003</v>
      </c>
      <c r="Z62" s="53">
        <f>Português!Z62</f>
        <v>-45.1</v>
      </c>
      <c r="AA62" s="53">
        <f>Português!AA62</f>
        <v>-24.103000000000002</v>
      </c>
      <c r="AB62" s="53">
        <f>Português!AB62</f>
        <v>-79.412000000000006</v>
      </c>
      <c r="AC62" s="53">
        <f>Português!AC62</f>
        <v>-68.088999999999999</v>
      </c>
      <c r="AD62" s="53">
        <f>Português!AD62</f>
        <v>-60.161000000000001</v>
      </c>
      <c r="AE62" s="53">
        <f>Português!AE62</f>
        <v>-55.353999999999999</v>
      </c>
      <c r="AF62" s="53">
        <f>Português!AF62</f>
        <v>-77.88714825000001</v>
      </c>
      <c r="AG62" s="53">
        <f>Português!AG62</f>
        <v>-42.796920499999985</v>
      </c>
      <c r="AH62" s="53">
        <f>Português!AH62</f>
        <v>-51.062484899999994</v>
      </c>
      <c r="AI62" s="53">
        <f>Português!AI62</f>
        <v>-65.105197909999987</v>
      </c>
      <c r="AJ62" s="53">
        <f>Português!AJ62</f>
        <v>-52.34527855999999</v>
      </c>
      <c r="AK62" s="53">
        <f>Português!AK62</f>
        <v>-58.125738580000032</v>
      </c>
      <c r="AL62" s="53">
        <f>Português!AL62</f>
        <v>-57.927450139999962</v>
      </c>
      <c r="AM62" s="53">
        <f>Português!AM62</f>
        <v>475.79337349999992</v>
      </c>
      <c r="AN62" s="53">
        <f>Português!AN62</f>
        <v>-71.769716380000034</v>
      </c>
      <c r="AO62" s="53">
        <f>Português!AO62</f>
        <v>-297.8288589899999</v>
      </c>
      <c r="AP62" s="53">
        <f>Português!AP62</f>
        <v>-119.7089325</v>
      </c>
      <c r="AQ62" s="53">
        <f>Português!AQ62</f>
        <v>-111.13207592999996</v>
      </c>
      <c r="AR62" s="53">
        <f>Português!AR62</f>
        <v>-106.52500000000001</v>
      </c>
      <c r="AS62" s="19"/>
      <c r="AT62" s="53">
        <f>SUM(H62:K62)</f>
        <v>-11.287455359999999</v>
      </c>
      <c r="AU62" s="53">
        <f>SUM(L62:O62)</f>
        <v>-26.966720000000002</v>
      </c>
      <c r="AV62" s="53">
        <f>SUM(P62:S62)</f>
        <v>-122.92599999999999</v>
      </c>
      <c r="AW62" s="53">
        <f>SUM(T62:W62)</f>
        <v>-211.875</v>
      </c>
      <c r="AX62" s="53">
        <f>SUM(X62:AA62)</f>
        <v>-186.239</v>
      </c>
      <c r="AY62" s="53">
        <f>SUM(AB62:AE62)</f>
        <v>-263.01600000000002</v>
      </c>
      <c r="AZ62" s="53">
        <f>SUM(AF62:AI62)</f>
        <v>-236.85175155999997</v>
      </c>
      <c r="BA62" s="53">
        <f t="shared" si="10"/>
        <v>307.39490621999994</v>
      </c>
      <c r="BB62" s="53">
        <f t="shared" si="11"/>
        <v>-600.43958379999992</v>
      </c>
      <c r="BC62" s="37"/>
    </row>
    <row r="63" spans="1:55" ht="13.5" outlineLevel="1">
      <c r="B63" s="56" t="s">
        <v>425</v>
      </c>
      <c r="C63" s="10" t="s">
        <v>390</v>
      </c>
      <c r="D63" s="109"/>
      <c r="E63" s="109"/>
      <c r="F63" s="109"/>
      <c r="G63" s="109"/>
      <c r="H63" s="57">
        <f>SUM(H58,H61:H62,H60)</f>
        <v>-511.46004699999997</v>
      </c>
      <c r="I63" s="57">
        <f t="shared" ref="I63:U63" si="14">SUM(I58,I61:I62,I60)</f>
        <v>-548.98621706999995</v>
      </c>
      <c r="J63" s="57">
        <f t="shared" si="14"/>
        <v>-591.64626131</v>
      </c>
      <c r="K63" s="57">
        <f t="shared" si="14"/>
        <v>-609.84425744999987</v>
      </c>
      <c r="L63" s="57">
        <f t="shared" si="14"/>
        <v>-603.92258839999988</v>
      </c>
      <c r="M63" s="57">
        <f t="shared" si="14"/>
        <v>-678.06626406000009</v>
      </c>
      <c r="N63" s="57">
        <f t="shared" si="14"/>
        <v>-728.48951564999993</v>
      </c>
      <c r="O63" s="57">
        <f t="shared" si="14"/>
        <v>-744.18400462999989</v>
      </c>
      <c r="P63" s="57">
        <f t="shared" si="14"/>
        <v>-726.41099999999994</v>
      </c>
      <c r="Q63" s="57">
        <f t="shared" si="14"/>
        <v>-751.36</v>
      </c>
      <c r="R63" s="57">
        <f t="shared" si="14"/>
        <v>-818.57900000000006</v>
      </c>
      <c r="S63" s="57">
        <f t="shared" si="14"/>
        <v>-1104.0749999999998</v>
      </c>
      <c r="T63" s="57">
        <f t="shared" si="14"/>
        <v>-1279.5950000000003</v>
      </c>
      <c r="U63" s="57">
        <f t="shared" si="14"/>
        <v>-1132.5619999999999</v>
      </c>
      <c r="V63" s="57">
        <f>SUM(V58,V61:V62,V60)</f>
        <v>-1284.4459999999999</v>
      </c>
      <c r="W63" s="57">
        <f>SUM(W58,W61:W62,W60)</f>
        <v>-1512.375</v>
      </c>
      <c r="X63" s="57">
        <f t="shared" ref="X63:AP63" si="15">SUM(X58,X61:X62,X60)</f>
        <v>-1522.1030000000001</v>
      </c>
      <c r="Y63" s="57">
        <f t="shared" si="15"/>
        <v>-1698.788</v>
      </c>
      <c r="Z63" s="57">
        <f t="shared" si="15"/>
        <v>-1851.1709999999998</v>
      </c>
      <c r="AA63" s="57">
        <f t="shared" si="15"/>
        <v>-1745.3969999999999</v>
      </c>
      <c r="AB63" s="57">
        <f t="shared" si="15"/>
        <v>-3720.7840000000001</v>
      </c>
      <c r="AC63" s="57">
        <f t="shared" si="15"/>
        <v>-4581.8150000000005</v>
      </c>
      <c r="AD63" s="57">
        <f t="shared" si="15"/>
        <v>-4793.8579999999993</v>
      </c>
      <c r="AE63" s="57">
        <f t="shared" si="15"/>
        <v>-4997.2497000000012</v>
      </c>
      <c r="AF63" s="57">
        <f t="shared" si="15"/>
        <v>-5046.6827823999993</v>
      </c>
      <c r="AG63" s="57">
        <f t="shared" si="15"/>
        <v>-5229.2987277519514</v>
      </c>
      <c r="AH63" s="57">
        <f t="shared" si="15"/>
        <v>-5099.4014649472192</v>
      </c>
      <c r="AI63" s="57">
        <f t="shared" si="15"/>
        <v>-4939.3185602142767</v>
      </c>
      <c r="AJ63" s="57">
        <f t="shared" si="15"/>
        <v>-4916.956737290001</v>
      </c>
      <c r="AK63" s="57">
        <f t="shared" si="15"/>
        <v>-5162.0105988600017</v>
      </c>
      <c r="AL63" s="57">
        <f t="shared" si="15"/>
        <v>-5363.828153049998</v>
      </c>
      <c r="AM63" s="57">
        <f t="shared" si="15"/>
        <v>-4699.6323664999909</v>
      </c>
      <c r="AN63" s="57">
        <f t="shared" si="15"/>
        <v>-5619.6160712800001</v>
      </c>
      <c r="AO63" s="57">
        <f t="shared" si="15"/>
        <v>-6105.2838821000014</v>
      </c>
      <c r="AP63" s="57">
        <f t="shared" si="15"/>
        <v>-6127.6922170099997</v>
      </c>
      <c r="AQ63" s="57">
        <f>SUM(AQ58,AQ61:AQ62,AQ60)</f>
        <v>-6228.0950854699959</v>
      </c>
      <c r="AR63" s="57">
        <f>SUM(AR58,AR61:AR62,AR60)</f>
        <v>-6000.9539999999997</v>
      </c>
      <c r="AS63" s="19"/>
      <c r="AT63" s="57">
        <f t="shared" ref="AT63:AZ63" si="16">SUM(AT58,AT61:AT62,AT60)</f>
        <v>-2261.9367828299996</v>
      </c>
      <c r="AU63" s="57">
        <f t="shared" si="16"/>
        <v>-2754.6623727399997</v>
      </c>
      <c r="AV63" s="57">
        <f t="shared" si="16"/>
        <v>-3400.4250000000002</v>
      </c>
      <c r="AW63" s="57">
        <f t="shared" si="16"/>
        <v>-5208.9779999999992</v>
      </c>
      <c r="AX63" s="57">
        <f t="shared" si="16"/>
        <v>-6817.4589999999998</v>
      </c>
      <c r="AY63" s="57">
        <f t="shared" si="16"/>
        <v>-18093.706699999999</v>
      </c>
      <c r="AZ63" s="57">
        <f t="shared" si="16"/>
        <v>-20314.701535313448</v>
      </c>
      <c r="BA63" s="57">
        <f t="shared" si="10"/>
        <v>-20142.427855699993</v>
      </c>
      <c r="BB63" s="57">
        <f t="shared" si="11"/>
        <v>-24080.687255859997</v>
      </c>
      <c r="BC63" s="37"/>
    </row>
    <row r="64" spans="1:55" ht="13.5" outlineLevel="1">
      <c r="B64" s="58" t="s">
        <v>426</v>
      </c>
      <c r="C64" s="10" t="s">
        <v>390</v>
      </c>
      <c r="D64" s="109"/>
      <c r="E64" s="109"/>
      <c r="F64" s="109"/>
      <c r="G64" s="109"/>
      <c r="H64" s="57">
        <f t="shared" ref="H64:AO64" si="17">SUM(H57,H63)</f>
        <v>376.31309093999977</v>
      </c>
      <c r="I64" s="57">
        <f t="shared" si="17"/>
        <v>377.74673672000017</v>
      </c>
      <c r="J64" s="57">
        <f t="shared" si="17"/>
        <v>398.04530497999997</v>
      </c>
      <c r="K64" s="57">
        <f t="shared" si="17"/>
        <v>433.93822034000016</v>
      </c>
      <c r="L64" s="57">
        <f t="shared" si="17"/>
        <v>485.94901160000006</v>
      </c>
      <c r="M64" s="57">
        <f t="shared" si="17"/>
        <v>432.88273593999998</v>
      </c>
      <c r="N64" s="57">
        <f t="shared" si="17"/>
        <v>435.24548434999997</v>
      </c>
      <c r="O64" s="57">
        <f t="shared" si="17"/>
        <v>467.15866037000023</v>
      </c>
      <c r="P64" s="57">
        <f t="shared" si="17"/>
        <v>530.58900000000006</v>
      </c>
      <c r="Q64" s="57">
        <f t="shared" si="17"/>
        <v>524.89699999999982</v>
      </c>
      <c r="R64" s="57">
        <f t="shared" si="17"/>
        <v>497.19200000000012</v>
      </c>
      <c r="S64" s="57">
        <f t="shared" si="17"/>
        <v>681.28000000000043</v>
      </c>
      <c r="T64" s="57">
        <f t="shared" si="17"/>
        <v>799.1929999999993</v>
      </c>
      <c r="U64" s="57">
        <f t="shared" si="17"/>
        <v>943.73600000000033</v>
      </c>
      <c r="V64" s="57">
        <f t="shared" si="17"/>
        <v>841.93400000000065</v>
      </c>
      <c r="W64" s="57">
        <f t="shared" si="17"/>
        <v>761.11999999999853</v>
      </c>
      <c r="X64" s="57">
        <f t="shared" si="17"/>
        <v>801.04999999999973</v>
      </c>
      <c r="Y64" s="57">
        <f t="shared" si="17"/>
        <v>703.65499999999975</v>
      </c>
      <c r="Z64" s="57">
        <f t="shared" si="17"/>
        <v>707.71099999999979</v>
      </c>
      <c r="AA64" s="57">
        <f t="shared" si="17"/>
        <v>853.51000000000022</v>
      </c>
      <c r="AB64" s="57">
        <f t="shared" si="17"/>
        <v>1120.7379999999998</v>
      </c>
      <c r="AC64" s="57">
        <f t="shared" si="17"/>
        <v>1501.8009999999995</v>
      </c>
      <c r="AD64" s="57">
        <f t="shared" si="17"/>
        <v>1527.3540000000012</v>
      </c>
      <c r="AE64" s="57">
        <f t="shared" si="17"/>
        <v>1505.2032999999992</v>
      </c>
      <c r="AF64" s="57">
        <f t="shared" si="17"/>
        <v>1679.5108864000013</v>
      </c>
      <c r="AG64" s="57">
        <f t="shared" si="17"/>
        <v>1610.5254705280486</v>
      </c>
      <c r="AH64" s="57">
        <f t="shared" si="17"/>
        <v>1765.7425941627826</v>
      </c>
      <c r="AI64" s="57">
        <f t="shared" si="17"/>
        <v>1995.6341425657229</v>
      </c>
      <c r="AJ64" s="57">
        <f t="shared" si="17"/>
        <v>2074.4901161299977</v>
      </c>
      <c r="AK64" s="57">
        <f t="shared" si="17"/>
        <v>1988.3889197799972</v>
      </c>
      <c r="AL64" s="57">
        <f t="shared" si="17"/>
        <v>1973.9313024300027</v>
      </c>
      <c r="AM64" s="57">
        <f t="shared" si="17"/>
        <v>2772.8172263500119</v>
      </c>
      <c r="AN64" s="57">
        <f t="shared" si="17"/>
        <v>1879.8927597399997</v>
      </c>
      <c r="AO64" s="57">
        <f t="shared" si="17"/>
        <v>1568.6830904899989</v>
      </c>
      <c r="AP64" s="57">
        <f>SUM(AP57,AP63)</f>
        <v>1647.2347111600002</v>
      </c>
      <c r="AQ64" s="57">
        <f>SUM(AQ57,AQ63)</f>
        <v>1686.7576591700054</v>
      </c>
      <c r="AR64" s="57">
        <f>SUM(AR57,AR63)</f>
        <v>1891.5160000000005</v>
      </c>
      <c r="AS64" s="19"/>
      <c r="AT64" s="57">
        <f t="shared" ref="AT64:AY64" si="18">SUM(AT57,AT63)</f>
        <v>1586.0433529800002</v>
      </c>
      <c r="AU64" s="57">
        <f t="shared" si="18"/>
        <v>1821.235892260001</v>
      </c>
      <c r="AV64" s="57">
        <f t="shared" si="18"/>
        <v>2233.9580000000005</v>
      </c>
      <c r="AW64" s="57">
        <f t="shared" si="18"/>
        <v>3345.9830000000002</v>
      </c>
      <c r="AX64" s="57">
        <f t="shared" si="18"/>
        <v>3065.9260000000004</v>
      </c>
      <c r="AY64" s="57">
        <f t="shared" si="18"/>
        <v>5655.0963000000047</v>
      </c>
      <c r="AZ64" s="57">
        <f>SUM(AZ57,AZ63)</f>
        <v>7051.4130936565525</v>
      </c>
      <c r="BA64" s="57">
        <f t="shared" si="10"/>
        <v>8809.6275646900103</v>
      </c>
      <c r="BB64" s="57">
        <f t="shared" si="11"/>
        <v>6782.5682205600042</v>
      </c>
      <c r="BC64" s="37"/>
    </row>
    <row r="65" spans="1:55" outlineLevel="1">
      <c r="B65" s="59" t="s">
        <v>427</v>
      </c>
      <c r="C65" s="24" t="s">
        <v>76</v>
      </c>
      <c r="D65" s="106"/>
      <c r="E65" s="106"/>
      <c r="F65" s="106"/>
      <c r="G65" s="106"/>
      <c r="H65" s="39">
        <f t="shared" ref="H65:AP65" si="19">H64/H57</f>
        <v>0.4238842952752564</v>
      </c>
      <c r="I65" s="39">
        <f t="shared" si="19"/>
        <v>0.40761120576877474</v>
      </c>
      <c r="J65" s="39">
        <f t="shared" si="19"/>
        <v>0.40219126699455426</v>
      </c>
      <c r="K65" s="39">
        <f t="shared" si="19"/>
        <v>0.41573625690553578</v>
      </c>
      <c r="L65" s="39">
        <f t="shared" si="19"/>
        <v>0.4458773048127872</v>
      </c>
      <c r="M65" s="39">
        <f t="shared" si="19"/>
        <v>0.38965131247248969</v>
      </c>
      <c r="N65" s="39">
        <f t="shared" si="19"/>
        <v>0.37400738514352494</v>
      </c>
      <c r="O65" s="39">
        <f t="shared" si="19"/>
        <v>0.38565360064321702</v>
      </c>
      <c r="P65" s="39">
        <f t="shared" si="19"/>
        <v>0.42210739856801915</v>
      </c>
      <c r="Q65" s="39">
        <f t="shared" si="19"/>
        <v>0.41127844940321573</v>
      </c>
      <c r="R65" s="39">
        <f t="shared" si="19"/>
        <v>0.3778712253120034</v>
      </c>
      <c r="S65" s="39">
        <f t="shared" si="19"/>
        <v>0.38159357662761767</v>
      </c>
      <c r="T65" s="39">
        <f t="shared" si="19"/>
        <v>0.3844514207316953</v>
      </c>
      <c r="U65" s="39">
        <f t="shared" si="19"/>
        <v>0.45452820356230184</v>
      </c>
      <c r="V65" s="39">
        <f t="shared" si="19"/>
        <v>0.39594710258749632</v>
      </c>
      <c r="W65" s="39">
        <f t="shared" si="19"/>
        <v>0.33477971141348412</v>
      </c>
      <c r="X65" s="39">
        <f t="shared" si="19"/>
        <v>0.34481155567455085</v>
      </c>
      <c r="Y65" s="39">
        <f t="shared" si="19"/>
        <v>0.2928914442507064</v>
      </c>
      <c r="Z65" s="39">
        <f t="shared" si="19"/>
        <v>0.27657039285125296</v>
      </c>
      <c r="AA65" s="39">
        <f t="shared" si="19"/>
        <v>0.32841113591213544</v>
      </c>
      <c r="AB65" s="39">
        <f t="shared" si="19"/>
        <v>0.23148464470470234</v>
      </c>
      <c r="AC65" s="39">
        <f t="shared" si="19"/>
        <v>0.24685992672778811</v>
      </c>
      <c r="AD65" s="39">
        <f t="shared" si="19"/>
        <v>0.24162360003113345</v>
      </c>
      <c r="AE65" s="39">
        <f t="shared" si="19"/>
        <v>0.23148238057237772</v>
      </c>
      <c r="AF65" s="39">
        <f t="shared" si="19"/>
        <v>0.24969707521068712</v>
      </c>
      <c r="AG65" s="39">
        <f t="shared" si="19"/>
        <v>0.23546299200687715</v>
      </c>
      <c r="AH65" s="39">
        <f t="shared" si="19"/>
        <v>0.25720401188372055</v>
      </c>
      <c r="AI65" s="39">
        <f t="shared" si="19"/>
        <v>0.28776463634218258</v>
      </c>
      <c r="AJ65" s="39">
        <f t="shared" si="19"/>
        <v>0.29671828444425941</v>
      </c>
      <c r="AK65" s="39">
        <f t="shared" si="19"/>
        <v>0.27808081416941405</v>
      </c>
      <c r="AL65" s="39">
        <f t="shared" si="19"/>
        <v>0.26901008603598026</v>
      </c>
      <c r="AM65" s="39">
        <f t="shared" si="19"/>
        <v>0.37107205500632295</v>
      </c>
      <c r="AN65" s="39">
        <f t="shared" si="19"/>
        <v>0.25066878406279808</v>
      </c>
      <c r="AO65" s="39">
        <f t="shared" si="19"/>
        <v>0.20441618996967886</v>
      </c>
      <c r="AP65" s="39">
        <f t="shared" si="19"/>
        <v>0.21186497653010267</v>
      </c>
      <c r="AQ65" s="39">
        <f>AQ64/AQ57</f>
        <v>0.2131129552994262</v>
      </c>
      <c r="AR65" s="39">
        <f>AR64/AR57</f>
        <v>0.23966084128289375</v>
      </c>
      <c r="AS65" s="19"/>
      <c r="AT65" s="39">
        <f t="shared" ref="AT65:AY65" si="20">AT64/AT57</f>
        <v>0.41217555626651853</v>
      </c>
      <c r="AU65" s="39">
        <f t="shared" si="20"/>
        <v>0.39800620267067949</v>
      </c>
      <c r="AV65" s="39">
        <f t="shared" si="20"/>
        <v>0.39648671380699541</v>
      </c>
      <c r="AW65" s="39">
        <f t="shared" si="20"/>
        <v>0.39111610210730363</v>
      </c>
      <c r="AX65" s="39">
        <f t="shared" si="20"/>
        <v>0.31021011525909398</v>
      </c>
      <c r="AY65" s="39">
        <f t="shared" si="20"/>
        <v>0.23812131920922516</v>
      </c>
      <c r="AZ65" s="39">
        <f>AZ64/AZ57</f>
        <v>0.25766950074059353</v>
      </c>
      <c r="BA65" s="137">
        <f>BA64/BA57</f>
        <v>0.30428332070978537</v>
      </c>
      <c r="BB65" s="137">
        <f>BB64/BB57</f>
        <v>0.21976191804335063</v>
      </c>
      <c r="BC65" s="37"/>
    </row>
    <row r="66" spans="1:55" ht="13.5" outlineLevel="1">
      <c r="B66" s="60" t="s">
        <v>428</v>
      </c>
      <c r="C66" s="10" t="s">
        <v>390</v>
      </c>
      <c r="D66" s="109"/>
      <c r="E66" s="109"/>
      <c r="F66" s="109"/>
      <c r="G66" s="109"/>
      <c r="H66" s="57">
        <f>SUM(H67:H71)</f>
        <v>-93.77113725688163</v>
      </c>
      <c r="I66" s="57">
        <f t="shared" ref="I66:AP66" si="21">SUM(I67:I71)</f>
        <v>-95.010694235611197</v>
      </c>
      <c r="J66" s="57">
        <f t="shared" si="21"/>
        <v>-103.26086064750788</v>
      </c>
      <c r="K66" s="57">
        <f t="shared" si="21"/>
        <v>-86.131952739999278</v>
      </c>
      <c r="L66" s="57">
        <f t="shared" si="21"/>
        <v>-121.93540196830989</v>
      </c>
      <c r="M66" s="57">
        <f t="shared" si="21"/>
        <v>-111.37314401763184</v>
      </c>
      <c r="N66" s="57">
        <f t="shared" si="21"/>
        <v>-116.6392626824066</v>
      </c>
      <c r="O66" s="57">
        <f t="shared" si="21"/>
        <v>-93.466639822973832</v>
      </c>
      <c r="P66" s="57">
        <f t="shared" si="21"/>
        <v>-118.732</v>
      </c>
      <c r="Q66" s="57">
        <f t="shared" si="21"/>
        <v>-129.387</v>
      </c>
      <c r="R66" s="57">
        <f t="shared" si="21"/>
        <v>-125.07900000000001</v>
      </c>
      <c r="S66" s="57">
        <f t="shared" si="21"/>
        <v>-146.529</v>
      </c>
      <c r="T66" s="57">
        <f t="shared" si="21"/>
        <v>-154.56899999999999</v>
      </c>
      <c r="U66" s="57">
        <f t="shared" si="21"/>
        <v>-179.79500000000002</v>
      </c>
      <c r="V66" s="57">
        <f t="shared" si="21"/>
        <v>-167.05099999999999</v>
      </c>
      <c r="W66" s="57">
        <f t="shared" si="21"/>
        <v>-169.30500000000001</v>
      </c>
      <c r="X66" s="57">
        <f t="shared" si="21"/>
        <v>-144.33800000000002</v>
      </c>
      <c r="Y66" s="57">
        <f t="shared" si="21"/>
        <v>-193.49600000000001</v>
      </c>
      <c r="Z66" s="57">
        <f t="shared" si="21"/>
        <v>-168.57500000000002</v>
      </c>
      <c r="AA66" s="57">
        <f t="shared" si="21"/>
        <v>-219.09899999999999</v>
      </c>
      <c r="AB66" s="57">
        <f t="shared" si="21"/>
        <v>-356.96299999999997</v>
      </c>
      <c r="AC66" s="57">
        <f t="shared" si="21"/>
        <v>-454.517</v>
      </c>
      <c r="AD66" s="57">
        <f t="shared" si="21"/>
        <v>-485.11699999999996</v>
      </c>
      <c r="AE66" s="57">
        <f t="shared" si="21"/>
        <v>-523.85199999999998</v>
      </c>
      <c r="AF66" s="57">
        <f t="shared" si="21"/>
        <v>-515.605594</v>
      </c>
      <c r="AG66" s="57">
        <f t="shared" si="21"/>
        <v>-477.70839312000004</v>
      </c>
      <c r="AH66" s="57">
        <f t="shared" si="21"/>
        <v>-526.90055961999997</v>
      </c>
      <c r="AI66" s="57">
        <f t="shared" si="21"/>
        <v>-545.7037901299999</v>
      </c>
      <c r="AJ66" s="57">
        <f t="shared" si="21"/>
        <v>-551.22000104999995</v>
      </c>
      <c r="AK66" s="57">
        <f t="shared" si="21"/>
        <v>-495.97976019000004</v>
      </c>
      <c r="AL66" s="57">
        <f t="shared" si="21"/>
        <v>-508.01550964000012</v>
      </c>
      <c r="AM66" s="57">
        <f t="shared" si="21"/>
        <v>-551.28436789000091</v>
      </c>
      <c r="AN66" s="57">
        <f t="shared" si="21"/>
        <v>-566.86525036000023</v>
      </c>
      <c r="AO66" s="57">
        <f t="shared" si="21"/>
        <v>-573.76756397999998</v>
      </c>
      <c r="AP66" s="57">
        <f t="shared" si="21"/>
        <v>-606.92534267999997</v>
      </c>
      <c r="AQ66" s="57">
        <f>SUM(AQ67:AQ71)</f>
        <v>-635.51327775999982</v>
      </c>
      <c r="AR66" s="57">
        <f>SUM(AR67:AR71)</f>
        <v>-619.71799999999996</v>
      </c>
      <c r="AS66" s="19"/>
      <c r="AT66" s="57">
        <f t="shared" ref="AT66:AZ66" si="22">SUM(AT67:AT71)</f>
        <v>-378.17464488000002</v>
      </c>
      <c r="AU66" s="57">
        <f t="shared" si="22"/>
        <v>-443.41444849132222</v>
      </c>
      <c r="AV66" s="57">
        <f t="shared" si="22"/>
        <v>-519.72700000000009</v>
      </c>
      <c r="AW66" s="57">
        <f t="shared" si="22"/>
        <v>-670.72</v>
      </c>
      <c r="AX66" s="57">
        <f t="shared" si="22"/>
        <v>-725.50799999999992</v>
      </c>
      <c r="AY66" s="57">
        <f t="shared" si="22"/>
        <v>-1820.4489999999996</v>
      </c>
      <c r="AZ66" s="57">
        <f t="shared" si="22"/>
        <v>-2065.9183368700001</v>
      </c>
      <c r="BA66" s="57">
        <f>SUM(AJ66:AM66)</f>
        <v>-2106.4996387700012</v>
      </c>
      <c r="BB66" s="57">
        <f t="shared" ref="BB66:BB93" si="23">SUM(AN66:AQ66)</f>
        <v>-2383.0714347799999</v>
      </c>
      <c r="BC66" s="37"/>
    </row>
    <row r="67" spans="1:55" outlineLevel="1">
      <c r="B67" s="110" t="s">
        <v>429</v>
      </c>
      <c r="C67" s="1" t="s">
        <v>390</v>
      </c>
      <c r="D67" s="108"/>
      <c r="E67" s="108"/>
      <c r="F67" s="108"/>
      <c r="G67" s="108"/>
      <c r="H67" s="53">
        <f>Português!H67</f>
        <v>-7.3174337000000023</v>
      </c>
      <c r="I67" s="53">
        <f>Português!I67</f>
        <v>-10.720859609999996</v>
      </c>
      <c r="J67" s="53">
        <f>Português!J67</f>
        <v>-8.3177049899999993</v>
      </c>
      <c r="K67" s="53">
        <f>Português!K67</f>
        <v>-9.5013306899999979</v>
      </c>
      <c r="L67" s="53">
        <f>Português!L67</f>
        <v>-7.3329038799999982</v>
      </c>
      <c r="M67" s="53">
        <f>Português!M67</f>
        <v>-8.3716000200000007</v>
      </c>
      <c r="N67" s="53">
        <f>Português!N67</f>
        <v>-9.2306817199999998</v>
      </c>
      <c r="O67" s="53">
        <f>Português!O67</f>
        <v>-13.406338969999997</v>
      </c>
      <c r="P67" s="53">
        <f>Português!P67</f>
        <v>-10.244999999999999</v>
      </c>
      <c r="Q67" s="53">
        <f>Português!Q67</f>
        <v>-16.774000000000001</v>
      </c>
      <c r="R67" s="53">
        <f>Português!R67</f>
        <v>-9.1280000000000001</v>
      </c>
      <c r="S67" s="53">
        <f>Português!S67</f>
        <v>-8.8580000000000041</v>
      </c>
      <c r="T67" s="53">
        <f>Português!T67</f>
        <v>-8.7159999999999993</v>
      </c>
      <c r="U67" s="53">
        <f>Português!U67</f>
        <v>-12.519</v>
      </c>
      <c r="V67" s="53">
        <f>Português!V67</f>
        <v>-13.840999999999999</v>
      </c>
      <c r="W67" s="53">
        <f>Português!W67</f>
        <v>-18.610999999999997</v>
      </c>
      <c r="X67" s="53">
        <f>Português!X67</f>
        <v>-14.611000000000001</v>
      </c>
      <c r="Y67" s="53">
        <f>Português!Y67</f>
        <v>-14.452</v>
      </c>
      <c r="Z67" s="53">
        <f>Português!Z67</f>
        <v>-16.161999999999999</v>
      </c>
      <c r="AA67" s="53">
        <f>Português!AA67</f>
        <v>-15.006</v>
      </c>
      <c r="AB67" s="53">
        <f>Português!AB67</f>
        <v>-15.7</v>
      </c>
      <c r="AC67" s="53">
        <f>Português!AC67</f>
        <v>-20.809000000000001</v>
      </c>
      <c r="AD67" s="53">
        <f>Português!AD67</f>
        <v>-20.213999999999999</v>
      </c>
      <c r="AE67" s="53">
        <f>Português!AE67</f>
        <v>-35.7254</v>
      </c>
      <c r="AF67" s="53">
        <f>Português!AF67</f>
        <v>-12.362893100000003</v>
      </c>
      <c r="AG67" s="53">
        <f>Português!AG67</f>
        <v>-11.264477349999998</v>
      </c>
      <c r="AH67" s="53">
        <f>Português!AH67</f>
        <v>-20.01085179</v>
      </c>
      <c r="AI67" s="53">
        <f>Português!AI67</f>
        <v>-25.146173160000011</v>
      </c>
      <c r="AJ67" s="53">
        <f>Português!AJ67</f>
        <v>-12.51138377</v>
      </c>
      <c r="AK67" s="53">
        <f>Português!AK67</f>
        <v>-23.934762329999995</v>
      </c>
      <c r="AL67" s="53">
        <f>Português!AL67</f>
        <v>-10.64597161</v>
      </c>
      <c r="AM67" s="53">
        <f>Português!AM67</f>
        <v>-35.16891780000001</v>
      </c>
      <c r="AN67" s="53">
        <f>Português!AN67</f>
        <v>-14.13405231</v>
      </c>
      <c r="AO67" s="53">
        <f>Português!AO67</f>
        <v>-42.414322939999998</v>
      </c>
      <c r="AP67" s="53">
        <f>Português!AP67</f>
        <v>-14.20293367</v>
      </c>
      <c r="AQ67" s="53">
        <f>Português!AQ67</f>
        <v>-21.720641130000018</v>
      </c>
      <c r="AR67" s="53">
        <f>Português!AR67</f>
        <v>-16.082000000000001</v>
      </c>
      <c r="AS67" s="19"/>
      <c r="AT67" s="53">
        <f>SUM(H67:K67)</f>
        <v>-35.857328989999999</v>
      </c>
      <c r="AU67" s="53">
        <f>SUM(L67:O67)</f>
        <v>-38.341524589999992</v>
      </c>
      <c r="AV67" s="53">
        <f>SUM(P67:S67)</f>
        <v>-45.005000000000003</v>
      </c>
      <c r="AW67" s="53">
        <f>SUM(T67:W67)</f>
        <v>-53.686999999999998</v>
      </c>
      <c r="AX67" s="53">
        <f>SUM(X67:AA67)</f>
        <v>-60.231000000000002</v>
      </c>
      <c r="AY67" s="53">
        <f>SUM(AB67:AE67)</f>
        <v>-92.448399999999992</v>
      </c>
      <c r="AZ67" s="53">
        <f>SUM(AF67:AI67)</f>
        <v>-68.784395400000022</v>
      </c>
      <c r="BA67" s="53">
        <f t="shared" ref="BA67:BA93" si="24">SUM(AJ67:AM67)</f>
        <v>-82.261035509999999</v>
      </c>
      <c r="BB67" s="53">
        <f t="shared" si="23"/>
        <v>-92.471950050000018</v>
      </c>
      <c r="BC67" s="37"/>
    </row>
    <row r="68" spans="1:55" outlineLevel="1">
      <c r="B68" s="110" t="s">
        <v>430</v>
      </c>
      <c r="C68" s="1" t="s">
        <v>390</v>
      </c>
      <c r="D68" s="108"/>
      <c r="E68" s="108"/>
      <c r="F68" s="108"/>
      <c r="G68" s="108"/>
      <c r="H68" s="53">
        <f>Português!H68</f>
        <v>-52.564513346881625</v>
      </c>
      <c r="I68" s="53">
        <f>Português!I68</f>
        <v>-52.052261015609474</v>
      </c>
      <c r="J68" s="53">
        <f>Português!J68</f>
        <v>-70.880297787508908</v>
      </c>
      <c r="K68" s="53">
        <f>Português!K68</f>
        <v>-62.003680349999996</v>
      </c>
      <c r="L68" s="53">
        <f>Português!L68</f>
        <v>-49.355685728309894</v>
      </c>
      <c r="M68" s="53">
        <f>Português!M68</f>
        <v>-79.203606607635137</v>
      </c>
      <c r="N68" s="53">
        <f>Português!N68</f>
        <v>-71.500089862403954</v>
      </c>
      <c r="O68" s="53">
        <f>Português!O68</f>
        <v>-56.333879492973445</v>
      </c>
      <c r="P68" s="53">
        <f>Português!P68</f>
        <v>-72.051000000000002</v>
      </c>
      <c r="Q68" s="53">
        <f>Português!Q68</f>
        <v>-72.143000000000001</v>
      </c>
      <c r="R68" s="53">
        <f>Português!R68</f>
        <v>-78.210999999999999</v>
      </c>
      <c r="S68" s="53">
        <f>Português!S68</f>
        <v>-81.850000000000009</v>
      </c>
      <c r="T68" s="53">
        <f>Português!T68</f>
        <v>-83.911000000000001</v>
      </c>
      <c r="U68" s="53">
        <f>Português!U68</f>
        <v>-94.715000000000003</v>
      </c>
      <c r="V68" s="53">
        <f>Português!V68</f>
        <v>-98.206000000000003</v>
      </c>
      <c r="W68" s="53">
        <f>Português!W68</f>
        <v>-93.566000000000017</v>
      </c>
      <c r="X68" s="53">
        <f>Português!X68</f>
        <v>-82.741</v>
      </c>
      <c r="Y68" s="53">
        <f>Português!Y68</f>
        <v>-98.513000000000005</v>
      </c>
      <c r="Z68" s="53">
        <f>Português!Z68</f>
        <v>-114.733</v>
      </c>
      <c r="AA68" s="53">
        <f>Português!AA68</f>
        <v>-137.59</v>
      </c>
      <c r="AB68" s="53">
        <f>Português!AB68</f>
        <v>-249.28200000000001</v>
      </c>
      <c r="AC68" s="53">
        <f>Português!AC68</f>
        <v>-296.34399999999999</v>
      </c>
      <c r="AD68" s="53">
        <f>Português!AD68</f>
        <v>-338.20699999999999</v>
      </c>
      <c r="AE68" s="53">
        <f>Português!AE68</f>
        <v>-301.59589999999997</v>
      </c>
      <c r="AF68" s="53">
        <f>Português!AF68</f>
        <v>-317.04449999999997</v>
      </c>
      <c r="AG68" s="53">
        <f>Português!AG68</f>
        <v>-301.70654949999999</v>
      </c>
      <c r="AH68" s="53">
        <f>Português!AH68</f>
        <v>-330.55196762999998</v>
      </c>
      <c r="AI68" s="53">
        <f>Português!AI68</f>
        <v>-327.71537536000005</v>
      </c>
      <c r="AJ68" s="53">
        <f>Português!AJ68</f>
        <v>-315.79612026000001</v>
      </c>
      <c r="AK68" s="53">
        <f>Português!AK68</f>
        <v>-314.28199521999989</v>
      </c>
      <c r="AL68" s="53">
        <f>Português!AL68</f>
        <v>-333.73289009000007</v>
      </c>
      <c r="AM68" s="53">
        <f>Português!AM68</f>
        <v>-324.61201198000015</v>
      </c>
      <c r="AN68" s="53">
        <f>Português!AN68</f>
        <v>-313.66575378000005</v>
      </c>
      <c r="AO68" s="53">
        <f>Português!AO68</f>
        <v>-295.62492523999987</v>
      </c>
      <c r="AP68" s="53">
        <f>Português!AP68</f>
        <v>-335.60294518000006</v>
      </c>
      <c r="AQ68" s="53">
        <f>Português!AQ68</f>
        <v>-345.49168918000009</v>
      </c>
      <c r="AR68" s="53">
        <f>Português!AR68</f>
        <v>-334.04899999999998</v>
      </c>
      <c r="AS68" s="19"/>
      <c r="AT68" s="53">
        <f>SUM(H68:K68)</f>
        <v>-237.5007525</v>
      </c>
      <c r="AU68" s="53">
        <f>SUM(L68:O68)</f>
        <v>-256.39326169132244</v>
      </c>
      <c r="AV68" s="53">
        <f>SUM(P68:S68)</f>
        <v>-304.25500000000005</v>
      </c>
      <c r="AW68" s="53">
        <f>SUM(T68:W68)</f>
        <v>-370.39800000000002</v>
      </c>
      <c r="AX68" s="53">
        <f>SUM(X68:AA68)</f>
        <v>-433.577</v>
      </c>
      <c r="AY68" s="53">
        <f>SUM(AB68:AE68)</f>
        <v>-1185.4288999999999</v>
      </c>
      <c r="AZ68" s="53">
        <f>SUM(AF68:AI68)</f>
        <v>-1277.01839249</v>
      </c>
      <c r="BA68" s="53">
        <f t="shared" si="24"/>
        <v>-1288.4230175500002</v>
      </c>
      <c r="BB68" s="53">
        <f t="shared" si="23"/>
        <v>-1290.3853133800001</v>
      </c>
      <c r="BC68" s="37"/>
    </row>
    <row r="69" spans="1:55" outlineLevel="1">
      <c r="B69" s="110" t="s">
        <v>431</v>
      </c>
      <c r="C69" s="1" t="s">
        <v>390</v>
      </c>
      <c r="D69" s="108"/>
      <c r="E69" s="108"/>
      <c r="F69" s="108"/>
      <c r="G69" s="108"/>
      <c r="H69" s="53">
        <f>Português!H69</f>
        <v>-33.889190210000002</v>
      </c>
      <c r="I69" s="53">
        <f>Português!I69</f>
        <v>-32.237573610001718</v>
      </c>
      <c r="J69" s="53">
        <f>Português!J69</f>
        <v>-24.062857869998986</v>
      </c>
      <c r="K69" s="53">
        <f>Português!K69</f>
        <v>-14.626941699999282</v>
      </c>
      <c r="L69" s="53">
        <f>Português!L69</f>
        <v>-65.246812360000007</v>
      </c>
      <c r="M69" s="53">
        <f>Português!M69</f>
        <v>-23.797937389996704</v>
      </c>
      <c r="N69" s="53">
        <f>Português!N69</f>
        <v>-35.908491100002649</v>
      </c>
      <c r="O69" s="53">
        <f>Português!O69</f>
        <v>-23.726421360000387</v>
      </c>
      <c r="P69" s="53">
        <f>Português!P69</f>
        <v>-36.436</v>
      </c>
      <c r="Q69" s="53">
        <f>Português!Q69</f>
        <v>-40.47</v>
      </c>
      <c r="R69" s="53">
        <f>Português!R69</f>
        <v>-37.74</v>
      </c>
      <c r="S69" s="53">
        <f>Português!S69</f>
        <v>-52.321999999999981</v>
      </c>
      <c r="T69" s="53">
        <f>Português!T69</f>
        <v>-55.966000000000001</v>
      </c>
      <c r="U69" s="53">
        <f>Português!U69</f>
        <v>-66.668999999999997</v>
      </c>
      <c r="V69" s="53">
        <f>Português!V69</f>
        <v>-47.914999999999999</v>
      </c>
      <c r="W69" s="53">
        <f>Português!W69</f>
        <v>-50.896999999999998</v>
      </c>
      <c r="X69" s="53">
        <f>Português!X69</f>
        <v>-40.668999999999997</v>
      </c>
      <c r="Y69" s="53">
        <f>Português!Y69</f>
        <v>-72.91</v>
      </c>
      <c r="Z69" s="53">
        <f>Português!Z69</f>
        <v>-31.22</v>
      </c>
      <c r="AA69" s="53">
        <f>Português!AA69</f>
        <v>-66.503</v>
      </c>
      <c r="AB69" s="53">
        <f>Português!AB69</f>
        <v>-65.59</v>
      </c>
      <c r="AC69" s="53">
        <f>Português!AC69</f>
        <v>-107.164</v>
      </c>
      <c r="AD69" s="53">
        <f>Português!AD69</f>
        <v>-98.37</v>
      </c>
      <c r="AE69" s="53">
        <f>Português!AE69</f>
        <v>-153.7133</v>
      </c>
      <c r="AF69" s="53">
        <f>Português!AF69</f>
        <v>-154.07547023000001</v>
      </c>
      <c r="AG69" s="53">
        <f>Português!AG69</f>
        <v>-126.03200106000003</v>
      </c>
      <c r="AH69" s="53">
        <f>Português!AH69</f>
        <v>-131.19359437000006</v>
      </c>
      <c r="AI69" s="53">
        <f>Português!AI69</f>
        <v>-138.87341088999989</v>
      </c>
      <c r="AJ69" s="53">
        <f>Português!AJ69</f>
        <v>-170.68802073000001</v>
      </c>
      <c r="AK69" s="53">
        <f>Português!AK69</f>
        <v>-104.54551622000012</v>
      </c>
      <c r="AL69" s="53">
        <f>Português!AL69</f>
        <v>-111.02046506000005</v>
      </c>
      <c r="AM69" s="53">
        <f>Português!AM69</f>
        <v>-111.89738584000071</v>
      </c>
      <c r="AN69" s="53">
        <f>Português!AN69</f>
        <v>-142.21388904000008</v>
      </c>
      <c r="AO69" s="53">
        <f>Português!AO69</f>
        <v>-129.47761344000014</v>
      </c>
      <c r="AP69" s="53">
        <f>Português!AP69</f>
        <v>-138.84066312999985</v>
      </c>
      <c r="AQ69" s="53">
        <f>Português!AQ69</f>
        <v>-138.77693040999981</v>
      </c>
      <c r="AR69" s="53">
        <f>Português!AR69</f>
        <v>-153.93</v>
      </c>
      <c r="AS69" s="19"/>
      <c r="AT69" s="53">
        <f>SUM(H69:K69)</f>
        <v>-104.81656338999998</v>
      </c>
      <c r="AU69" s="53">
        <f>SUM(L69:O69)</f>
        <v>-148.67966220999975</v>
      </c>
      <c r="AV69" s="53">
        <f>SUM(P69:S69)</f>
        <v>-166.96799999999999</v>
      </c>
      <c r="AW69" s="53">
        <f>SUM(T69:W69)</f>
        <v>-221.44699999999997</v>
      </c>
      <c r="AX69" s="53">
        <f>SUM(X69:AA69)</f>
        <v>-211.30199999999996</v>
      </c>
      <c r="AY69" s="53">
        <f>SUM(AB69:AE69)</f>
        <v>-424.83730000000003</v>
      </c>
      <c r="AZ69" s="53">
        <f>SUM(AF69:AI69)</f>
        <v>-550.17447655000001</v>
      </c>
      <c r="BA69" s="53">
        <f t="shared" si="24"/>
        <v>-498.1513878500009</v>
      </c>
      <c r="BB69" s="53">
        <f t="shared" si="23"/>
        <v>-549.30909601999997</v>
      </c>
      <c r="BC69" s="37"/>
    </row>
    <row r="70" spans="1:55" outlineLevel="1">
      <c r="B70" s="110" t="s">
        <v>432</v>
      </c>
      <c r="C70" s="1" t="s">
        <v>390</v>
      </c>
      <c r="D70" s="108"/>
      <c r="E70" s="108"/>
      <c r="F70" s="108"/>
      <c r="G70" s="108"/>
      <c r="H70" s="53">
        <f>Português!H70</f>
        <v>0</v>
      </c>
      <c r="I70" s="53">
        <f>Português!I70</f>
        <v>0</v>
      </c>
      <c r="J70" s="53">
        <f>Português!J70</f>
        <v>0</v>
      </c>
      <c r="K70" s="53">
        <f>Português!K70</f>
        <v>0</v>
      </c>
      <c r="L70" s="53">
        <f>Português!L70</f>
        <v>0</v>
      </c>
      <c r="M70" s="53">
        <f>Português!M70</f>
        <v>0</v>
      </c>
      <c r="N70" s="53">
        <f>Português!N70</f>
        <v>0</v>
      </c>
      <c r="O70" s="53">
        <f>Português!O70</f>
        <v>0</v>
      </c>
      <c r="P70" s="53">
        <f>Português!P70</f>
        <v>0</v>
      </c>
      <c r="Q70" s="53">
        <f>Português!Q70</f>
        <v>0</v>
      </c>
      <c r="R70" s="53">
        <f>Português!R70</f>
        <v>0</v>
      </c>
      <c r="S70" s="53">
        <f>Português!S70</f>
        <v>0</v>
      </c>
      <c r="T70" s="53">
        <f>Português!T70</f>
        <v>0</v>
      </c>
      <c r="U70" s="53">
        <f>Português!U70</f>
        <v>0</v>
      </c>
      <c r="V70" s="53">
        <f>Português!V70</f>
        <v>0</v>
      </c>
      <c r="W70" s="53">
        <f>Português!W70</f>
        <v>0</v>
      </c>
      <c r="X70" s="53">
        <f>Português!X70</f>
        <v>0</v>
      </c>
      <c r="Y70" s="53">
        <f>Português!Y70</f>
        <v>0</v>
      </c>
      <c r="Z70" s="53">
        <f>Português!Z70</f>
        <v>0</v>
      </c>
      <c r="AA70" s="53">
        <f>Português!AA70</f>
        <v>0</v>
      </c>
      <c r="AB70" s="53">
        <f>Português!AB70</f>
        <v>-22.454999999999998</v>
      </c>
      <c r="AC70" s="53">
        <f>Português!AC70</f>
        <v>-24.550999999999998</v>
      </c>
      <c r="AD70" s="53">
        <f>Português!AD70</f>
        <v>-24.645</v>
      </c>
      <c r="AE70" s="53">
        <f>Português!AE70</f>
        <v>-27.846699999999998</v>
      </c>
      <c r="AF70" s="53">
        <f>Português!AF70</f>
        <v>-29.259</v>
      </c>
      <c r="AG70" s="53">
        <f>Português!AG70</f>
        <v>-34.27412571</v>
      </c>
      <c r="AH70" s="53">
        <f>Português!AH70</f>
        <v>-33.436089739999986</v>
      </c>
      <c r="AI70" s="53">
        <f>Português!AI70</f>
        <v>-43.05120319000001</v>
      </c>
      <c r="AJ70" s="53">
        <f>Português!AJ70</f>
        <v>-43.557746540000004</v>
      </c>
      <c r="AK70" s="53">
        <f>Português!AK70</f>
        <v>-42.070356869999998</v>
      </c>
      <c r="AL70" s="53">
        <f>Português!AL70</f>
        <v>-43.206447609999984</v>
      </c>
      <c r="AM70" s="53">
        <f>Português!AM70</f>
        <v>-52.916201100000023</v>
      </c>
      <c r="AN70" s="53">
        <f>Português!AN70</f>
        <v>-74.692446250000003</v>
      </c>
      <c r="AO70" s="53">
        <f>Português!AO70</f>
        <v>-67.809294319999992</v>
      </c>
      <c r="AP70" s="53">
        <f>Português!AP70</f>
        <v>-66.455589180000018</v>
      </c>
      <c r="AQ70" s="53">
        <f>Português!AQ70</f>
        <v>-71.73740219999992</v>
      </c>
      <c r="AR70" s="53">
        <f>Português!AR70</f>
        <v>-66.126000000000005</v>
      </c>
      <c r="AS70" s="19"/>
      <c r="AT70" s="53">
        <f>SUM(H70:K70)</f>
        <v>0</v>
      </c>
      <c r="AU70" s="53">
        <f>SUM(L70:O70)</f>
        <v>0</v>
      </c>
      <c r="AV70" s="53">
        <f>SUM(P70:S70)</f>
        <v>0</v>
      </c>
      <c r="AW70" s="53">
        <f>SUM(T70:W70)</f>
        <v>0</v>
      </c>
      <c r="AX70" s="53">
        <f>SUM(X70:AA70)</f>
        <v>0</v>
      </c>
      <c r="AY70" s="53">
        <f>SUM(AB70:AE70)</f>
        <v>-99.497699999999995</v>
      </c>
      <c r="AZ70" s="53">
        <f>SUM(AF70:AI70)</f>
        <v>-140.02041864</v>
      </c>
      <c r="BA70" s="53">
        <f t="shared" si="24"/>
        <v>-181.75075212000002</v>
      </c>
      <c r="BB70" s="53">
        <f t="shared" si="23"/>
        <v>-280.69473194999989</v>
      </c>
      <c r="BC70" s="37"/>
    </row>
    <row r="71" spans="1:55" outlineLevel="1">
      <c r="B71" s="110" t="s">
        <v>433</v>
      </c>
      <c r="C71" s="1" t="s">
        <v>390</v>
      </c>
      <c r="D71" s="108"/>
      <c r="E71" s="108"/>
      <c r="F71" s="108"/>
      <c r="G71" s="108"/>
      <c r="H71" s="53">
        <f>Português!H71</f>
        <v>0</v>
      </c>
      <c r="I71" s="53">
        <f>Português!I71</f>
        <v>0</v>
      </c>
      <c r="J71" s="53">
        <f>Português!J71</f>
        <v>0</v>
      </c>
      <c r="K71" s="53">
        <f>Português!K71</f>
        <v>0</v>
      </c>
      <c r="L71" s="53">
        <f>Português!L71</f>
        <v>0</v>
      </c>
      <c r="M71" s="53">
        <f>Português!M71</f>
        <v>0</v>
      </c>
      <c r="N71" s="53">
        <f>Português!N71</f>
        <v>0</v>
      </c>
      <c r="O71" s="53">
        <f>Português!O71</f>
        <v>0</v>
      </c>
      <c r="P71" s="53">
        <f>Português!P71</f>
        <v>0</v>
      </c>
      <c r="Q71" s="53">
        <f>Português!Q71</f>
        <v>0</v>
      </c>
      <c r="R71" s="53">
        <f>Português!R71</f>
        <v>0</v>
      </c>
      <c r="S71" s="53">
        <f>Português!S71</f>
        <v>-3.4990000000000001</v>
      </c>
      <c r="T71" s="53">
        <f>Português!T71</f>
        <v>-5.976</v>
      </c>
      <c r="U71" s="53">
        <f>Português!U71</f>
        <v>-5.8920000000000003</v>
      </c>
      <c r="V71" s="53">
        <f>Português!V71</f>
        <v>-7.0890000000000004</v>
      </c>
      <c r="W71" s="53">
        <f>Português!W71</f>
        <v>-6.2309999999999999</v>
      </c>
      <c r="X71" s="53">
        <f>Português!X71</f>
        <v>-6.3170000000000002</v>
      </c>
      <c r="Y71" s="53">
        <f>Português!Y71</f>
        <v>-7.6210000000000004</v>
      </c>
      <c r="Z71" s="53">
        <f>Português!Z71</f>
        <v>-6.46</v>
      </c>
      <c r="AA71" s="53">
        <f>Português!AA71</f>
        <v>0</v>
      </c>
      <c r="AB71" s="53">
        <f>Português!AB71</f>
        <v>-3.9359999999999999</v>
      </c>
      <c r="AC71" s="53">
        <f>Português!AC71</f>
        <v>-5.649</v>
      </c>
      <c r="AD71" s="53">
        <f>Português!AD71</f>
        <v>-3.681</v>
      </c>
      <c r="AE71" s="53">
        <f>Português!AE71</f>
        <v>-4.9706999999999999</v>
      </c>
      <c r="AF71" s="53">
        <f>Português!AF71</f>
        <v>-2.8637306699999998</v>
      </c>
      <c r="AG71" s="53">
        <f>Português!AG71</f>
        <v>-4.4312395000000002</v>
      </c>
      <c r="AH71" s="53">
        <f>Português!AH71</f>
        <v>-11.708056089999999</v>
      </c>
      <c r="AI71" s="53">
        <f>Português!AI71</f>
        <v>-10.917627529999997</v>
      </c>
      <c r="AJ71" s="53">
        <f>Português!AJ71</f>
        <v>-8.6667297499999982</v>
      </c>
      <c r="AK71" s="53">
        <f>Português!AK71</f>
        <v>-11.147129549999999</v>
      </c>
      <c r="AL71" s="53">
        <f>Português!AL71</f>
        <v>-9.4097352700000059</v>
      </c>
      <c r="AM71" s="53">
        <f>Português!AM71</f>
        <v>-26.689851169999997</v>
      </c>
      <c r="AN71" s="53">
        <f>Português!AN71</f>
        <v>-22.159108979999996</v>
      </c>
      <c r="AO71" s="53">
        <f>Português!AO71</f>
        <v>-38.441408039999992</v>
      </c>
      <c r="AP71" s="53">
        <f>Português!AP71</f>
        <v>-51.823211520000001</v>
      </c>
      <c r="AQ71" s="53">
        <f>Português!AQ71</f>
        <v>-57.786614839999984</v>
      </c>
      <c r="AR71" s="53">
        <f>Português!AR71</f>
        <v>-49.530999999999999</v>
      </c>
      <c r="AS71" s="19"/>
      <c r="AT71" s="53">
        <f>SUM(H71:K71)</f>
        <v>0</v>
      </c>
      <c r="AU71" s="53">
        <f>SUM(L71:O71)</f>
        <v>0</v>
      </c>
      <c r="AV71" s="53">
        <f>SUM(P71:S71)</f>
        <v>-3.4990000000000001</v>
      </c>
      <c r="AW71" s="53">
        <f>SUM(T71:W71)</f>
        <v>-25.188000000000002</v>
      </c>
      <c r="AX71" s="53">
        <f>SUM(X71:AA71)</f>
        <v>-20.398</v>
      </c>
      <c r="AY71" s="53">
        <f>SUM(AB71:AE71)</f>
        <v>-18.236700000000003</v>
      </c>
      <c r="AZ71" s="53">
        <f>SUM(AF71:AI71)</f>
        <v>-29.920653789999996</v>
      </c>
      <c r="BA71" s="53">
        <f t="shared" si="24"/>
        <v>-55.91344574</v>
      </c>
      <c r="BB71" s="53">
        <f t="shared" si="23"/>
        <v>-170.21034337999998</v>
      </c>
      <c r="BC71" s="37"/>
    </row>
    <row r="72" spans="1:55" ht="13.5" outlineLevel="1">
      <c r="B72" s="60" t="s">
        <v>434</v>
      </c>
      <c r="C72" s="10" t="s">
        <v>390</v>
      </c>
      <c r="D72" s="109"/>
      <c r="E72" s="109"/>
      <c r="F72" s="109"/>
      <c r="G72" s="109"/>
      <c r="H72" s="57">
        <f>SUM(H73:H80)</f>
        <v>-92.919003639999943</v>
      </c>
      <c r="I72" s="57">
        <f>SUM(I73:I80)</f>
        <v>-90.377535159454027</v>
      </c>
      <c r="J72" s="57">
        <f>SUM(J73:J80)</f>
        <v>-115.38619020000006</v>
      </c>
      <c r="K72" s="57">
        <f>SUM(K73:K80)</f>
        <v>-127.92782582054593</v>
      </c>
      <c r="L72" s="57">
        <f>SUM(L73:L80)</f>
        <v>-90.854317149999972</v>
      </c>
      <c r="M72" s="57">
        <f>SUM(M73:M80)</f>
        <v>-132.24004889999998</v>
      </c>
      <c r="N72" s="57">
        <f>SUM(N73:N80)</f>
        <v>-139.08857572999997</v>
      </c>
      <c r="O72" s="57">
        <f>SUM(O73:O80)</f>
        <v>-144.9953687900001</v>
      </c>
      <c r="P72" s="57">
        <f>SUM(P73:P80)</f>
        <v>-139.279</v>
      </c>
      <c r="Q72" s="57">
        <f>SUM(Q73:Q80)</f>
        <v>-128.85500000000002</v>
      </c>
      <c r="R72" s="57">
        <f>SUM(R73:R80)</f>
        <v>-138.42499999999998</v>
      </c>
      <c r="S72" s="57">
        <f>SUM(S73:S80)</f>
        <v>-269.52100000000013</v>
      </c>
      <c r="T72" s="57">
        <f>SUM(T73:T80)</f>
        <v>-333.38300000000004</v>
      </c>
      <c r="U72" s="57">
        <f>SUM(U73:U80)</f>
        <v>-310.32400000000001</v>
      </c>
      <c r="V72" s="57">
        <f>SUM(V73:V80)</f>
        <v>-346.89699999999993</v>
      </c>
      <c r="W72" s="57">
        <f>SUM(W73:W80)</f>
        <v>-422.91499999999991</v>
      </c>
      <c r="X72" s="57">
        <f>SUM(X73:X80)</f>
        <v>-409.50000000000006</v>
      </c>
      <c r="Y72" s="57">
        <f>SUM(Y73:Y80)</f>
        <v>-438.12199999999996</v>
      </c>
      <c r="Z72" s="57">
        <f>SUM(Z73:Z80)</f>
        <v>-504.76599999999996</v>
      </c>
      <c r="AA72" s="57">
        <f>SUM(AA73:AA80)</f>
        <v>-475.86499999999995</v>
      </c>
      <c r="AB72" s="57">
        <f>SUM(AB73:AB80)</f>
        <v>-811.04399999999987</v>
      </c>
      <c r="AC72" s="57">
        <f>SUM(AC73:AC80)</f>
        <v>-1192.7610000000002</v>
      </c>
      <c r="AD72" s="57">
        <f>SUM(AD73:AD80)</f>
        <v>-1362.038</v>
      </c>
      <c r="AE72" s="57">
        <f>SUM(AE73:AE80)</f>
        <v>-1176.5789999999997</v>
      </c>
      <c r="AF72" s="57">
        <f>SUM(AF73:AF80)</f>
        <v>-1066.9654596288558</v>
      </c>
      <c r="AG72" s="57">
        <f>SUM(AG73:AG80)</f>
        <v>-1084.5794357039308</v>
      </c>
      <c r="AH72" s="57">
        <f>SUM(AH73:AH80)</f>
        <v>-1144.5055029440159</v>
      </c>
      <c r="AI72" s="57">
        <f>SUM(AI73:AI80)</f>
        <v>-1122.5652009931978</v>
      </c>
      <c r="AJ72" s="57">
        <f>SUM(AJ73:AJ80)</f>
        <v>-1121.9240060699999</v>
      </c>
      <c r="AK72" s="57">
        <f>SUM(AK73:AK80)</f>
        <v>-1137.7856181899999</v>
      </c>
      <c r="AL72" s="57">
        <f>SUM(AL73:AL80)</f>
        <v>-1334.8135172200002</v>
      </c>
      <c r="AM72" s="57">
        <f>SUM(AM73:AM80)</f>
        <v>-1693.0124901200002</v>
      </c>
      <c r="AN72" s="57">
        <f>SUM(AN73:AN80)</f>
        <v>-907.04646802000002</v>
      </c>
      <c r="AO72" s="57">
        <f>SUM(AO73:AO80)</f>
        <v>-910.28257275999999</v>
      </c>
      <c r="AP72" s="57">
        <f>SUM(AP73:AP80)</f>
        <v>-914.48794893000002</v>
      </c>
      <c r="AQ72" s="57">
        <f>SUM(AQ73:AQ80)</f>
        <v>-847.90456067999992</v>
      </c>
      <c r="AR72" s="57">
        <f>SUM(AR73:AR80)</f>
        <v>-951.56825265000009</v>
      </c>
      <c r="AS72" s="19"/>
      <c r="AT72" s="57">
        <f>SUM(AT73:AT80)</f>
        <v>-426.61055481999995</v>
      </c>
      <c r="AU72" s="57">
        <f>SUM(AU73:AU80)</f>
        <v>-507.17831057000001</v>
      </c>
      <c r="AV72" s="57">
        <f>SUM(AV73:AV80)</f>
        <v>-676.08</v>
      </c>
      <c r="AW72" s="57">
        <f>SUM(AW73:AW80)</f>
        <v>-1413.5189999999998</v>
      </c>
      <c r="AX72" s="57">
        <f>SUM(AX73:AX80)</f>
        <v>-1828.2529999999999</v>
      </c>
      <c r="AY72" s="57">
        <f>SUM(AY73:AY80)</f>
        <v>-4542.4220000000014</v>
      </c>
      <c r="AZ72" s="57">
        <f>SUM(AZ73:AZ80)</f>
        <v>-4418.6155992700005</v>
      </c>
      <c r="BA72" s="57">
        <f t="shared" si="24"/>
        <v>-5287.5356315999998</v>
      </c>
      <c r="BB72" s="57">
        <f t="shared" si="23"/>
        <v>-3579.7215503900002</v>
      </c>
      <c r="BC72" s="37"/>
    </row>
    <row r="73" spans="1:55" outlineLevel="1">
      <c r="B73" s="61" t="s">
        <v>435</v>
      </c>
      <c r="C73" s="1" t="s">
        <v>390</v>
      </c>
      <c r="D73" s="108"/>
      <c r="E73" s="108"/>
      <c r="F73" s="108"/>
      <c r="G73" s="108"/>
      <c r="H73" s="53">
        <f>Português!H73</f>
        <v>-34.617838969999994</v>
      </c>
      <c r="I73" s="53">
        <f>Português!I73</f>
        <v>-30.820548100000011</v>
      </c>
      <c r="J73" s="53">
        <f>Português!J73</f>
        <v>-40.168255530000053</v>
      </c>
      <c r="K73" s="53">
        <f>Português!K73</f>
        <v>-56.486855679999955</v>
      </c>
      <c r="L73" s="53">
        <f>Português!L73</f>
        <v>-32.338281329999987</v>
      </c>
      <c r="M73" s="53">
        <f>Português!M73</f>
        <v>-52.740079179999988</v>
      </c>
      <c r="N73" s="53">
        <f>Português!N73</f>
        <v>-53.681793879999958</v>
      </c>
      <c r="O73" s="53">
        <f>Português!O73</f>
        <v>-56.586611750000095</v>
      </c>
      <c r="P73" s="53">
        <f>Português!P73</f>
        <v>-52.17</v>
      </c>
      <c r="Q73" s="53">
        <f>Português!Q73</f>
        <v>-45.969000000000001</v>
      </c>
      <c r="R73" s="53">
        <f>Português!R73</f>
        <v>-56.768000000000008</v>
      </c>
      <c r="S73" s="53">
        <f>Português!S73</f>
        <v>-67.601000000000028</v>
      </c>
      <c r="T73" s="53">
        <f>Português!T73</f>
        <v>-84.084000000000003</v>
      </c>
      <c r="U73" s="53">
        <f>Português!U73</f>
        <v>-94.736999999999995</v>
      </c>
      <c r="V73" s="53">
        <f>Português!V73</f>
        <v>-94.290999999999997</v>
      </c>
      <c r="W73" s="53">
        <f>Português!W73</f>
        <v>-85.948000000000008</v>
      </c>
      <c r="X73" s="53">
        <f>Português!X73</f>
        <v>-92.358999999999995</v>
      </c>
      <c r="Y73" s="53">
        <f>Português!Y73</f>
        <v>-127.767</v>
      </c>
      <c r="Z73" s="53">
        <f>Português!Z73</f>
        <v>-125.45999999999998</v>
      </c>
      <c r="AA73" s="53">
        <f>Português!AA73</f>
        <v>-116.98400000000001</v>
      </c>
      <c r="AB73" s="53">
        <f>Português!AB73</f>
        <v>-195.44900000000001</v>
      </c>
      <c r="AC73" s="53">
        <f>Português!AC73</f>
        <v>-269.78200000000004</v>
      </c>
      <c r="AD73" s="53">
        <f>Português!AD73</f>
        <v>-320.50400000000002</v>
      </c>
      <c r="AE73" s="53">
        <f>Português!AE73</f>
        <v>-291.64800000000002</v>
      </c>
      <c r="AF73" s="53">
        <f>Português!AF73</f>
        <v>-280.74180951</v>
      </c>
      <c r="AG73" s="53">
        <f>Português!AG73</f>
        <v>-278.31450000000001</v>
      </c>
      <c r="AH73" s="53">
        <f>Português!AH73</f>
        <v>-282.90524682</v>
      </c>
      <c r="AI73" s="53">
        <f>Português!AI73</f>
        <v>-252.39525665000002</v>
      </c>
      <c r="AJ73" s="53">
        <f>Português!AJ73</f>
        <v>-257.9023057</v>
      </c>
      <c r="AK73" s="53">
        <f>Português!AK73</f>
        <v>-273.90799999999996</v>
      </c>
      <c r="AL73" s="53">
        <f>Português!AL73</f>
        <v>-283.86546215000004</v>
      </c>
      <c r="AM73" s="53">
        <f>Português!AM73</f>
        <v>-296.06126008000001</v>
      </c>
      <c r="AN73" s="53">
        <f>Português!AN73</f>
        <v>-152.35912094</v>
      </c>
      <c r="AO73" s="53">
        <f>Português!AO73</f>
        <v>-130.08082171999999</v>
      </c>
      <c r="AP73" s="53">
        <f>Português!AP73</f>
        <v>-101.74283327000005</v>
      </c>
      <c r="AQ73" s="53">
        <f>Português!AQ73</f>
        <v>-134.21888095999995</v>
      </c>
      <c r="AR73" s="53">
        <f>Português!AR73</f>
        <v>-157.09200000000001</v>
      </c>
      <c r="AS73" s="19"/>
      <c r="AT73" s="53">
        <f t="shared" ref="AT73:AT81" si="25">SUM(H73:K73)</f>
        <v>-162.09349828000001</v>
      </c>
      <c r="AU73" s="53">
        <f t="shared" ref="AU73:AU81" si="26">SUM(L73:O73)</f>
        <v>-195.34676614000003</v>
      </c>
      <c r="AV73" s="53">
        <f t="shared" ref="AV73:AV81" si="27">SUM(P73:S73)</f>
        <v>-222.50800000000004</v>
      </c>
      <c r="AW73" s="53">
        <f t="shared" ref="AW73:AW81" si="28">SUM(T73:W73)</f>
        <v>-359.05999999999995</v>
      </c>
      <c r="AX73" s="53">
        <f t="shared" ref="AX73:AX81" si="29">SUM(X73:AA73)</f>
        <v>-462.56999999999994</v>
      </c>
      <c r="AY73" s="53">
        <f t="shared" ref="AY73:AY81" si="30">SUM(AB73:AE73)</f>
        <v>-1077.3830000000003</v>
      </c>
      <c r="AZ73" s="53">
        <f t="shared" ref="AZ73:AZ80" si="31">SUM(AF73:AI73)</f>
        <v>-1094.3568129800001</v>
      </c>
      <c r="BA73" s="53">
        <f t="shared" si="24"/>
        <v>-1111.7370279300001</v>
      </c>
      <c r="BB73" s="53">
        <f t="shared" si="23"/>
        <v>-518.40165689000003</v>
      </c>
      <c r="BC73" s="37"/>
    </row>
    <row r="74" spans="1:55" outlineLevel="1">
      <c r="B74" s="61" t="s">
        <v>436</v>
      </c>
      <c r="C74" s="1" t="s">
        <v>390</v>
      </c>
      <c r="D74" s="108"/>
      <c r="E74" s="108"/>
      <c r="F74" s="108"/>
      <c r="G74" s="108"/>
      <c r="H74" s="53"/>
      <c r="I74" s="53"/>
      <c r="J74" s="53"/>
      <c r="K74" s="53"/>
      <c r="L74" s="53"/>
      <c r="M74" s="53"/>
      <c r="N74" s="53"/>
      <c r="O74" s="53"/>
      <c r="P74" s="53"/>
      <c r="Q74" s="53"/>
      <c r="R74" s="53"/>
      <c r="S74" s="53"/>
      <c r="T74" s="53"/>
      <c r="U74" s="53"/>
      <c r="V74" s="53"/>
      <c r="W74" s="53"/>
      <c r="X74" s="53">
        <f>Português!X74</f>
        <v>0</v>
      </c>
      <c r="Y74" s="53">
        <f>Português!Y74</f>
        <v>-20.303000000000001</v>
      </c>
      <c r="Z74" s="53">
        <f>Português!Z74</f>
        <v>-30.454000000000001</v>
      </c>
      <c r="AA74" s="53">
        <f>Português!AA74</f>
        <v>-5.5469999999999997</v>
      </c>
      <c r="AB74" s="53">
        <f>Português!AB74</f>
        <v>-129.63400000000001</v>
      </c>
      <c r="AC74" s="53">
        <f>Português!AC74</f>
        <v>-144.81299999999999</v>
      </c>
      <c r="AD74" s="53">
        <f>Português!AD74</f>
        <v>-142.06399999999999</v>
      </c>
      <c r="AE74" s="53">
        <f>Português!AE74</f>
        <v>-69.805000000000007</v>
      </c>
      <c r="AF74" s="53">
        <f>Português!AF74</f>
        <v>-18.808835559999999</v>
      </c>
      <c r="AG74" s="53">
        <f>Português!AG74</f>
        <v>10.799146740000005</v>
      </c>
      <c r="AH74" s="53">
        <f>Português!AH74</f>
        <v>-15.915749999999997</v>
      </c>
      <c r="AI74" s="53">
        <f>Português!AI74</f>
        <v>39.907491829999998</v>
      </c>
      <c r="AJ74" s="53">
        <f>Português!AJ74</f>
        <v>-41.859495799999998</v>
      </c>
      <c r="AK74" s="53">
        <f>Português!AK74</f>
        <v>-30.48027355</v>
      </c>
      <c r="AL74" s="53">
        <f>Português!AL74</f>
        <v>-32.768282040000003</v>
      </c>
      <c r="AM74" s="53">
        <f>Português!AM74</f>
        <v>2.3869679599999798</v>
      </c>
      <c r="AN74" s="53">
        <f>Português!AN74</f>
        <v>-16.346570020000005</v>
      </c>
      <c r="AO74" s="53">
        <f>Português!AO74</f>
        <v>-12.73945833000011</v>
      </c>
      <c r="AP74" s="53">
        <f>Português!AP74</f>
        <v>-6.7591003699998993</v>
      </c>
      <c r="AQ74" s="53">
        <f>Português!AQ74</f>
        <v>12.99491636</v>
      </c>
      <c r="AR74" s="53">
        <f>Português!AR74</f>
        <v>-8.641</v>
      </c>
      <c r="AS74" s="19"/>
      <c r="AT74" s="53">
        <f t="shared" si="25"/>
        <v>0</v>
      </c>
      <c r="AU74" s="53">
        <f t="shared" si="26"/>
        <v>0</v>
      </c>
      <c r="AV74" s="53">
        <f t="shared" si="27"/>
        <v>0</v>
      </c>
      <c r="AW74" s="53">
        <f t="shared" si="28"/>
        <v>0</v>
      </c>
      <c r="AX74" s="53">
        <f t="shared" si="29"/>
        <v>-56.304000000000002</v>
      </c>
      <c r="AY74" s="53">
        <f t="shared" si="30"/>
        <v>-486.31599999999997</v>
      </c>
      <c r="AZ74" s="53">
        <f t="shared" si="31"/>
        <v>15.982053010000008</v>
      </c>
      <c r="BA74" s="53">
        <f t="shared" si="24"/>
        <v>-102.72108343000002</v>
      </c>
      <c r="BB74" s="53">
        <f t="shared" si="23"/>
        <v>-22.850212360000015</v>
      </c>
      <c r="BC74" s="37"/>
    </row>
    <row r="75" spans="1:55" s="112" customFormat="1" outlineLevel="1">
      <c r="A75" s="111"/>
      <c r="B75" s="61" t="s">
        <v>437</v>
      </c>
      <c r="C75" s="1" t="s">
        <v>390</v>
      </c>
      <c r="D75" s="108"/>
      <c r="E75" s="108"/>
      <c r="F75" s="108"/>
      <c r="G75" s="108"/>
      <c r="H75" s="53">
        <f>Português!H75</f>
        <v>-17.98987369</v>
      </c>
      <c r="I75" s="53">
        <f>Português!I75</f>
        <v>-14.673937130000002</v>
      </c>
      <c r="J75" s="53">
        <f>Português!J75</f>
        <v>-22.826262520000011</v>
      </c>
      <c r="K75" s="53">
        <f>Português!K75</f>
        <v>-21.934420699999965</v>
      </c>
      <c r="L75" s="53">
        <f>Português!L75</f>
        <v>-17.814272379999998</v>
      </c>
      <c r="M75" s="53">
        <f>Português!M75</f>
        <v>-25.430035750000002</v>
      </c>
      <c r="N75" s="53">
        <f>Português!N75</f>
        <v>-22.970115680000013</v>
      </c>
      <c r="O75" s="53">
        <f>Português!O75</f>
        <v>-32.700280999999997</v>
      </c>
      <c r="P75" s="53">
        <f>Português!P75</f>
        <v>-20.651</v>
      </c>
      <c r="Q75" s="53">
        <f>Português!Q75</f>
        <v>-25.247</v>
      </c>
      <c r="R75" s="53">
        <f>Português!R75</f>
        <v>-25.937000000000001</v>
      </c>
      <c r="S75" s="53">
        <f>Português!S75</f>
        <v>-86.369</v>
      </c>
      <c r="T75" s="53">
        <f>Português!T75</f>
        <v>-60.823</v>
      </c>
      <c r="U75" s="53">
        <f>Português!U75</f>
        <v>-48.054000000000002</v>
      </c>
      <c r="V75" s="53">
        <f>Português!V75</f>
        <v>-46.524999999999999</v>
      </c>
      <c r="W75" s="53">
        <f>Português!W75</f>
        <v>-57.695</v>
      </c>
      <c r="X75" s="53">
        <f>Português!X75</f>
        <v>-75.44</v>
      </c>
      <c r="Y75" s="53">
        <f>Português!Y75</f>
        <v>-67.995000000000005</v>
      </c>
      <c r="Z75" s="53">
        <f>Português!Z75</f>
        <v>-76.097999999999999</v>
      </c>
      <c r="AA75" s="53">
        <f>Português!AA75</f>
        <v>-76.757999999999981</v>
      </c>
      <c r="AB75" s="53">
        <f>Português!AB75</f>
        <v>-130.13499999999999</v>
      </c>
      <c r="AC75" s="53">
        <f>Português!AC75</f>
        <v>-179.52799999999999</v>
      </c>
      <c r="AD75" s="53">
        <f>Português!AD75</f>
        <v>-171.07599999999999</v>
      </c>
      <c r="AE75" s="53">
        <f>Português!AE75</f>
        <v>-182.571</v>
      </c>
      <c r="AF75" s="53">
        <f>Português!AF75</f>
        <v>-174.69624827000001</v>
      </c>
      <c r="AG75" s="53">
        <f>Português!AG75</f>
        <v>-171.99181661999998</v>
      </c>
      <c r="AH75" s="53">
        <f>Português!AH75</f>
        <v>-190.84833400000002</v>
      </c>
      <c r="AI75" s="53">
        <f>Português!AI75</f>
        <v>-165.86207254999999</v>
      </c>
      <c r="AJ75" s="53">
        <f>Português!AJ75</f>
        <v>-194.02970841000001</v>
      </c>
      <c r="AK75" s="53">
        <f>Português!AK75</f>
        <v>-161.06434974999996</v>
      </c>
      <c r="AL75" s="53">
        <f>Português!AL75</f>
        <v>-185.18766313000003</v>
      </c>
      <c r="AM75" s="53">
        <f>Português!AM75</f>
        <v>-222.40392897000001</v>
      </c>
      <c r="AN75" s="53">
        <f>Português!AN75</f>
        <v>-103.17952113999999</v>
      </c>
      <c r="AO75" s="53">
        <f>Português!AO75</f>
        <v>-120.73678990000001</v>
      </c>
      <c r="AP75" s="53">
        <f>Português!AP75</f>
        <v>-127.70068987999996</v>
      </c>
      <c r="AQ75" s="53">
        <f>Português!AQ75</f>
        <v>-141.81463741000002</v>
      </c>
      <c r="AR75" s="53">
        <f>Português!AR75</f>
        <v>-142.22999999999999</v>
      </c>
      <c r="AS75" s="19"/>
      <c r="AT75" s="53">
        <f t="shared" si="25"/>
        <v>-77.424494039999971</v>
      </c>
      <c r="AU75" s="53">
        <f t="shared" si="26"/>
        <v>-98.914704810000018</v>
      </c>
      <c r="AV75" s="53">
        <f t="shared" si="27"/>
        <v>-158.20400000000001</v>
      </c>
      <c r="AW75" s="53">
        <f t="shared" si="28"/>
        <v>-213.09700000000001</v>
      </c>
      <c r="AX75" s="53">
        <f t="shared" si="29"/>
        <v>-296.291</v>
      </c>
      <c r="AY75" s="53">
        <f t="shared" si="30"/>
        <v>-663.31000000000006</v>
      </c>
      <c r="AZ75" s="53">
        <f t="shared" si="31"/>
        <v>-703.39847143999998</v>
      </c>
      <c r="BA75" s="53">
        <f t="shared" si="24"/>
        <v>-762.68565025999999</v>
      </c>
      <c r="BB75" s="53">
        <f t="shared" si="23"/>
        <v>-493.43163832999994</v>
      </c>
      <c r="BC75" s="37"/>
    </row>
    <row r="76" spans="1:55" s="112" customFormat="1" outlineLevel="1">
      <c r="A76" s="111"/>
      <c r="B76" s="61" t="s">
        <v>438</v>
      </c>
      <c r="C76" s="1" t="s">
        <v>390</v>
      </c>
      <c r="D76" s="108"/>
      <c r="E76" s="108"/>
      <c r="F76" s="108"/>
      <c r="G76" s="108"/>
      <c r="H76" s="53">
        <f>Português!H76</f>
        <v>-22.752955679999999</v>
      </c>
      <c r="I76" s="53">
        <f>Português!I76</f>
        <v>-23.334541869999999</v>
      </c>
      <c r="J76" s="53">
        <f>Português!J76</f>
        <v>-22.292728839999999</v>
      </c>
      <c r="K76" s="53">
        <f>Português!K76</f>
        <v>-24.315000000000001</v>
      </c>
      <c r="L76" s="53">
        <f>Português!L76</f>
        <v>-20.324759789999998</v>
      </c>
      <c r="M76" s="53">
        <f>Português!M76</f>
        <v>-24.775669320000002</v>
      </c>
      <c r="N76" s="53">
        <f>Português!N76</f>
        <v>-25.654</v>
      </c>
      <c r="O76" s="53">
        <f>Português!O76</f>
        <v>-25.471</v>
      </c>
      <c r="P76" s="53">
        <f>Português!P76</f>
        <v>-24.145999999999997</v>
      </c>
      <c r="Q76" s="53">
        <f>Português!Q76</f>
        <v>-22.605</v>
      </c>
      <c r="R76" s="53">
        <f>Português!R76</f>
        <v>-21.451000000000001</v>
      </c>
      <c r="S76" s="53">
        <f>Português!S76</f>
        <v>-27.724000000000039</v>
      </c>
      <c r="T76" s="53">
        <f>Português!T76</f>
        <v>-28.966999999999999</v>
      </c>
      <c r="U76" s="53">
        <f>Português!U76</f>
        <v>-27.604000000000003</v>
      </c>
      <c r="V76" s="53">
        <f>Português!V76</f>
        <v>-30.914000000000001</v>
      </c>
      <c r="W76" s="53">
        <f>Português!W76</f>
        <v>-25.354999999999933</v>
      </c>
      <c r="X76" s="53">
        <f>Português!X76</f>
        <v>-42.488999999999997</v>
      </c>
      <c r="Y76" s="53">
        <f>Português!Y76</f>
        <v>-49.731000000000002</v>
      </c>
      <c r="Z76" s="53">
        <f>Português!Z76</f>
        <v>-42.192999999999998</v>
      </c>
      <c r="AA76" s="53">
        <f>Português!AA76</f>
        <v>-43.438999999999965</v>
      </c>
      <c r="AB76" s="53">
        <f>Português!AB76</f>
        <v>-51.000999999999998</v>
      </c>
      <c r="AC76" s="53">
        <f>Português!AC76</f>
        <v>-82.409000000000006</v>
      </c>
      <c r="AD76" s="53">
        <f>Português!AD76</f>
        <v>-80.381</v>
      </c>
      <c r="AE76" s="53">
        <f>Português!AE76</f>
        <v>-78.117000000000004</v>
      </c>
      <c r="AF76" s="53">
        <f>Português!AF76</f>
        <v>-77.463079789999995</v>
      </c>
      <c r="AG76" s="53">
        <f>Português!AG76</f>
        <v>-72.702315949999999</v>
      </c>
      <c r="AH76" s="53">
        <f>Português!AH76</f>
        <v>-72.640833700000002</v>
      </c>
      <c r="AI76" s="53">
        <f>Português!AI76</f>
        <v>-93.875703869999995</v>
      </c>
      <c r="AJ76" s="53">
        <f>Português!AJ76</f>
        <v>-68.325002690000005</v>
      </c>
      <c r="AK76" s="53">
        <f>Português!AK76</f>
        <v>-77.060999999999993</v>
      </c>
      <c r="AL76" s="53">
        <f>Português!AL76</f>
        <v>-84.286010430000005</v>
      </c>
      <c r="AM76" s="53">
        <f>Português!AM76</f>
        <v>-82.705974070000011</v>
      </c>
      <c r="AN76" s="53">
        <f>Português!AN76</f>
        <v>-49.81670745000001</v>
      </c>
      <c r="AO76" s="53">
        <f>Português!AO76</f>
        <v>-48.193875990000002</v>
      </c>
      <c r="AP76" s="53">
        <f>Português!AP76</f>
        <v>-50.574851540000004</v>
      </c>
      <c r="AQ76" s="53">
        <f>Português!AQ76</f>
        <v>-34.738706849999971</v>
      </c>
      <c r="AR76" s="53">
        <f>Português!AR76</f>
        <v>-38.363</v>
      </c>
      <c r="AS76" s="19"/>
      <c r="AT76" s="53">
        <f t="shared" si="25"/>
        <v>-92.695226389999988</v>
      </c>
      <c r="AU76" s="53">
        <f t="shared" si="26"/>
        <v>-96.225429110000007</v>
      </c>
      <c r="AV76" s="53">
        <f t="shared" si="27"/>
        <v>-95.926000000000045</v>
      </c>
      <c r="AW76" s="53">
        <f t="shared" si="28"/>
        <v>-112.83999999999993</v>
      </c>
      <c r="AX76" s="53">
        <f t="shared" si="29"/>
        <v>-177.85199999999998</v>
      </c>
      <c r="AY76" s="53">
        <f t="shared" si="30"/>
        <v>-291.90800000000002</v>
      </c>
      <c r="AZ76" s="53">
        <f t="shared" si="31"/>
        <v>-316.68193330999998</v>
      </c>
      <c r="BA76" s="53">
        <f t="shared" si="24"/>
        <v>-312.37798719</v>
      </c>
      <c r="BB76" s="53">
        <f t="shared" si="23"/>
        <v>-183.32414182999997</v>
      </c>
      <c r="BC76" s="37"/>
    </row>
    <row r="77" spans="1:55" s="112" customFormat="1" outlineLevel="1">
      <c r="A77" s="111"/>
      <c r="B77" s="61" t="s">
        <v>422</v>
      </c>
      <c r="C77" s="1" t="s">
        <v>390</v>
      </c>
      <c r="D77" s="108"/>
      <c r="E77" s="108"/>
      <c r="F77" s="108"/>
      <c r="G77" s="108"/>
      <c r="H77" s="53">
        <f>Português!H77</f>
        <v>-1.105</v>
      </c>
      <c r="I77" s="53">
        <f>Português!I77</f>
        <v>-1.468</v>
      </c>
      <c r="J77" s="53">
        <f>Português!J77</f>
        <v>-1.393</v>
      </c>
      <c r="K77" s="53">
        <f>Português!K77</f>
        <v>-1.46</v>
      </c>
      <c r="L77" s="53">
        <f>Português!L77</f>
        <v>-1.518</v>
      </c>
      <c r="M77" s="53">
        <f>Português!M77</f>
        <v>-1.7689999999999999</v>
      </c>
      <c r="N77" s="53">
        <f>Português!N77</f>
        <v>-2.129</v>
      </c>
      <c r="O77" s="53">
        <f>Português!O77</f>
        <v>-1.516</v>
      </c>
      <c r="P77" s="53">
        <f>Português!P77</f>
        <v>-9.0220000000000002</v>
      </c>
      <c r="Q77" s="53">
        <f>Português!Q77</f>
        <v>-8.1920000000000002</v>
      </c>
      <c r="R77" s="53">
        <f>Português!R77</f>
        <v>-8.5459999999999994</v>
      </c>
      <c r="S77" s="53">
        <f>Português!S77</f>
        <v>-81.09</v>
      </c>
      <c r="T77" s="53">
        <f>Português!T77</f>
        <v>-122.76300000000001</v>
      </c>
      <c r="U77" s="53">
        <f>Português!U77</f>
        <v>-112.51600000000001</v>
      </c>
      <c r="V77" s="53">
        <f>Português!V77</f>
        <v>-143.31899999999999</v>
      </c>
      <c r="W77" s="53">
        <f>Português!W77</f>
        <v>-211.21199999999999</v>
      </c>
      <c r="X77" s="53">
        <f>Português!X77</f>
        <v>-172.96600000000001</v>
      </c>
      <c r="Y77" s="53">
        <f>Português!Y77</f>
        <v>-168.95099999999999</v>
      </c>
      <c r="Z77" s="53">
        <f>Português!Z77</f>
        <v>-184.74299999999999</v>
      </c>
      <c r="AA77" s="53">
        <f>Português!AA77</f>
        <v>-180.803</v>
      </c>
      <c r="AB77" s="53">
        <f>Português!AB77</f>
        <v>-222.87899999999999</v>
      </c>
      <c r="AC77" s="53">
        <f>Português!AC77</f>
        <v>-449.93299999999999</v>
      </c>
      <c r="AD77" s="53">
        <f>Português!AD77</f>
        <v>-547.17700000000002</v>
      </c>
      <c r="AE77" s="53">
        <f>Português!AE77</f>
        <v>-475.017</v>
      </c>
      <c r="AF77" s="53">
        <f>Português!AF77</f>
        <v>-392.46137541999997</v>
      </c>
      <c r="AG77" s="53">
        <f>Português!AG77</f>
        <v>-430.25923443000022</v>
      </c>
      <c r="AH77" s="53">
        <f>Português!AH77</f>
        <v>-434.84004996999971</v>
      </c>
      <c r="AI77" s="53">
        <f>Português!AI77</f>
        <v>-442.4880443700003</v>
      </c>
      <c r="AJ77" s="53">
        <f>Português!AJ77</f>
        <v>-431.60694629</v>
      </c>
      <c r="AK77" s="53">
        <f>Português!AK77</f>
        <v>-442.79796534000013</v>
      </c>
      <c r="AL77" s="53">
        <f>Português!AL77</f>
        <v>-438.98121062000001</v>
      </c>
      <c r="AM77" s="53">
        <f>Português!AM77</f>
        <v>-447.02854084000018</v>
      </c>
      <c r="AN77" s="53">
        <f>Português!AN77</f>
        <v>-418.16919250000007</v>
      </c>
      <c r="AO77" s="53">
        <f>Português!AO77</f>
        <v>-405.44977587999995</v>
      </c>
      <c r="AP77" s="53">
        <f>Português!AP77</f>
        <v>-391.68032893000009</v>
      </c>
      <c r="AQ77" s="53">
        <f>Português!AQ77</f>
        <v>-296.35781960999998</v>
      </c>
      <c r="AR77" s="53">
        <f>Português!AR77</f>
        <v>-284.56799999999998</v>
      </c>
      <c r="AS77" s="19"/>
      <c r="AT77" s="53">
        <f t="shared" si="25"/>
        <v>-5.4260000000000002</v>
      </c>
      <c r="AU77" s="53">
        <f t="shared" si="26"/>
        <v>-6.9320000000000004</v>
      </c>
      <c r="AV77" s="53">
        <f t="shared" si="27"/>
        <v>-106.85</v>
      </c>
      <c r="AW77" s="53">
        <f t="shared" si="28"/>
        <v>-589.80999999999995</v>
      </c>
      <c r="AX77" s="53">
        <f t="shared" si="29"/>
        <v>-707.46300000000008</v>
      </c>
      <c r="AY77" s="53">
        <f t="shared" si="30"/>
        <v>-1695.0060000000001</v>
      </c>
      <c r="AZ77" s="53">
        <f t="shared" si="31"/>
        <v>-1700.0487041900003</v>
      </c>
      <c r="BA77" s="53">
        <f t="shared" si="24"/>
        <v>-1760.4146630900004</v>
      </c>
      <c r="BB77" s="53">
        <f t="shared" si="23"/>
        <v>-1511.6571169200001</v>
      </c>
      <c r="BC77" s="37"/>
    </row>
    <row r="78" spans="1:55" s="112" customFormat="1" outlineLevel="1">
      <c r="A78" s="111"/>
      <c r="B78" s="61" t="s">
        <v>439</v>
      </c>
      <c r="C78" s="1" t="s">
        <v>390</v>
      </c>
      <c r="D78" s="108"/>
      <c r="E78" s="108"/>
      <c r="F78" s="108"/>
      <c r="G78" s="108"/>
      <c r="H78" s="53">
        <f>Português!H78</f>
        <v>-6.1309577899999983</v>
      </c>
      <c r="I78" s="53">
        <f>Português!I78</f>
        <v>-0.85000052999999998</v>
      </c>
      <c r="J78" s="53">
        <f>Português!J78</f>
        <v>-15.645892380000003</v>
      </c>
      <c r="K78" s="53">
        <f>Português!K78</f>
        <v>-12.971990469999998</v>
      </c>
      <c r="L78" s="53">
        <f>Português!L78</f>
        <v>-8.0953280599999999</v>
      </c>
      <c r="M78" s="53">
        <f>Português!M78</f>
        <v>-19.515310159999999</v>
      </c>
      <c r="N78" s="53">
        <f>Português!N78</f>
        <v>-7.4965000000000002</v>
      </c>
      <c r="O78" s="53">
        <f>Português!O78</f>
        <v>-2.9656850000000001</v>
      </c>
      <c r="P78" s="53">
        <f>Português!P78</f>
        <v>-11.31</v>
      </c>
      <c r="Q78" s="53">
        <f>Português!Q78</f>
        <v>1.339</v>
      </c>
      <c r="R78" s="53">
        <f>Português!R78</f>
        <v>-1.2350000000000001</v>
      </c>
      <c r="S78" s="53">
        <f>Português!S78</f>
        <v>5.6380000000000008</v>
      </c>
      <c r="T78" s="53">
        <f>Português!T78</f>
        <v>-3.327</v>
      </c>
      <c r="U78" s="53">
        <f>Português!U78</f>
        <v>-3.4279999999999999</v>
      </c>
      <c r="V78" s="53">
        <f>Português!V78</f>
        <v>-3.1429999999999998</v>
      </c>
      <c r="W78" s="53">
        <f>Português!W78</f>
        <v>-3.0410000000000004</v>
      </c>
      <c r="X78" s="53">
        <f>Português!X78</f>
        <v>-4.274</v>
      </c>
      <c r="Y78" s="53">
        <f>Português!Y78</f>
        <v>-5.76</v>
      </c>
      <c r="Z78" s="53">
        <f>Português!Z78</f>
        <v>-5.1349999999999998</v>
      </c>
      <c r="AA78" s="53">
        <f>Português!AA78</f>
        <v>-4.234</v>
      </c>
      <c r="AB78" s="53">
        <f>Português!AB78</f>
        <v>-27.968</v>
      </c>
      <c r="AC78" s="53">
        <f>Português!AC78</f>
        <v>-27.283999999999999</v>
      </c>
      <c r="AD78" s="53">
        <f>Português!AD78</f>
        <v>-36.161000000000001</v>
      </c>
      <c r="AE78" s="53">
        <f>Português!AE78</f>
        <v>16.88</v>
      </c>
      <c r="AF78" s="53">
        <f>Português!AF78</f>
        <v>-30.825000000000003</v>
      </c>
      <c r="AG78" s="53">
        <f>Português!AG78</f>
        <v>-27.43124520000001</v>
      </c>
      <c r="AH78" s="53">
        <f>Português!AH78</f>
        <v>-28.277211419999976</v>
      </c>
      <c r="AI78" s="53">
        <f>Português!AI78</f>
        <v>-30.626111980000005</v>
      </c>
      <c r="AJ78" s="53">
        <f>Português!AJ78</f>
        <v>-24.291351000000002</v>
      </c>
      <c r="AK78" s="53">
        <f>Português!AK78</f>
        <v>-24.545823019999997</v>
      </c>
      <c r="AL78" s="53">
        <f>Português!AL78</f>
        <v>-29.853292800000009</v>
      </c>
      <c r="AM78" s="53">
        <f>Português!AM78</f>
        <v>-36.583689989999975</v>
      </c>
      <c r="AN78" s="53">
        <f>Português!AN78</f>
        <v>-21.779917990000001</v>
      </c>
      <c r="AO78" s="53">
        <f>Português!AO78</f>
        <v>-52.427859980000008</v>
      </c>
      <c r="AP78" s="53">
        <f>Português!AP78</f>
        <v>-90.265345290000027</v>
      </c>
      <c r="AQ78" s="53">
        <f>Português!AQ78</f>
        <v>-79.011513539999996</v>
      </c>
      <c r="AR78" s="53">
        <f>Português!AR78</f>
        <v>-2.9263598599999998</v>
      </c>
      <c r="AS78" s="19"/>
      <c r="AT78" s="53">
        <f t="shared" si="25"/>
        <v>-35.59884117</v>
      </c>
      <c r="AU78" s="53">
        <f t="shared" si="26"/>
        <v>-38.072823219999997</v>
      </c>
      <c r="AV78" s="53">
        <f t="shared" si="27"/>
        <v>-5.5679999999999987</v>
      </c>
      <c r="AW78" s="53">
        <f t="shared" si="28"/>
        <v>-12.939</v>
      </c>
      <c r="AX78" s="53">
        <f t="shared" si="29"/>
        <v>-19.402999999999999</v>
      </c>
      <c r="AY78" s="53">
        <f t="shared" si="30"/>
        <v>-74.533000000000001</v>
      </c>
      <c r="AZ78" s="53">
        <f t="shared" si="31"/>
        <v>-117.15956859999999</v>
      </c>
      <c r="BA78" s="53">
        <f t="shared" si="24"/>
        <v>-115.27415680999999</v>
      </c>
      <c r="BB78" s="53">
        <f t="shared" si="23"/>
        <v>-243.48463680000003</v>
      </c>
      <c r="BC78" s="37"/>
    </row>
    <row r="79" spans="1:55" outlineLevel="1">
      <c r="B79" s="61" t="s">
        <v>440</v>
      </c>
      <c r="C79" s="1" t="s">
        <v>390</v>
      </c>
      <c r="D79" s="108"/>
      <c r="E79" s="108"/>
      <c r="F79" s="108"/>
      <c r="G79" s="108"/>
      <c r="H79" s="53">
        <f>Português!H79</f>
        <v>-7.0760560799999652</v>
      </c>
      <c r="I79" s="53">
        <f>Português!I79</f>
        <v>-11.829958819454024</v>
      </c>
      <c r="J79" s="53">
        <f>Português!J79</f>
        <v>-10.055094379999989</v>
      </c>
      <c r="K79" s="53">
        <f>Português!K79</f>
        <v>-2.6668907205460197</v>
      </c>
      <c r="L79" s="53">
        <f>Português!L79</f>
        <v>-8.7891306600000014</v>
      </c>
      <c r="M79" s="53">
        <f>Português!M79</f>
        <v>-7.7941858799999988</v>
      </c>
      <c r="N79" s="53">
        <f>Português!N79</f>
        <v>-23.481390169999997</v>
      </c>
      <c r="O79" s="53">
        <f>Português!O79</f>
        <v>-22.375776579999997</v>
      </c>
      <c r="P79" s="53">
        <f>Português!P79</f>
        <v>-19.077999999999999</v>
      </c>
      <c r="Q79" s="53">
        <f>Português!Q79</f>
        <v>-26.591999999999999</v>
      </c>
      <c r="R79" s="53">
        <f>Português!R79</f>
        <v>-20.978000000000002</v>
      </c>
      <c r="S79" s="53">
        <f>Português!S79</f>
        <v>-9.7889999999999944</v>
      </c>
      <c r="T79" s="53">
        <f>Português!T79</f>
        <v>-21.295999999999999</v>
      </c>
      <c r="U79" s="53">
        <f>Português!U79</f>
        <v>-20.306999999999999</v>
      </c>
      <c r="V79" s="53">
        <f>Português!V79</f>
        <v>-21.123000000000001</v>
      </c>
      <c r="W79" s="53">
        <f>Português!W79</f>
        <v>-31.016999999999999</v>
      </c>
      <c r="X79" s="53">
        <f>Português!X79</f>
        <v>-19.417000000000002</v>
      </c>
      <c r="Y79" s="53">
        <f>Português!Y79</f>
        <v>12.272</v>
      </c>
      <c r="Z79" s="53">
        <f>Português!Z79</f>
        <v>-37.823</v>
      </c>
      <c r="AA79" s="53">
        <f>Português!AA79</f>
        <v>-49.726000000000006</v>
      </c>
      <c r="AB79" s="53">
        <f>Português!AB79</f>
        <v>-46.209000000000003</v>
      </c>
      <c r="AC79" s="53">
        <f>Português!AC79</f>
        <v>-31.26</v>
      </c>
      <c r="AD79" s="53">
        <f>Português!AD79</f>
        <v>-52.656999999999996</v>
      </c>
      <c r="AE79" s="53">
        <f>Português!AE79</f>
        <v>-80.201999999999998</v>
      </c>
      <c r="AF79" s="53">
        <f>Português!AF79</f>
        <v>-76.528562638855902</v>
      </c>
      <c r="AG79" s="53">
        <f>Português!AG79</f>
        <v>-96.112470243930488</v>
      </c>
      <c r="AH79" s="53">
        <f>Português!AH79</f>
        <v>-109.47407703401609</v>
      </c>
      <c r="AI79" s="53">
        <f>Português!AI79</f>
        <v>-136.27250340319748</v>
      </c>
      <c r="AJ79" s="53">
        <f>Português!AJ79</f>
        <v>-93.424628080000005</v>
      </c>
      <c r="AK79" s="53">
        <f>Português!AK79</f>
        <v>-130.22509329000002</v>
      </c>
      <c r="AL79" s="53">
        <f>Português!AL79</f>
        <v>-276.64545833000017</v>
      </c>
      <c r="AM79" s="53">
        <f>Português!AM79</f>
        <v>-610.21826337999994</v>
      </c>
      <c r="AN79" s="53">
        <f>Português!AN79</f>
        <v>-142.76672440999999</v>
      </c>
      <c r="AO79" s="53">
        <f>Português!AO79</f>
        <v>-135.45253493999999</v>
      </c>
      <c r="AP79" s="53">
        <f>Português!AP79</f>
        <v>-143.33289991000001</v>
      </c>
      <c r="AQ79" s="53">
        <f>Português!AQ79</f>
        <v>-167.53603412000001</v>
      </c>
      <c r="AR79" s="53">
        <f>Português!AR79</f>
        <v>-310.63389279</v>
      </c>
      <c r="AS79" s="19"/>
      <c r="AT79" s="53">
        <f t="shared" si="25"/>
        <v>-31.628</v>
      </c>
      <c r="AU79" s="53">
        <f t="shared" si="26"/>
        <v>-62.440483289999989</v>
      </c>
      <c r="AV79" s="53">
        <f t="shared" si="27"/>
        <v>-76.436999999999983</v>
      </c>
      <c r="AW79" s="53">
        <f t="shared" si="28"/>
        <v>-93.742999999999995</v>
      </c>
      <c r="AX79" s="53">
        <f t="shared" si="29"/>
        <v>-94.694000000000017</v>
      </c>
      <c r="AY79" s="53">
        <f t="shared" si="30"/>
        <v>-210.328</v>
      </c>
      <c r="AZ79" s="53">
        <f t="shared" si="31"/>
        <v>-418.3876133199999</v>
      </c>
      <c r="BA79" s="53">
        <f t="shared" si="24"/>
        <v>-1110.5134430800001</v>
      </c>
      <c r="BB79" s="53">
        <f t="shared" si="23"/>
        <v>-589.08819338000012</v>
      </c>
      <c r="BC79" s="37"/>
    </row>
    <row r="80" spans="1:55" outlineLevel="1">
      <c r="B80" s="61" t="s">
        <v>441</v>
      </c>
      <c r="C80" s="1" t="s">
        <v>390</v>
      </c>
      <c r="D80" s="108"/>
      <c r="E80" s="108"/>
      <c r="F80" s="108"/>
      <c r="G80" s="108"/>
      <c r="H80" s="53">
        <f>Português!H80</f>
        <v>-3.2463214300000001</v>
      </c>
      <c r="I80" s="53">
        <f>Português!I80</f>
        <v>-7.4005487099999989</v>
      </c>
      <c r="J80" s="53">
        <f>Português!J80</f>
        <v>-3.0049565500000011</v>
      </c>
      <c r="K80" s="53">
        <f>Português!K80</f>
        <v>-8.0926682499999991</v>
      </c>
      <c r="L80" s="53">
        <f>Português!L80</f>
        <v>-1.9745449299999998</v>
      </c>
      <c r="M80" s="53">
        <f>Português!M80</f>
        <v>-0.21576861000000047</v>
      </c>
      <c r="N80" s="53">
        <f>Português!N80</f>
        <v>-3.6757759999999999</v>
      </c>
      <c r="O80" s="53">
        <f>Português!O80</f>
        <v>-3.3800144600000008</v>
      </c>
      <c r="P80" s="53">
        <f>Português!P80</f>
        <v>-2.9020000000000001</v>
      </c>
      <c r="Q80" s="53">
        <f>Português!Q80</f>
        <v>-1.589</v>
      </c>
      <c r="R80" s="53">
        <f>Português!R80</f>
        <v>-3.51</v>
      </c>
      <c r="S80" s="53">
        <f>Português!S80</f>
        <v>-2.5860000000000003</v>
      </c>
      <c r="T80" s="53">
        <f>Português!T80</f>
        <v>-12.122999999999999</v>
      </c>
      <c r="U80" s="53">
        <f>Português!U80</f>
        <v>-3.6779999999999999</v>
      </c>
      <c r="V80" s="53">
        <f>Português!V80</f>
        <v>-7.5819999999999999</v>
      </c>
      <c r="W80" s="53">
        <f>Português!W80</f>
        <v>-8.647000000000002</v>
      </c>
      <c r="X80" s="53">
        <f>Português!X80</f>
        <v>-2.5550000000000002</v>
      </c>
      <c r="Y80" s="53">
        <f>Português!Y80</f>
        <v>-9.8870000000000005</v>
      </c>
      <c r="Z80" s="53">
        <f>Português!Z80</f>
        <v>-2.86</v>
      </c>
      <c r="AA80" s="53">
        <f>Português!AA80</f>
        <v>1.6259999999999994</v>
      </c>
      <c r="AB80" s="53">
        <f>Português!AB80</f>
        <v>-7.7690000000000001</v>
      </c>
      <c r="AC80" s="53">
        <f>Português!AC80</f>
        <v>-7.7519999999999998</v>
      </c>
      <c r="AD80" s="53">
        <f>Português!AD80</f>
        <v>-12.018000000000001</v>
      </c>
      <c r="AE80" s="53">
        <f>Português!AE80</f>
        <v>-16.099</v>
      </c>
      <c r="AF80" s="53">
        <f>Português!AF80</f>
        <v>-15.440548439999997</v>
      </c>
      <c r="AG80" s="53">
        <f>Português!AG80</f>
        <v>-18.567</v>
      </c>
      <c r="AH80" s="53">
        <f>Português!AH80</f>
        <v>-9.6039999999999992</v>
      </c>
      <c r="AI80" s="53">
        <f>Português!AI80</f>
        <v>-40.952999999999996</v>
      </c>
      <c r="AJ80" s="53">
        <f>Português!AJ80</f>
        <v>-10.484568100000001</v>
      </c>
      <c r="AK80" s="53">
        <f>Português!AK80</f>
        <v>2.2968867599999956</v>
      </c>
      <c r="AL80" s="53">
        <f>Português!AL80</f>
        <v>-3.2261377200000028</v>
      </c>
      <c r="AM80" s="53">
        <f>Português!AM80</f>
        <v>-0.39780075000000492</v>
      </c>
      <c r="AN80" s="53">
        <f>Português!AN80</f>
        <v>-2.6287135699999995</v>
      </c>
      <c r="AO80" s="53">
        <f>Português!AO80</f>
        <v>-5.2014560200000011</v>
      </c>
      <c r="AP80" s="53">
        <f>Português!AP80</f>
        <v>-2.4318997399999991</v>
      </c>
      <c r="AQ80" s="53">
        <f>Português!AQ80</f>
        <v>-7.2218845499999986</v>
      </c>
      <c r="AR80" s="53">
        <f>Português!AR80</f>
        <v>-7.1139999999999999</v>
      </c>
      <c r="AS80" s="19"/>
      <c r="AT80" s="53">
        <f t="shared" si="25"/>
        <v>-21.744494939999999</v>
      </c>
      <c r="AU80" s="53">
        <f t="shared" si="26"/>
        <v>-9.2461040000000008</v>
      </c>
      <c r="AV80" s="53">
        <f t="shared" si="27"/>
        <v>-10.587</v>
      </c>
      <c r="AW80" s="53">
        <f t="shared" si="28"/>
        <v>-32.03</v>
      </c>
      <c r="AX80" s="53">
        <f t="shared" si="29"/>
        <v>-13.676</v>
      </c>
      <c r="AY80" s="53">
        <f t="shared" si="30"/>
        <v>-43.638000000000005</v>
      </c>
      <c r="AZ80" s="53">
        <f t="shared" si="31"/>
        <v>-84.564548439999982</v>
      </c>
      <c r="BA80" s="53">
        <f t="shared" si="24"/>
        <v>-11.811619810000012</v>
      </c>
      <c r="BB80" s="53">
        <f t="shared" si="23"/>
        <v>-17.483953879999998</v>
      </c>
      <c r="BC80" s="37"/>
    </row>
    <row r="81" spans="1:55" ht="13.5" outlineLevel="1">
      <c r="B81" s="60" t="s">
        <v>442</v>
      </c>
      <c r="C81" s="10" t="s">
        <v>390</v>
      </c>
      <c r="D81" s="109"/>
      <c r="E81" s="109"/>
      <c r="F81" s="109"/>
      <c r="G81" s="109"/>
      <c r="H81" s="57">
        <f>Português!H81</f>
        <v>1.8256981500000005</v>
      </c>
      <c r="I81" s="57">
        <f>Português!I81</f>
        <v>-0.39545753000000006</v>
      </c>
      <c r="J81" s="57">
        <f>Português!J81</f>
        <v>0.33463531999999963</v>
      </c>
      <c r="K81" s="57">
        <f>Português!K81</f>
        <v>0.42867027000000024</v>
      </c>
      <c r="L81" s="57">
        <f>Português!L81</f>
        <v>0.32869062000000004</v>
      </c>
      <c r="M81" s="57">
        <f>Português!M81</f>
        <v>9.4640420200000008</v>
      </c>
      <c r="N81" s="57">
        <f>Português!N81</f>
        <v>-0.42411232999999499</v>
      </c>
      <c r="O81" s="57">
        <f>Português!O81</f>
        <v>-9.4979239999999994</v>
      </c>
      <c r="P81" s="57">
        <f>Português!P81</f>
        <v>-0.55000000000000004</v>
      </c>
      <c r="Q81" s="57">
        <f>Português!Q81</f>
        <v>-1.956</v>
      </c>
      <c r="R81" s="57">
        <f>Português!R81</f>
        <v>-1.9770000000000001</v>
      </c>
      <c r="S81" s="57">
        <f>Português!S81</f>
        <v>-0.192</v>
      </c>
      <c r="T81" s="57">
        <f>Português!T81</f>
        <v>0.55400000000000005</v>
      </c>
      <c r="U81" s="57">
        <f>Português!U81</f>
        <v>-2.4660000000000002</v>
      </c>
      <c r="V81" s="57">
        <f>Português!V81</f>
        <v>2.9689999999999999</v>
      </c>
      <c r="W81" s="57">
        <f>Português!W81</f>
        <v>4.3360000000000003</v>
      </c>
      <c r="X81" s="57">
        <f>Português!X81</f>
        <v>3.43</v>
      </c>
      <c r="Y81" s="57">
        <f>Português!Y81</f>
        <v>11.999000000000001</v>
      </c>
      <c r="Z81" s="57">
        <f>Português!Z81</f>
        <v>18.798999999999999</v>
      </c>
      <c r="AA81" s="57">
        <f>Português!AA81</f>
        <v>-3.1230000000000002</v>
      </c>
      <c r="AB81" s="57">
        <f>Português!AB81</f>
        <v>14.574</v>
      </c>
      <c r="AC81" s="57">
        <f>Português!AC81</f>
        <v>13.753</v>
      </c>
      <c r="AD81" s="57">
        <f>Português!AD81</f>
        <v>428.95100000000002</v>
      </c>
      <c r="AE81" s="57">
        <f>Português!AE81</f>
        <v>94.630999999999972</v>
      </c>
      <c r="AF81" s="57">
        <f>Português!AF81</f>
        <v>8.6226508348969393</v>
      </c>
      <c r="AG81" s="57">
        <f>Português!AG81</f>
        <v>36.468749999999858</v>
      </c>
      <c r="AH81" s="57">
        <f>Português!AH81</f>
        <v>-21.924250000000036</v>
      </c>
      <c r="AI81" s="57">
        <f>Português!AI81</f>
        <v>50.295749999999998</v>
      </c>
      <c r="AJ81" s="57">
        <f>Português!AJ81</f>
        <v>6.2690000000000001</v>
      </c>
      <c r="AK81" s="57">
        <f>Português!AK81</f>
        <v>26.217381840002101</v>
      </c>
      <c r="AL81" s="57">
        <f>Português!AL81</f>
        <v>38.827688982450624</v>
      </c>
      <c r="AM81" s="57">
        <f>Português!AM81</f>
        <v>-35.158904174490424</v>
      </c>
      <c r="AN81" s="57">
        <f>Português!AN81</f>
        <v>27.189132661055542</v>
      </c>
      <c r="AO81" s="57">
        <f>Português!AO81</f>
        <v>66.464305688944577</v>
      </c>
      <c r="AP81" s="57">
        <f>Português!AP81</f>
        <v>43.293577249801693</v>
      </c>
      <c r="AQ81" s="57">
        <f>Português!AQ81</f>
        <v>85.177174162661601</v>
      </c>
      <c r="AR81" s="57">
        <f>Português!AR81</f>
        <v>25.949000000000002</v>
      </c>
      <c r="AS81" s="19"/>
      <c r="AT81" s="57">
        <f t="shared" si="25"/>
        <v>2.1935462100000001</v>
      </c>
      <c r="AU81" s="57">
        <f t="shared" si="26"/>
        <v>-0.12930368999999331</v>
      </c>
      <c r="AV81" s="57">
        <f t="shared" si="27"/>
        <v>-4.6750000000000007</v>
      </c>
      <c r="AW81" s="57">
        <f t="shared" si="28"/>
        <v>5.3929999999999998</v>
      </c>
      <c r="AX81" s="57">
        <f t="shared" si="29"/>
        <v>31.105</v>
      </c>
      <c r="AY81" s="57">
        <f t="shared" si="30"/>
        <v>551.90899999999999</v>
      </c>
      <c r="AZ81" s="57">
        <f>SUM(AF81:AI81)</f>
        <v>73.462900834896757</v>
      </c>
      <c r="BA81" s="57">
        <f t="shared" si="24"/>
        <v>36.155166647962297</v>
      </c>
      <c r="BB81" s="57">
        <f t="shared" si="23"/>
        <v>222.1241897624634</v>
      </c>
      <c r="BC81" s="37"/>
    </row>
    <row r="82" spans="1:55" ht="13.5" outlineLevel="1">
      <c r="B82" s="56" t="s">
        <v>443</v>
      </c>
      <c r="C82" s="10" t="s">
        <v>390</v>
      </c>
      <c r="D82" s="109"/>
      <c r="E82" s="109"/>
      <c r="F82" s="109"/>
      <c r="G82" s="109"/>
      <c r="H82" s="57">
        <f>SUM(H66,H72,H81)</f>
        <v>-184.86444274688159</v>
      </c>
      <c r="I82" s="57">
        <f>SUM(I66,I72,I81)</f>
        <v>-185.78368692506521</v>
      </c>
      <c r="J82" s="57">
        <f>SUM(J66,J72,J81)</f>
        <v>-218.31241552750797</v>
      </c>
      <c r="K82" s="57">
        <f>SUM(K66,K72,K81)</f>
        <v>-213.63110829054523</v>
      </c>
      <c r="L82" s="57">
        <f>SUM(L66,L72,L81)</f>
        <v>-212.46102849830984</v>
      </c>
      <c r="M82" s="57">
        <f>SUM(M66,M72,M81)</f>
        <v>-234.14915089763181</v>
      </c>
      <c r="N82" s="57">
        <f>SUM(N66,N72,N81)</f>
        <v>-256.1519507424066</v>
      </c>
      <c r="O82" s="57">
        <f>SUM(O66,O72,O81)</f>
        <v>-247.95993261297394</v>
      </c>
      <c r="P82" s="57">
        <f>SUM(P66,P72,P81)</f>
        <v>-258.56099999999998</v>
      </c>
      <c r="Q82" s="57">
        <f>SUM(Q66,Q72,Q81)</f>
        <v>-260.19800000000004</v>
      </c>
      <c r="R82" s="57">
        <f>SUM(R66,R72,R81)</f>
        <v>-265.48099999999999</v>
      </c>
      <c r="S82" s="57">
        <f>SUM(S66,S72,S81)</f>
        <v>-416.24200000000013</v>
      </c>
      <c r="T82" s="57">
        <f>SUM(T66,T72,T81)</f>
        <v>-487.39800000000002</v>
      </c>
      <c r="U82" s="57">
        <f>SUM(U66,U72,U81)</f>
        <v>-492.58500000000004</v>
      </c>
      <c r="V82" s="57">
        <f>SUM(V66,V72,V81)</f>
        <v>-510.97899999999987</v>
      </c>
      <c r="W82" s="57">
        <f>SUM(W66,W72,W81)</f>
        <v>-587.8839999999999</v>
      </c>
      <c r="X82" s="57">
        <f>SUM(X66,X72,X81)</f>
        <v>-550.40800000000013</v>
      </c>
      <c r="Y82" s="57">
        <f>SUM(Y66,Y72,Y81)</f>
        <v>-619.61899999999991</v>
      </c>
      <c r="Z82" s="57">
        <f>SUM(Z66,Z72,Z81)</f>
        <v>-654.54200000000003</v>
      </c>
      <c r="AA82" s="57">
        <f>SUM(AA66,AA72,AA81)</f>
        <v>-698.08699999999999</v>
      </c>
      <c r="AB82" s="57">
        <f>SUM(AB66,AB72,AB81)</f>
        <v>-1153.4329999999998</v>
      </c>
      <c r="AC82" s="57">
        <f>SUM(AC66,AC72,AC81)</f>
        <v>-1633.5250000000003</v>
      </c>
      <c r="AD82" s="57">
        <f>SUM(AD66,AD72,AD81)</f>
        <v>-1418.204</v>
      </c>
      <c r="AE82" s="57">
        <f>SUM(AE66,AE72,AE81)</f>
        <v>-1605.7999999999997</v>
      </c>
      <c r="AF82" s="57">
        <f>SUM(AF66,AF72,AF81)</f>
        <v>-1573.9484027939588</v>
      </c>
      <c r="AG82" s="57">
        <f>SUM(AG66,AG72,AG81)</f>
        <v>-1525.819078823931</v>
      </c>
      <c r="AH82" s="57">
        <f>SUM(AH66,AH72,AH81)</f>
        <v>-1693.3303125640159</v>
      </c>
      <c r="AI82" s="57">
        <f>SUM(AI66,AI72,AI81)</f>
        <v>-1617.9732411231978</v>
      </c>
      <c r="AJ82" s="57">
        <f>SUM(AJ66,AJ72,AJ81)</f>
        <v>-1666.87500712</v>
      </c>
      <c r="AK82" s="57">
        <f>SUM(AK66,AK72,AK81)</f>
        <v>-1607.5479965399977</v>
      </c>
      <c r="AL82" s="57">
        <f>SUM(AL66,AL72,AL81)</f>
        <v>-1804.0013378775498</v>
      </c>
      <c r="AM82" s="57">
        <f>SUM(AM66,AM72,AM81)</f>
        <v>-2279.4557621844915</v>
      </c>
      <c r="AN82" s="57">
        <f>SUM(AN66,AN72,AN81)</f>
        <v>-1446.7225857189449</v>
      </c>
      <c r="AO82" s="57">
        <f>SUM(AO66,AO72,AO81)</f>
        <v>-1417.5858310510555</v>
      </c>
      <c r="AP82" s="57">
        <f>SUM(AP66,AP72,AP81)</f>
        <v>-1478.1197143601983</v>
      </c>
      <c r="AQ82" s="57">
        <f>SUM(AQ66,AQ72,AQ81)</f>
        <v>-1398.2406642773381</v>
      </c>
      <c r="AR82" s="57">
        <f>SUM(AR66,AR72,AR81)</f>
        <v>-1545.33725265</v>
      </c>
      <c r="AS82" s="19"/>
      <c r="AT82" s="57">
        <f>SUM(AT66,AT72,AT81)</f>
        <v>-802.59165349</v>
      </c>
      <c r="AU82" s="57">
        <f>SUM(AU66,AU72,AU81)</f>
        <v>-950.72206275132226</v>
      </c>
      <c r="AV82" s="57">
        <f>SUM(AV66,AV72,AV81)</f>
        <v>-1200.4820000000002</v>
      </c>
      <c r="AW82" s="57">
        <f>SUM(AW66,AW72,AW81)</f>
        <v>-2078.8459999999995</v>
      </c>
      <c r="AX82" s="57">
        <f>SUM(AX66,AX72,AX81)</f>
        <v>-2522.6559999999999</v>
      </c>
      <c r="AY82" s="57">
        <f>SUM(AY66,AY72,AY81)</f>
        <v>-5810.9620000000014</v>
      </c>
      <c r="AZ82" s="57">
        <f>SUM(AZ66,AZ72,AZ81)</f>
        <v>-6411.0710353051036</v>
      </c>
      <c r="BA82" s="57">
        <f t="shared" si="24"/>
        <v>-7357.8801037220392</v>
      </c>
      <c r="BB82" s="57">
        <f t="shared" si="23"/>
        <v>-5740.6687954075369</v>
      </c>
      <c r="BC82" s="37"/>
    </row>
    <row r="83" spans="1:55" ht="13.5" outlineLevel="1">
      <c r="B83" s="58" t="s">
        <v>444</v>
      </c>
      <c r="C83" s="10" t="s">
        <v>390</v>
      </c>
      <c r="D83" s="109"/>
      <c r="E83" s="109"/>
      <c r="F83" s="109"/>
      <c r="G83" s="109"/>
      <c r="H83" s="57">
        <f>SUM(H64,H82)</f>
        <v>191.44864819311817</v>
      </c>
      <c r="I83" s="57">
        <f>SUM(I64,I82)</f>
        <v>191.96304979493496</v>
      </c>
      <c r="J83" s="57">
        <f>SUM(J64,J82)</f>
        <v>179.732889452492</v>
      </c>
      <c r="K83" s="57">
        <f>SUM(K64,K82)</f>
        <v>220.30711204945493</v>
      </c>
      <c r="L83" s="57">
        <f>SUM(L64,L82)</f>
        <v>273.48798310169025</v>
      </c>
      <c r="M83" s="57">
        <f>SUM(M64,M82)</f>
        <v>198.73358504236816</v>
      </c>
      <c r="N83" s="57">
        <f>SUM(N64,N82)</f>
        <v>179.09353360759337</v>
      </c>
      <c r="O83" s="57">
        <f>SUM(O64,O82)</f>
        <v>219.19872775702629</v>
      </c>
      <c r="P83" s="57">
        <f>SUM(P64,P82)</f>
        <v>272.02800000000008</v>
      </c>
      <c r="Q83" s="57">
        <f>SUM(Q64,Q82)</f>
        <v>264.69899999999978</v>
      </c>
      <c r="R83" s="57">
        <f>SUM(R64,R82)</f>
        <v>231.71100000000013</v>
      </c>
      <c r="S83" s="57">
        <f>SUM(S64,S82)</f>
        <v>265.0380000000003</v>
      </c>
      <c r="T83" s="57">
        <f>SUM(T64,T82)</f>
        <v>311.79499999999928</v>
      </c>
      <c r="U83" s="57">
        <f>SUM(U64,U82)</f>
        <v>451.15100000000029</v>
      </c>
      <c r="V83" s="57">
        <f>SUM(V64,V82)</f>
        <v>330.95500000000078</v>
      </c>
      <c r="W83" s="57">
        <f>SUM(W64,W82)</f>
        <v>173.23599999999863</v>
      </c>
      <c r="X83" s="57">
        <f>SUM(X64,X82)</f>
        <v>250.6419999999996</v>
      </c>
      <c r="Y83" s="57">
        <f>SUM(Y64,Y82)</f>
        <v>84.035999999999831</v>
      </c>
      <c r="Z83" s="57">
        <f>SUM(Z64,Z82)</f>
        <v>53.168999999999755</v>
      </c>
      <c r="AA83" s="57">
        <f>SUM(AA64,AA82)</f>
        <v>155.42300000000023</v>
      </c>
      <c r="AB83" s="57">
        <f>SUM(AB64,AB82)</f>
        <v>-32.694999999999936</v>
      </c>
      <c r="AC83" s="57">
        <f>SUM(AC64,AC82)</f>
        <v>-131.72400000000084</v>
      </c>
      <c r="AD83" s="57">
        <f>SUM(AD64,AD82)</f>
        <v>109.15000000000123</v>
      </c>
      <c r="AE83" s="57">
        <f>SUM(AE64,AE82)</f>
        <v>-100.59670000000051</v>
      </c>
      <c r="AF83" s="57">
        <f>SUM(AF64,AF82)</f>
        <v>105.56248360604241</v>
      </c>
      <c r="AG83" s="57">
        <f>SUM(AG64,AG82)</f>
        <v>84.70639170411755</v>
      </c>
      <c r="AH83" s="57">
        <f>SUM(AH64,AH82)</f>
        <v>72.41228159876664</v>
      </c>
      <c r="AI83" s="57">
        <f>SUM(AI64,AI82)</f>
        <v>377.66090144252507</v>
      </c>
      <c r="AJ83" s="57">
        <f>SUM(AJ64,AJ82)</f>
        <v>407.6151090099977</v>
      </c>
      <c r="AK83" s="57">
        <f>SUM(AK64,AK82)</f>
        <v>380.84092323999948</v>
      </c>
      <c r="AL83" s="57">
        <f>SUM(AL64,AL82)</f>
        <v>169.92996455245293</v>
      </c>
      <c r="AM83" s="57">
        <f>SUM(AM64,AM82)</f>
        <v>493.36146416552037</v>
      </c>
      <c r="AN83" s="57">
        <f>SUM(AN64,AN82)</f>
        <v>433.17017402105489</v>
      </c>
      <c r="AO83" s="57">
        <f>SUM(AO64,AO82)</f>
        <v>151.09725943894341</v>
      </c>
      <c r="AP83" s="57">
        <f>SUM(AP64,AP82)</f>
        <v>169.11499679980193</v>
      </c>
      <c r="AQ83" s="57">
        <f>SUM(AQ64,AQ82)</f>
        <v>288.5169948926673</v>
      </c>
      <c r="AR83" s="57">
        <f>SUM(AR64,AR82)</f>
        <v>346.17874735000055</v>
      </c>
      <c r="AS83" s="19"/>
      <c r="AT83" s="57">
        <f>SUM(AT64,AT82)</f>
        <v>783.45169949000024</v>
      </c>
      <c r="AU83" s="57">
        <f>SUM(AU64,AU82)</f>
        <v>870.51382950867878</v>
      </c>
      <c r="AV83" s="57">
        <f>SUM(AV64,AV82)</f>
        <v>1033.4760000000003</v>
      </c>
      <c r="AW83" s="57">
        <f>SUM(AW64,AW82)</f>
        <v>1267.1370000000006</v>
      </c>
      <c r="AX83" s="57">
        <f>SUM(AX64,AX82)</f>
        <v>543.27000000000044</v>
      </c>
      <c r="AY83" s="57">
        <f>SUM(AY64,AY82)</f>
        <v>-155.86569999999665</v>
      </c>
      <c r="AZ83" s="62">
        <f>SUM(AZ64,AZ82)</f>
        <v>640.34205835144894</v>
      </c>
      <c r="BA83" s="57">
        <f t="shared" si="24"/>
        <v>1451.7474609679705</v>
      </c>
      <c r="BB83" s="57">
        <f t="shared" si="23"/>
        <v>1041.8994251524675</v>
      </c>
      <c r="BC83" s="37"/>
    </row>
    <row r="84" spans="1:55" outlineLevel="1">
      <c r="B84" s="18" t="s">
        <v>445</v>
      </c>
      <c r="C84" s="1" t="s">
        <v>390</v>
      </c>
      <c r="D84" s="108"/>
      <c r="E84" s="108"/>
      <c r="F84" s="108"/>
      <c r="G84" s="108"/>
      <c r="H84" s="53">
        <f>Português!H84</f>
        <v>38.594026330000005</v>
      </c>
      <c r="I84" s="53">
        <f>Português!I84</f>
        <v>34.866848720000007</v>
      </c>
      <c r="J84" s="53">
        <f>Português!J84</f>
        <v>34.889614759999994</v>
      </c>
      <c r="K84" s="53">
        <f>Português!K84</f>
        <v>30.961132679999988</v>
      </c>
      <c r="L84" s="53">
        <f>Português!L84</f>
        <v>34.115632189999999</v>
      </c>
      <c r="M84" s="53">
        <f>Português!M84</f>
        <v>50.500096270000014</v>
      </c>
      <c r="N84" s="53">
        <f>Português!N84</f>
        <v>65.07435744</v>
      </c>
      <c r="O84" s="53">
        <f>Português!O84</f>
        <v>63.399193260000033</v>
      </c>
      <c r="P84" s="53">
        <f>Português!P84</f>
        <v>60.276000000000003</v>
      </c>
      <c r="Q84" s="53">
        <f>Português!Q84</f>
        <v>65.7</v>
      </c>
      <c r="R84" s="53">
        <f>Português!R84</f>
        <v>102.504</v>
      </c>
      <c r="S84" s="53">
        <f>Português!S84</f>
        <v>82.099999999999966</v>
      </c>
      <c r="T84" s="53">
        <f>Português!T84</f>
        <v>49.554000000000002</v>
      </c>
      <c r="U84" s="53">
        <f>Português!U84</f>
        <v>38.802999999999997</v>
      </c>
      <c r="V84" s="53">
        <f>Português!V84</f>
        <v>38.106999999999999</v>
      </c>
      <c r="W84" s="53">
        <f>Português!W84</f>
        <v>25.759</v>
      </c>
      <c r="X84" s="53">
        <f>Português!X84</f>
        <v>33.956000000000003</v>
      </c>
      <c r="Y84" s="53">
        <f>Português!Y84</f>
        <v>60.610999999999997</v>
      </c>
      <c r="Z84" s="53">
        <f>Português!Z84</f>
        <v>85.248999999999995</v>
      </c>
      <c r="AA84" s="53">
        <f>Português!AA84</f>
        <v>131.20599999999999</v>
      </c>
      <c r="AB84" s="53">
        <f>Português!AB84</f>
        <v>289.33600000000001</v>
      </c>
      <c r="AC84" s="53">
        <f>Português!AC84</f>
        <v>231.233</v>
      </c>
      <c r="AD84" s="53">
        <f>Português!AD84</f>
        <v>233.91399999999999</v>
      </c>
      <c r="AE84" s="53">
        <f>Português!AE84</f>
        <v>173.054</v>
      </c>
      <c r="AF84" s="53">
        <f>Português!AF84</f>
        <v>206.53682323000004</v>
      </c>
      <c r="AG84" s="53">
        <f>Português!AG84</f>
        <v>367.36996857000003</v>
      </c>
      <c r="AH84" s="53">
        <f>Português!AH84</f>
        <v>301.01602343000002</v>
      </c>
      <c r="AI84" s="53">
        <f>Português!AI84</f>
        <v>285.02387721000002</v>
      </c>
      <c r="AJ84" s="53">
        <f>Português!AJ84</f>
        <v>275.59642198999995</v>
      </c>
      <c r="AK84" s="53">
        <f>Português!AK84</f>
        <v>291.17214192000006</v>
      </c>
      <c r="AL84" s="53">
        <f>Português!AL84</f>
        <v>293.62782961999983</v>
      </c>
      <c r="AM84" s="53">
        <f>Português!AM84</f>
        <v>851.16060647000018</v>
      </c>
      <c r="AN84" s="53">
        <f>Português!AN84</f>
        <v>431.56503799000001</v>
      </c>
      <c r="AO84" s="53">
        <f>Português!AO84</f>
        <v>357.57294054000005</v>
      </c>
      <c r="AP84" s="53">
        <f>Português!AP84</f>
        <v>491.93915201999999</v>
      </c>
      <c r="AQ84" s="53">
        <f>Português!AQ84</f>
        <v>448.66306238999999</v>
      </c>
      <c r="AR84" s="53">
        <f>Português!AR84</f>
        <v>406.55799999999999</v>
      </c>
      <c r="AS84" s="19"/>
      <c r="AT84" s="53">
        <f>SUM(H84:K84)</f>
        <v>139.31162248999999</v>
      </c>
      <c r="AU84" s="53">
        <f>SUM(L84:O84)</f>
        <v>213.08927916000005</v>
      </c>
      <c r="AV84" s="53">
        <f>SUM(P84:S84)</f>
        <v>310.58</v>
      </c>
      <c r="AW84" s="53">
        <f>SUM(T84:W84)</f>
        <v>152.22300000000001</v>
      </c>
      <c r="AX84" s="53">
        <f>SUM(X84:AA84)</f>
        <v>311.02199999999999</v>
      </c>
      <c r="AY84" s="53">
        <f>SUM(AB84:AE84)</f>
        <v>927.53699999999992</v>
      </c>
      <c r="AZ84" s="53">
        <f>SUM(AF84:AI84)</f>
        <v>1159.9466924400001</v>
      </c>
      <c r="BA84" s="53">
        <f t="shared" si="24"/>
        <v>1711.557</v>
      </c>
      <c r="BB84" s="53">
        <f t="shared" si="23"/>
        <v>1729.74019294</v>
      </c>
      <c r="BC84" s="37"/>
    </row>
    <row r="85" spans="1:55" outlineLevel="1">
      <c r="B85" s="18" t="s">
        <v>446</v>
      </c>
      <c r="C85" s="1" t="s">
        <v>390</v>
      </c>
      <c r="D85" s="108"/>
      <c r="E85" s="108"/>
      <c r="F85" s="108"/>
      <c r="G85" s="108"/>
      <c r="H85" s="53">
        <f>Português!H85</f>
        <v>-5.6387781700000001</v>
      </c>
      <c r="I85" s="53">
        <f>Português!I85</f>
        <v>-5.0595833000000008</v>
      </c>
      <c r="J85" s="53">
        <f>Português!J85</f>
        <v>-9.8900211699999971</v>
      </c>
      <c r="K85" s="53">
        <f>Português!K85</f>
        <v>-7.1795086400000061</v>
      </c>
      <c r="L85" s="53">
        <f>Português!L85</f>
        <v>-12.345640020000001</v>
      </c>
      <c r="M85" s="53">
        <f>Português!M85</f>
        <v>-13.2449881</v>
      </c>
      <c r="N85" s="53">
        <f>Português!N85</f>
        <v>-6.0079855900000005</v>
      </c>
      <c r="O85" s="53">
        <f>Português!O85</f>
        <v>-9.6700959899999983</v>
      </c>
      <c r="P85" s="53">
        <f>Português!P85</f>
        <v>-25.202000000000002</v>
      </c>
      <c r="Q85" s="53">
        <f>Português!Q85</f>
        <v>-25.079000000000001</v>
      </c>
      <c r="R85" s="53">
        <f>Português!R85</f>
        <v>-51.935000000000002</v>
      </c>
      <c r="S85" s="53">
        <f>Português!S85</f>
        <v>-112.369</v>
      </c>
      <c r="T85" s="53">
        <f>Português!T85</f>
        <v>-106.244</v>
      </c>
      <c r="U85" s="53">
        <f>Português!U85</f>
        <v>-66.09</v>
      </c>
      <c r="V85" s="53">
        <f>Português!V85</f>
        <v>-58.652000000000001</v>
      </c>
      <c r="W85" s="53">
        <f>Português!W85</f>
        <v>-55.716000000000001</v>
      </c>
      <c r="X85" s="53">
        <f>Português!X85</f>
        <v>-63.786000000000001</v>
      </c>
      <c r="Y85" s="53">
        <f>Português!Y85</f>
        <v>-65.171000000000006</v>
      </c>
      <c r="Z85" s="53">
        <f>Português!Z85</f>
        <v>-79.546999999999997</v>
      </c>
      <c r="AA85" s="53">
        <f>Português!AA85</f>
        <v>-152.91200000000001</v>
      </c>
      <c r="AB85" s="53">
        <f>Português!AB85</f>
        <v>-460.803</v>
      </c>
      <c r="AC85" s="53">
        <f>Português!AC85</f>
        <v>-490.55099999999999</v>
      </c>
      <c r="AD85" s="53">
        <f>Português!AD85</f>
        <v>-579.33699999999999</v>
      </c>
      <c r="AE85" s="53">
        <f>Português!AE85</f>
        <v>-688.78799999999978</v>
      </c>
      <c r="AF85" s="53">
        <f>Português!AF85</f>
        <v>-644.88699644999997</v>
      </c>
      <c r="AG85" s="53">
        <f>Português!AG85</f>
        <v>-622.62090588000001</v>
      </c>
      <c r="AH85" s="53">
        <f>Português!AH85</f>
        <v>-680.75826916999893</v>
      </c>
      <c r="AI85" s="53">
        <f>Português!AI85</f>
        <v>-599.83712429000093</v>
      </c>
      <c r="AJ85" s="53">
        <f>Português!AJ85</f>
        <v>-531.81319064000013</v>
      </c>
      <c r="AK85" s="53">
        <f>Português!AK85</f>
        <v>-522.59285250000016</v>
      </c>
      <c r="AL85" s="53">
        <f>Português!AL85</f>
        <v>-555.31841445999999</v>
      </c>
      <c r="AM85" s="53">
        <f>Português!AM85</f>
        <v>-880.17554239999981</v>
      </c>
      <c r="AN85" s="53">
        <f>Português!AN85</f>
        <v>-743.00341297</v>
      </c>
      <c r="AO85" s="53">
        <f>Português!AO85</f>
        <v>-774.75469802000021</v>
      </c>
      <c r="AP85" s="53">
        <f>Português!AP85</f>
        <v>-846.46178735999945</v>
      </c>
      <c r="AQ85" s="53">
        <f>Português!AQ85</f>
        <v>-785.88686325000026</v>
      </c>
      <c r="AR85" s="53">
        <f>Português!AR85</f>
        <v>-757.072</v>
      </c>
      <c r="AS85" s="19"/>
      <c r="AT85" s="53">
        <f>SUM(H85:K85)</f>
        <v>-27.767891280000004</v>
      </c>
      <c r="AU85" s="53">
        <f>SUM(L85:O85)</f>
        <v>-41.268709700000002</v>
      </c>
      <c r="AV85" s="53">
        <f>SUM(P85:S85)</f>
        <v>-214.58500000000001</v>
      </c>
      <c r="AW85" s="53">
        <f>SUM(T85:W85)</f>
        <v>-286.702</v>
      </c>
      <c r="AX85" s="53">
        <f>SUM(X85:AA85)</f>
        <v>-361.416</v>
      </c>
      <c r="AY85" s="53">
        <f>SUM(AB85:AE85)</f>
        <v>-2219.4789999999998</v>
      </c>
      <c r="AZ85" s="53">
        <f>SUM(AF85:AI85)</f>
        <v>-2548.1032957899997</v>
      </c>
      <c r="BA85" s="53">
        <f t="shared" si="24"/>
        <v>-2489.9</v>
      </c>
      <c r="BB85" s="53">
        <f t="shared" si="23"/>
        <v>-3150.1067616</v>
      </c>
      <c r="BC85" s="37"/>
    </row>
    <row r="86" spans="1:55" ht="13.5" outlineLevel="1">
      <c r="B86" s="56" t="s">
        <v>447</v>
      </c>
      <c r="C86" s="10" t="s">
        <v>390</v>
      </c>
      <c r="D86" s="109"/>
      <c r="E86" s="109"/>
      <c r="F86" s="109"/>
      <c r="G86" s="109"/>
      <c r="H86" s="57">
        <f t="shared" ref="H86:AP86" si="32">SUM(H84:H85)</f>
        <v>32.955248160000004</v>
      </c>
      <c r="I86" s="57">
        <f t="shared" si="32"/>
        <v>29.807265420000007</v>
      </c>
      <c r="J86" s="57">
        <f t="shared" si="32"/>
        <v>24.999593589999996</v>
      </c>
      <c r="K86" s="57">
        <f t="shared" si="32"/>
        <v>23.781624039999983</v>
      </c>
      <c r="L86" s="57">
        <f t="shared" si="32"/>
        <v>21.769992169999998</v>
      </c>
      <c r="M86" s="57">
        <f t="shared" si="32"/>
        <v>37.255108170000014</v>
      </c>
      <c r="N86" s="57">
        <f t="shared" si="32"/>
        <v>59.066371849999996</v>
      </c>
      <c r="O86" s="57">
        <f t="shared" si="32"/>
        <v>53.729097270000032</v>
      </c>
      <c r="P86" s="57">
        <f t="shared" si="32"/>
        <v>35.073999999999998</v>
      </c>
      <c r="Q86" s="57">
        <f t="shared" si="32"/>
        <v>40.621000000000002</v>
      </c>
      <c r="R86" s="57">
        <f t="shared" si="32"/>
        <v>50.569000000000003</v>
      </c>
      <c r="S86" s="57">
        <f t="shared" si="32"/>
        <v>-30.269000000000034</v>
      </c>
      <c r="T86" s="57">
        <f t="shared" si="32"/>
        <v>-56.69</v>
      </c>
      <c r="U86" s="57">
        <f t="shared" si="32"/>
        <v>-27.287000000000006</v>
      </c>
      <c r="V86" s="57">
        <f t="shared" si="32"/>
        <v>-20.545000000000002</v>
      </c>
      <c r="W86" s="57">
        <f t="shared" si="32"/>
        <v>-29.957000000000001</v>
      </c>
      <c r="X86" s="57">
        <f t="shared" si="32"/>
        <v>-29.83</v>
      </c>
      <c r="Y86" s="57">
        <f t="shared" si="32"/>
        <v>-4.5600000000000094</v>
      </c>
      <c r="Z86" s="57">
        <f t="shared" si="32"/>
        <v>5.7019999999999982</v>
      </c>
      <c r="AA86" s="57">
        <f t="shared" si="32"/>
        <v>-21.706000000000017</v>
      </c>
      <c r="AB86" s="57">
        <f t="shared" si="32"/>
        <v>-171.46699999999998</v>
      </c>
      <c r="AC86" s="57">
        <f t="shared" si="32"/>
        <v>-259.31799999999998</v>
      </c>
      <c r="AD86" s="57">
        <f t="shared" si="32"/>
        <v>-345.423</v>
      </c>
      <c r="AE86" s="57">
        <f t="shared" si="32"/>
        <v>-515.73399999999981</v>
      </c>
      <c r="AF86" s="57">
        <f t="shared" si="32"/>
        <v>-438.35017321999993</v>
      </c>
      <c r="AG86" s="57">
        <f t="shared" si="32"/>
        <v>-255.25093730999998</v>
      </c>
      <c r="AH86" s="57">
        <f t="shared" si="32"/>
        <v>-379.74224573999891</v>
      </c>
      <c r="AI86" s="57">
        <f t="shared" si="32"/>
        <v>-314.81324708000091</v>
      </c>
      <c r="AJ86" s="57">
        <f t="shared" si="32"/>
        <v>-256.21676865000018</v>
      </c>
      <c r="AK86" s="57">
        <f t="shared" si="32"/>
        <v>-231.4207105800001</v>
      </c>
      <c r="AL86" s="57">
        <f t="shared" si="32"/>
        <v>-261.69058484000016</v>
      </c>
      <c r="AM86" s="57">
        <f t="shared" si="32"/>
        <v>-29.014935929999638</v>
      </c>
      <c r="AN86" s="57">
        <f t="shared" si="32"/>
        <v>-311.43837497999999</v>
      </c>
      <c r="AO86" s="57">
        <f t="shared" si="32"/>
        <v>-417.18175748000016</v>
      </c>
      <c r="AP86" s="57">
        <f t="shared" si="32"/>
        <v>-354.52263533999945</v>
      </c>
      <c r="AQ86" s="57">
        <f>SUM(AQ84:AQ85)</f>
        <v>-337.22380086000027</v>
      </c>
      <c r="AR86" s="57">
        <f>SUM(AR84:AR85)</f>
        <v>-350.51400000000001</v>
      </c>
      <c r="AS86" s="19"/>
      <c r="AT86" s="57">
        <f t="shared" ref="AT86:AY86" si="33">SUM(AT84:AT85)</f>
        <v>111.54373120999999</v>
      </c>
      <c r="AU86" s="57">
        <f t="shared" si="33"/>
        <v>171.82056946000006</v>
      </c>
      <c r="AV86" s="57">
        <f t="shared" si="33"/>
        <v>95.994999999999976</v>
      </c>
      <c r="AW86" s="57">
        <f t="shared" si="33"/>
        <v>-134.47899999999998</v>
      </c>
      <c r="AX86" s="57">
        <f t="shared" si="33"/>
        <v>-50.394000000000005</v>
      </c>
      <c r="AY86" s="57">
        <f t="shared" si="33"/>
        <v>-1291.942</v>
      </c>
      <c r="AZ86" s="57">
        <f>SUM(AZ84:AZ85)</f>
        <v>-1388.1566033499996</v>
      </c>
      <c r="BA86" s="57">
        <f t="shared" si="24"/>
        <v>-778.34300000000007</v>
      </c>
      <c r="BB86" s="57">
        <f t="shared" si="23"/>
        <v>-1420.3665686599998</v>
      </c>
      <c r="BC86" s="37"/>
    </row>
    <row r="87" spans="1:55" ht="13.5" outlineLevel="1">
      <c r="B87" s="56" t="s">
        <v>448</v>
      </c>
      <c r="C87" s="10" t="s">
        <v>390</v>
      </c>
      <c r="D87" s="109"/>
      <c r="E87" s="109"/>
      <c r="F87" s="109"/>
      <c r="G87" s="109"/>
      <c r="H87" s="57">
        <f t="shared" ref="H87:AP87" si="34">SUM(H83,H86)</f>
        <v>224.40389635311817</v>
      </c>
      <c r="I87" s="57">
        <f t="shared" si="34"/>
        <v>221.77031521493495</v>
      </c>
      <c r="J87" s="57">
        <f t="shared" si="34"/>
        <v>204.73248304249199</v>
      </c>
      <c r="K87" s="57">
        <f t="shared" si="34"/>
        <v>244.08873608945493</v>
      </c>
      <c r="L87" s="57">
        <f t="shared" si="34"/>
        <v>295.25797527169027</v>
      </c>
      <c r="M87" s="57">
        <f t="shared" si="34"/>
        <v>235.98869321236816</v>
      </c>
      <c r="N87" s="57">
        <f t="shared" si="34"/>
        <v>238.15990545759337</v>
      </c>
      <c r="O87" s="57">
        <f t="shared" si="34"/>
        <v>272.9278250270263</v>
      </c>
      <c r="P87" s="57">
        <f t="shared" si="34"/>
        <v>307.10200000000009</v>
      </c>
      <c r="Q87" s="57">
        <f t="shared" si="34"/>
        <v>305.31999999999977</v>
      </c>
      <c r="R87" s="57">
        <f t="shared" si="34"/>
        <v>282.28000000000014</v>
      </c>
      <c r="S87" s="57">
        <f t="shared" si="34"/>
        <v>234.76900000000026</v>
      </c>
      <c r="T87" s="57">
        <f t="shared" si="34"/>
        <v>255.10499999999928</v>
      </c>
      <c r="U87" s="57">
        <f t="shared" si="34"/>
        <v>423.86400000000026</v>
      </c>
      <c r="V87" s="57">
        <f t="shared" si="34"/>
        <v>310.41000000000076</v>
      </c>
      <c r="W87" s="57">
        <f t="shared" si="34"/>
        <v>143.27899999999863</v>
      </c>
      <c r="X87" s="57">
        <f t="shared" si="34"/>
        <v>220.81199999999961</v>
      </c>
      <c r="Y87" s="57">
        <f t="shared" si="34"/>
        <v>79.475999999999829</v>
      </c>
      <c r="Z87" s="57">
        <f t="shared" si="34"/>
        <v>58.870999999999754</v>
      </c>
      <c r="AA87" s="57">
        <f t="shared" si="34"/>
        <v>133.71700000000021</v>
      </c>
      <c r="AB87" s="57">
        <f t="shared" si="34"/>
        <v>-204.16199999999992</v>
      </c>
      <c r="AC87" s="57">
        <f t="shared" si="34"/>
        <v>-391.04200000000083</v>
      </c>
      <c r="AD87" s="57">
        <f t="shared" si="34"/>
        <v>-236.27299999999877</v>
      </c>
      <c r="AE87" s="57">
        <f t="shared" si="34"/>
        <v>-616.33070000000032</v>
      </c>
      <c r="AF87" s="57">
        <f t="shared" si="34"/>
        <v>-332.78768961395753</v>
      </c>
      <c r="AG87" s="57">
        <f t="shared" si="34"/>
        <v>-170.54454560588243</v>
      </c>
      <c r="AH87" s="57">
        <f t="shared" si="34"/>
        <v>-307.32996414123227</v>
      </c>
      <c r="AI87" s="57">
        <f t="shared" si="34"/>
        <v>62.847654362524167</v>
      </c>
      <c r="AJ87" s="57">
        <f t="shared" si="34"/>
        <v>151.39834035999752</v>
      </c>
      <c r="AK87" s="57">
        <f t="shared" si="34"/>
        <v>149.42021265999938</v>
      </c>
      <c r="AL87" s="57">
        <f t="shared" si="34"/>
        <v>-91.760620287547226</v>
      </c>
      <c r="AM87" s="57">
        <f t="shared" si="34"/>
        <v>464.34652823552074</v>
      </c>
      <c r="AN87" s="57">
        <f t="shared" si="34"/>
        <v>121.7317990410549</v>
      </c>
      <c r="AO87" s="57">
        <f t="shared" si="34"/>
        <v>-266.08449804105675</v>
      </c>
      <c r="AP87" s="57">
        <f t="shared" si="34"/>
        <v>-185.40763854019752</v>
      </c>
      <c r="AQ87" s="57">
        <f>SUM(AQ83,AQ86)</f>
        <v>-48.706805967332969</v>
      </c>
      <c r="AR87" s="57">
        <f>SUM(AR83,AR86)</f>
        <v>-4.335252649999461</v>
      </c>
      <c r="AS87" s="19"/>
      <c r="AT87" s="57">
        <f t="shared" ref="AT87:AY87" si="35">SUM(AT83,AT86)</f>
        <v>894.99543070000027</v>
      </c>
      <c r="AU87" s="57">
        <f t="shared" si="35"/>
        <v>1042.3343989686789</v>
      </c>
      <c r="AV87" s="57">
        <f t="shared" si="35"/>
        <v>1129.4710000000002</v>
      </c>
      <c r="AW87" s="57">
        <f t="shared" si="35"/>
        <v>1132.6580000000006</v>
      </c>
      <c r="AX87" s="57">
        <f t="shared" si="35"/>
        <v>492.87600000000043</v>
      </c>
      <c r="AY87" s="57">
        <f t="shared" si="35"/>
        <v>-1447.8076999999967</v>
      </c>
      <c r="AZ87" s="57">
        <f>SUM(AZ83,AZ86)</f>
        <v>-747.81454499855067</v>
      </c>
      <c r="BA87" s="57">
        <f t="shared" si="24"/>
        <v>673.40446096797041</v>
      </c>
      <c r="BB87" s="57">
        <f t="shared" si="23"/>
        <v>-378.46714350753234</v>
      </c>
      <c r="BC87" s="37"/>
    </row>
    <row r="88" spans="1:55" outlineLevel="1">
      <c r="B88" s="18" t="s">
        <v>449</v>
      </c>
      <c r="C88" s="1" t="s">
        <v>390</v>
      </c>
      <c r="D88" s="108"/>
      <c r="E88" s="108"/>
      <c r="F88" s="108"/>
      <c r="G88" s="108"/>
      <c r="H88" s="53">
        <f>Português!H88</f>
        <v>-63.518711449999984</v>
      </c>
      <c r="I88" s="53">
        <f>Português!I88</f>
        <v>-55.452990150000005</v>
      </c>
      <c r="J88" s="53">
        <f>Português!J88</f>
        <v>-53.195999999999998</v>
      </c>
      <c r="K88" s="53">
        <f>Português!K88</f>
        <v>-69.899770410000002</v>
      </c>
      <c r="L88" s="53">
        <f>Português!L88</f>
        <v>-91.07129664</v>
      </c>
      <c r="M88" s="53">
        <f>Português!M88</f>
        <v>-75.264880270000035</v>
      </c>
      <c r="N88" s="53">
        <f>Português!N88</f>
        <v>-66.53282308999998</v>
      </c>
      <c r="O88" s="53">
        <f>Português!O88</f>
        <v>-82.220434999999995</v>
      </c>
      <c r="P88" s="53">
        <f>Português!P88</f>
        <v>-103.032</v>
      </c>
      <c r="Q88" s="53">
        <f>Português!Q88</f>
        <v>-108.05500000000001</v>
      </c>
      <c r="R88" s="53">
        <f>Português!R88</f>
        <v>-93.134</v>
      </c>
      <c r="S88" s="53">
        <f>Português!S88</f>
        <v>-58.59699999999998</v>
      </c>
      <c r="T88" s="53">
        <f>Português!T88</f>
        <v>-133.26400000000001</v>
      </c>
      <c r="U88" s="53">
        <f>Português!U88</f>
        <v>-210.93899999999999</v>
      </c>
      <c r="V88" s="53">
        <f>Português!V88</f>
        <v>-146.09299999999999</v>
      </c>
      <c r="W88" s="53">
        <f>Português!W88</f>
        <v>-106.98699999999999</v>
      </c>
      <c r="X88" s="53">
        <f>Português!X88</f>
        <v>-117.997</v>
      </c>
      <c r="Y88" s="53">
        <f>Português!Y88</f>
        <v>-99.123999999999995</v>
      </c>
      <c r="Z88" s="53">
        <f>Português!Z88</f>
        <v>-86.64</v>
      </c>
      <c r="AA88" s="53">
        <f>Português!AA88</f>
        <v>-19.547000000000001</v>
      </c>
      <c r="AB88" s="53">
        <f>Português!AB88</f>
        <v>-40.164999999999999</v>
      </c>
      <c r="AC88" s="53">
        <f>Português!AC88</f>
        <v>-8.69</v>
      </c>
      <c r="AD88" s="53">
        <f>Português!AD88</f>
        <v>3.4390000000000001</v>
      </c>
      <c r="AE88" s="53">
        <f>Português!AE88</f>
        <v>22.834999999999997</v>
      </c>
      <c r="AF88" s="53">
        <f>Português!AF88</f>
        <v>-66.164543330000015</v>
      </c>
      <c r="AG88" s="53">
        <f>Português!AG88</f>
        <v>-147.85657547000005</v>
      </c>
      <c r="AH88" s="53">
        <f>Português!AH88</f>
        <v>39.17799370000003</v>
      </c>
      <c r="AI88" s="53">
        <f>Português!AI88</f>
        <v>-15.869767179999975</v>
      </c>
      <c r="AJ88" s="53">
        <f>Português!AJ88</f>
        <v>-109.01721049999998</v>
      </c>
      <c r="AK88" s="53">
        <f>Português!AK88</f>
        <v>-84.52793450999998</v>
      </c>
      <c r="AL88" s="53">
        <f>Português!AL88</f>
        <v>-89.67975827000005</v>
      </c>
      <c r="AM88" s="53">
        <f>Português!AM88</f>
        <v>163.97000000000003</v>
      </c>
      <c r="AN88" s="53">
        <f>Português!AN88</f>
        <v>-56.319568610000005</v>
      </c>
      <c r="AO88" s="53">
        <f>Português!AO88</f>
        <v>-44.092349929999997</v>
      </c>
      <c r="AP88" s="53">
        <f>Português!AP88</f>
        <v>97.585541720000009</v>
      </c>
      <c r="AQ88" s="53">
        <f>Português!AQ88</f>
        <v>11.50469865</v>
      </c>
      <c r="AR88" s="53">
        <f>Português!AR88</f>
        <v>-28.6</v>
      </c>
      <c r="AS88" s="19"/>
      <c r="AT88" s="53">
        <f>SUM(H88:K88)</f>
        <v>-242.06747200999999</v>
      </c>
      <c r="AU88" s="53">
        <f>SUM(L88:O88)</f>
        <v>-315.08943500000004</v>
      </c>
      <c r="AV88" s="53">
        <f>SUM(P88:S88)</f>
        <v>-362.81799999999998</v>
      </c>
      <c r="AW88" s="53">
        <f>SUM(T88:W88)</f>
        <v>-597.2829999999999</v>
      </c>
      <c r="AX88" s="53">
        <f>SUM(X88:AA88)</f>
        <v>-323.30799999999999</v>
      </c>
      <c r="AY88" s="53">
        <f>SUM(AB88:AE88)</f>
        <v>-22.581</v>
      </c>
      <c r="AZ88" s="53">
        <f>SUM(AF88:AI88)</f>
        <v>-190.71289228000001</v>
      </c>
      <c r="BA88" s="53">
        <f t="shared" si="24"/>
        <v>-119.25490327999995</v>
      </c>
      <c r="BB88" s="53">
        <f t="shared" si="23"/>
        <v>8.6783218300000069</v>
      </c>
      <c r="BC88" s="37"/>
    </row>
    <row r="89" spans="1:55" outlineLevel="1">
      <c r="B89" s="18" t="s">
        <v>450</v>
      </c>
      <c r="C89" s="1" t="s">
        <v>390</v>
      </c>
      <c r="D89" s="108"/>
      <c r="E89" s="108"/>
      <c r="F89" s="108"/>
      <c r="G89" s="108"/>
      <c r="H89" s="53">
        <f>Português!H89</f>
        <v>-1.0639335556602609</v>
      </c>
      <c r="I89" s="53">
        <f>Português!I89</f>
        <v>-4.0617307296778256</v>
      </c>
      <c r="J89" s="53">
        <f>Português!J89</f>
        <v>3.7519999999999998</v>
      </c>
      <c r="K89" s="53">
        <f>Português!K89</f>
        <v>-0.95693559466191447</v>
      </c>
      <c r="L89" s="53">
        <f>Português!L89</f>
        <v>9.8834493968253625</v>
      </c>
      <c r="M89" s="53">
        <f>Português!M89</f>
        <v>-10.695755341605173</v>
      </c>
      <c r="N89" s="53">
        <f>Português!N89</f>
        <v>18.551305944779813</v>
      </c>
      <c r="O89" s="53">
        <f>Português!O89</f>
        <v>43.348804279811098</v>
      </c>
      <c r="P89" s="53">
        <f>Português!P89</f>
        <v>1.3240000000000001</v>
      </c>
      <c r="Q89" s="53">
        <f>Português!Q89</f>
        <v>26.143999999999998</v>
      </c>
      <c r="R89" s="53">
        <f>Português!R89</f>
        <v>23.289000000000001</v>
      </c>
      <c r="S89" s="53">
        <f>Português!S89</f>
        <v>34.435999999999993</v>
      </c>
      <c r="T89" s="53">
        <f>Português!T89</f>
        <v>42.722000000000001</v>
      </c>
      <c r="U89" s="53">
        <f>Português!U89</f>
        <v>65.715999999999994</v>
      </c>
      <c r="V89" s="53">
        <f>Português!V89</f>
        <v>83.528000000000006</v>
      </c>
      <c r="W89" s="53">
        <f>Português!W89</f>
        <v>57.957999999999998</v>
      </c>
      <c r="X89" s="53">
        <f>Português!X89</f>
        <v>49.014000000000003</v>
      </c>
      <c r="Y89" s="53">
        <f>Português!Y89</f>
        <v>124.258</v>
      </c>
      <c r="Z89" s="53">
        <f>Português!Z89</f>
        <v>71.441000000000003</v>
      </c>
      <c r="AA89" s="53">
        <f>Português!AA89</f>
        <v>86.055000000000007</v>
      </c>
      <c r="AB89" s="53">
        <f>Português!AB89</f>
        <v>62.35</v>
      </c>
      <c r="AC89" s="53">
        <f>Português!AC89</f>
        <v>87.388000000000005</v>
      </c>
      <c r="AD89" s="53">
        <f>Português!AD89</f>
        <v>267.988</v>
      </c>
      <c r="AE89" s="53">
        <f>Português!AE89</f>
        <v>276.82500000000005</v>
      </c>
      <c r="AF89" s="53">
        <f>Português!AF89</f>
        <v>57.705250410000019</v>
      </c>
      <c r="AG89" s="53">
        <f>Português!AG89</f>
        <v>165.27763737999999</v>
      </c>
      <c r="AH89" s="53">
        <f>Português!AH89</f>
        <v>16.177744579999889</v>
      </c>
      <c r="AI89" s="53">
        <f>Português!AI89</f>
        <v>-129.00691812999997</v>
      </c>
      <c r="AJ89" s="53">
        <f>Português!AJ89</f>
        <v>34.997662649999981</v>
      </c>
      <c r="AK89" s="53">
        <f>Português!AK89</f>
        <v>25.585612490000045</v>
      </c>
      <c r="AL89" s="53">
        <f>Português!AL89</f>
        <v>110.15524109999993</v>
      </c>
      <c r="AM89" s="53">
        <f>Português!AM89</f>
        <v>-460.54999999999995</v>
      </c>
      <c r="AN89" s="53">
        <f>Português!AN89</f>
        <v>-11.129968857799977</v>
      </c>
      <c r="AO89" s="53">
        <f>Português!AO89</f>
        <v>104.34781255860001</v>
      </c>
      <c r="AP89" s="53">
        <f>Português!AP89</f>
        <v>30.825950156999955</v>
      </c>
      <c r="AQ89" s="53">
        <f>Português!AQ89</f>
        <v>8.1105000349999905</v>
      </c>
      <c r="AR89" s="53">
        <f>Português!AR89</f>
        <v>-121.384</v>
      </c>
      <c r="AS89" s="19"/>
      <c r="AT89" s="53">
        <f>SUM(H89:K89)</f>
        <v>-2.3305998800000007</v>
      </c>
      <c r="AU89" s="53">
        <f>SUM(L89:O89)</f>
        <v>61.087804279811103</v>
      </c>
      <c r="AV89" s="53">
        <f>SUM(P89:S89)</f>
        <v>85.192999999999998</v>
      </c>
      <c r="AW89" s="53">
        <f>SUM(T89:W89)</f>
        <v>249.92400000000001</v>
      </c>
      <c r="AX89" s="53">
        <f>SUM(X89:AA89)</f>
        <v>330.76800000000003</v>
      </c>
      <c r="AY89" s="53">
        <f>SUM(AB89:AE89)</f>
        <v>694.55100000000004</v>
      </c>
      <c r="AZ89" s="53">
        <f>SUM(AF89:AI89)</f>
        <v>110.15371423999991</v>
      </c>
      <c r="BA89" s="53">
        <f t="shared" si="24"/>
        <v>-289.81148375999999</v>
      </c>
      <c r="BB89" s="53">
        <f t="shared" si="23"/>
        <v>132.15429389279998</v>
      </c>
      <c r="BC89" s="37"/>
    </row>
    <row r="90" spans="1:55" ht="13.5" outlineLevel="1">
      <c r="B90" s="56" t="s">
        <v>451</v>
      </c>
      <c r="C90" s="10" t="s">
        <v>390</v>
      </c>
      <c r="D90" s="109"/>
      <c r="E90" s="109"/>
      <c r="F90" s="109"/>
      <c r="G90" s="109"/>
      <c r="H90" s="57">
        <f t="shared" ref="H90:AP90" si="36">SUM(H88:H89)</f>
        <v>-64.58264500566024</v>
      </c>
      <c r="I90" s="57">
        <f t="shared" si="36"/>
        <v>-59.514720879677832</v>
      </c>
      <c r="J90" s="57">
        <f t="shared" si="36"/>
        <v>-49.443999999999996</v>
      </c>
      <c r="K90" s="57">
        <f t="shared" si="36"/>
        <v>-70.856706004661916</v>
      </c>
      <c r="L90" s="57">
        <f t="shared" si="36"/>
        <v>-81.187847243174645</v>
      </c>
      <c r="M90" s="57">
        <f t="shared" si="36"/>
        <v>-85.960635611605213</v>
      </c>
      <c r="N90" s="57">
        <f t="shared" si="36"/>
        <v>-47.981517145220167</v>
      </c>
      <c r="O90" s="57">
        <f t="shared" si="36"/>
        <v>-38.871630720188897</v>
      </c>
      <c r="P90" s="57">
        <f t="shared" si="36"/>
        <v>-101.708</v>
      </c>
      <c r="Q90" s="57">
        <f t="shared" si="36"/>
        <v>-81.911000000000001</v>
      </c>
      <c r="R90" s="57">
        <f t="shared" si="36"/>
        <v>-69.844999999999999</v>
      </c>
      <c r="S90" s="57">
        <f t="shared" si="36"/>
        <v>-24.160999999999987</v>
      </c>
      <c r="T90" s="57">
        <f t="shared" si="36"/>
        <v>-90.542000000000002</v>
      </c>
      <c r="U90" s="57">
        <f t="shared" si="36"/>
        <v>-145.22300000000001</v>
      </c>
      <c r="V90" s="57">
        <f t="shared" si="36"/>
        <v>-62.564999999999984</v>
      </c>
      <c r="W90" s="57">
        <f t="shared" si="36"/>
        <v>-49.028999999999996</v>
      </c>
      <c r="X90" s="57">
        <f t="shared" si="36"/>
        <v>-68.983000000000004</v>
      </c>
      <c r="Y90" s="57">
        <f t="shared" si="36"/>
        <v>25.134</v>
      </c>
      <c r="Z90" s="57">
        <f t="shared" si="36"/>
        <v>-15.198999999999998</v>
      </c>
      <c r="AA90" s="57">
        <f t="shared" si="36"/>
        <v>66.50800000000001</v>
      </c>
      <c r="AB90" s="57">
        <f t="shared" si="36"/>
        <v>22.185000000000002</v>
      </c>
      <c r="AC90" s="57">
        <f t="shared" si="36"/>
        <v>78.698000000000008</v>
      </c>
      <c r="AD90" s="57">
        <f t="shared" si="36"/>
        <v>271.42700000000002</v>
      </c>
      <c r="AE90" s="57">
        <f t="shared" si="36"/>
        <v>299.66000000000003</v>
      </c>
      <c r="AF90" s="57">
        <f t="shared" si="36"/>
        <v>-8.4592929199999958</v>
      </c>
      <c r="AG90" s="57">
        <f t="shared" si="36"/>
        <v>17.421061909999935</v>
      </c>
      <c r="AH90" s="57">
        <f t="shared" si="36"/>
        <v>55.355738279999919</v>
      </c>
      <c r="AI90" s="57">
        <f t="shared" si="36"/>
        <v>-144.87668530999994</v>
      </c>
      <c r="AJ90" s="57">
        <f t="shared" si="36"/>
        <v>-74.019547849999995</v>
      </c>
      <c r="AK90" s="57">
        <f t="shared" si="36"/>
        <v>-58.942322019999935</v>
      </c>
      <c r="AL90" s="57">
        <f t="shared" si="36"/>
        <v>20.475482829999876</v>
      </c>
      <c r="AM90" s="57">
        <f t="shared" si="36"/>
        <v>-296.57999999999993</v>
      </c>
      <c r="AN90" s="57">
        <f t="shared" si="36"/>
        <v>-67.449537467799985</v>
      </c>
      <c r="AO90" s="57">
        <f t="shared" si="36"/>
        <v>60.255462628600014</v>
      </c>
      <c r="AP90" s="57">
        <f t="shared" si="36"/>
        <v>128.41149187699997</v>
      </c>
      <c r="AQ90" s="57">
        <f>SUM(AQ88:AQ89)</f>
        <v>19.615198684999989</v>
      </c>
      <c r="AR90" s="57">
        <f>SUM(AR88:AR89)</f>
        <v>-149.98400000000001</v>
      </c>
      <c r="AS90" s="19"/>
      <c r="AT90" s="57">
        <f t="shared" ref="AT90:AZ90" si="37">SUM(AT88:AT89)</f>
        <v>-244.39807188999998</v>
      </c>
      <c r="AU90" s="57">
        <f t="shared" si="37"/>
        <v>-254.00163072018893</v>
      </c>
      <c r="AV90" s="57">
        <f t="shared" si="37"/>
        <v>-277.625</v>
      </c>
      <c r="AW90" s="57">
        <f t="shared" si="37"/>
        <v>-347.35899999999992</v>
      </c>
      <c r="AX90" s="57">
        <f t="shared" si="37"/>
        <v>7.4600000000000364</v>
      </c>
      <c r="AY90" s="57">
        <f t="shared" si="37"/>
        <v>671.97</v>
      </c>
      <c r="AZ90" s="57">
        <f t="shared" si="37"/>
        <v>-80.559178040000091</v>
      </c>
      <c r="BA90" s="57">
        <f t="shared" si="24"/>
        <v>-409.06638704</v>
      </c>
      <c r="BB90" s="57">
        <f t="shared" si="23"/>
        <v>140.8326157228</v>
      </c>
      <c r="BC90" s="37"/>
    </row>
    <row r="91" spans="1:55" ht="13.5" outlineLevel="1">
      <c r="A91" s="1"/>
      <c r="B91" s="58" t="s">
        <v>452</v>
      </c>
      <c r="C91" s="10" t="s">
        <v>390</v>
      </c>
      <c r="D91" s="109"/>
      <c r="E91" s="109"/>
      <c r="F91" s="109"/>
      <c r="G91" s="109"/>
      <c r="H91" s="57">
        <f t="shared" ref="H91:AP91" si="38">H90+H87</f>
        <v>159.82125134745792</v>
      </c>
      <c r="I91" s="57">
        <f t="shared" si="38"/>
        <v>162.25559433525711</v>
      </c>
      <c r="J91" s="57">
        <f t="shared" si="38"/>
        <v>155.288483042492</v>
      </c>
      <c r="K91" s="57">
        <f t="shared" si="38"/>
        <v>173.232030084793</v>
      </c>
      <c r="L91" s="57">
        <f t="shared" si="38"/>
        <v>214.07012802851563</v>
      </c>
      <c r="M91" s="57">
        <f t="shared" si="38"/>
        <v>150.02805760076296</v>
      </c>
      <c r="N91" s="57">
        <f t="shared" si="38"/>
        <v>190.17838831237322</v>
      </c>
      <c r="O91" s="57">
        <f t="shared" si="38"/>
        <v>234.0561943068374</v>
      </c>
      <c r="P91" s="57">
        <f t="shared" si="38"/>
        <v>205.39400000000009</v>
      </c>
      <c r="Q91" s="57">
        <f t="shared" si="38"/>
        <v>223.40899999999976</v>
      </c>
      <c r="R91" s="57">
        <f t="shared" si="38"/>
        <v>212.43500000000014</v>
      </c>
      <c r="S91" s="57">
        <f t="shared" si="38"/>
        <v>210.60800000000029</v>
      </c>
      <c r="T91" s="57">
        <f t="shared" si="38"/>
        <v>164.56299999999928</v>
      </c>
      <c r="U91" s="57">
        <f t="shared" si="38"/>
        <v>278.64100000000025</v>
      </c>
      <c r="V91" s="57">
        <f t="shared" si="38"/>
        <v>247.84500000000077</v>
      </c>
      <c r="W91" s="57">
        <f t="shared" si="38"/>
        <v>94.249999999998636</v>
      </c>
      <c r="X91" s="57">
        <f t="shared" si="38"/>
        <v>151.82899999999961</v>
      </c>
      <c r="Y91" s="57">
        <f t="shared" si="38"/>
        <v>104.60999999999983</v>
      </c>
      <c r="Z91" s="57">
        <f t="shared" si="38"/>
        <v>43.671999999999755</v>
      </c>
      <c r="AA91" s="57">
        <f t="shared" si="38"/>
        <v>200.22500000000022</v>
      </c>
      <c r="AB91" s="57">
        <f t="shared" si="38"/>
        <v>-181.97699999999992</v>
      </c>
      <c r="AC91" s="57">
        <f t="shared" si="38"/>
        <v>-312.34400000000085</v>
      </c>
      <c r="AD91" s="57">
        <f t="shared" si="38"/>
        <v>35.154000000001247</v>
      </c>
      <c r="AE91" s="57">
        <f t="shared" si="38"/>
        <v>-316.67070000000029</v>
      </c>
      <c r="AF91" s="57">
        <f t="shared" si="38"/>
        <v>-341.24698253395752</v>
      </c>
      <c r="AG91" s="57">
        <f t="shared" si="38"/>
        <v>-153.1234836958825</v>
      </c>
      <c r="AH91" s="57">
        <f t="shared" si="38"/>
        <v>-251.97422586123236</v>
      </c>
      <c r="AI91" s="57">
        <f t="shared" si="38"/>
        <v>-82.029030947475775</v>
      </c>
      <c r="AJ91" s="57">
        <f t="shared" si="38"/>
        <v>77.378792509997524</v>
      </c>
      <c r="AK91" s="57">
        <f t="shared" si="38"/>
        <v>90.477890639999444</v>
      </c>
      <c r="AL91" s="57">
        <f t="shared" si="38"/>
        <v>-71.28513745754735</v>
      </c>
      <c r="AM91" s="57">
        <f t="shared" si="38"/>
        <v>167.76652823552081</v>
      </c>
      <c r="AN91" s="57">
        <f t="shared" si="38"/>
        <v>54.282261573254914</v>
      </c>
      <c r="AO91" s="57">
        <f t="shared" si="38"/>
        <v>-205.82903541245673</v>
      </c>
      <c r="AP91" s="57">
        <f t="shared" si="38"/>
        <v>-56.99614666319755</v>
      </c>
      <c r="AQ91" s="57">
        <f>AQ90+AQ87</f>
        <v>-29.09160728233298</v>
      </c>
      <c r="AR91" s="57">
        <f>AR90+AR87</f>
        <v>-154.31925264999947</v>
      </c>
      <c r="AS91" s="19"/>
      <c r="AT91" s="57">
        <f t="shared" ref="AT91:AZ91" si="39">AT90+AT87</f>
        <v>650.59735881000029</v>
      </c>
      <c r="AU91" s="57">
        <f t="shared" si="39"/>
        <v>788.33276824848997</v>
      </c>
      <c r="AV91" s="57">
        <f t="shared" si="39"/>
        <v>851.84600000000023</v>
      </c>
      <c r="AW91" s="57">
        <f t="shared" si="39"/>
        <v>785.29900000000066</v>
      </c>
      <c r="AX91" s="57">
        <f t="shared" si="39"/>
        <v>500.33600000000047</v>
      </c>
      <c r="AY91" s="57">
        <f t="shared" si="39"/>
        <v>-775.83769999999663</v>
      </c>
      <c r="AZ91" s="57">
        <f t="shared" si="39"/>
        <v>-828.37372303855079</v>
      </c>
      <c r="BA91" s="57">
        <f t="shared" si="24"/>
        <v>264.33807392797041</v>
      </c>
      <c r="BB91" s="57">
        <f t="shared" si="23"/>
        <v>-237.63452778473234</v>
      </c>
      <c r="BC91" s="37"/>
    </row>
    <row r="92" spans="1:55" outlineLevel="1">
      <c r="A92" s="1"/>
      <c r="B92" s="14" t="s">
        <v>453</v>
      </c>
      <c r="C92" s="1" t="s">
        <v>390</v>
      </c>
      <c r="D92" s="53"/>
      <c r="E92" s="53"/>
      <c r="F92" s="53"/>
      <c r="G92" s="53"/>
      <c r="H92" s="53">
        <f>Português!H92</f>
        <v>0</v>
      </c>
      <c r="I92" s="53">
        <f>Português!I92</f>
        <v>0</v>
      </c>
      <c r="J92" s="53">
        <f>Português!J92</f>
        <v>0</v>
      </c>
      <c r="K92" s="53">
        <f>Português!K92</f>
        <v>0</v>
      </c>
      <c r="L92" s="53">
        <f>Português!L92</f>
        <v>0</v>
      </c>
      <c r="M92" s="53">
        <f>Português!M92</f>
        <v>0</v>
      </c>
      <c r="N92" s="53">
        <f>Português!N92</f>
        <v>0</v>
      </c>
      <c r="O92" s="53">
        <f>Português!O92</f>
        <v>0</v>
      </c>
      <c r="P92" s="53">
        <f>Português!P92</f>
        <v>0</v>
      </c>
      <c r="Q92" s="53">
        <f>Português!Q92</f>
        <v>0</v>
      </c>
      <c r="R92" s="53">
        <f>Português!R92</f>
        <v>0</v>
      </c>
      <c r="S92" s="53">
        <f>Português!S92</f>
        <v>0</v>
      </c>
      <c r="T92" s="53">
        <f>Português!T92</f>
        <v>0</v>
      </c>
      <c r="U92" s="53">
        <f>Português!U92</f>
        <v>0</v>
      </c>
      <c r="V92" s="53">
        <f>Português!V92</f>
        <v>0</v>
      </c>
      <c r="W92" s="53">
        <f>Português!W92</f>
        <v>0</v>
      </c>
      <c r="X92" s="53">
        <f>Português!X92</f>
        <v>0</v>
      </c>
      <c r="Y92" s="53">
        <f>Português!Y92</f>
        <v>0</v>
      </c>
      <c r="Z92" s="53">
        <f>Português!Z92</f>
        <v>0</v>
      </c>
      <c r="AA92" s="53">
        <f>Português!AA92</f>
        <v>0</v>
      </c>
      <c r="AB92" s="53">
        <f>Português!AB92</f>
        <v>0</v>
      </c>
      <c r="AC92" s="53">
        <f>Português!AC92</f>
        <v>0</v>
      </c>
      <c r="AD92" s="53">
        <f>Português!AD92</f>
        <v>0</v>
      </c>
      <c r="AE92" s="53">
        <f>Português!AE92</f>
        <v>0</v>
      </c>
      <c r="AF92" s="53">
        <f>Português!AF92</f>
        <v>0</v>
      </c>
      <c r="AG92" s="53">
        <f>Português!AG92</f>
        <v>0</v>
      </c>
      <c r="AH92" s="53">
        <f>Português!AH92</f>
        <v>0</v>
      </c>
      <c r="AI92" s="53">
        <f>Português!AI92</f>
        <v>0</v>
      </c>
      <c r="AJ92" s="53">
        <f>Português!AJ92</f>
        <v>5.9649999999999999</v>
      </c>
      <c r="AK92" s="53">
        <f>Português!AK92</f>
        <v>0</v>
      </c>
      <c r="AL92" s="53">
        <f>Português!AL92</f>
        <v>0</v>
      </c>
      <c r="AM92" s="53">
        <f>Português!AM92</f>
        <v>0</v>
      </c>
      <c r="AN92" s="53">
        <f>Português!AN92</f>
        <v>0</v>
      </c>
      <c r="AO92" s="53">
        <f>Português!AO92</f>
        <v>0</v>
      </c>
      <c r="AP92" s="53">
        <f>Português!AP92</f>
        <v>0</v>
      </c>
      <c r="AQ92" s="53">
        <f>Português!AQ92</f>
        <v>0</v>
      </c>
      <c r="AR92" s="53">
        <f>Português!AR92</f>
        <v>0</v>
      </c>
      <c r="AS92" s="19"/>
      <c r="AT92" s="53">
        <f>SUM(H92:K92)</f>
        <v>0</v>
      </c>
      <c r="AU92" s="53">
        <f>SUM(L92:O92)</f>
        <v>0</v>
      </c>
      <c r="AV92" s="53">
        <f>SUM(P92:S92)</f>
        <v>0</v>
      </c>
      <c r="AW92" s="53">
        <f>SUM(T92:W92)</f>
        <v>0</v>
      </c>
      <c r="AX92" s="53">
        <f>SUM(X92:AA92)</f>
        <v>0</v>
      </c>
      <c r="AY92" s="53">
        <f>SUM(AB92:AE92)</f>
        <v>0</v>
      </c>
      <c r="AZ92" s="53">
        <f>SUM(AF92:AI92)</f>
        <v>0</v>
      </c>
      <c r="BA92" s="85">
        <f t="shared" si="24"/>
        <v>5.9649999999999999</v>
      </c>
      <c r="BB92" s="85">
        <f t="shared" si="23"/>
        <v>0</v>
      </c>
      <c r="BC92" s="37"/>
    </row>
    <row r="93" spans="1:55" ht="13.5" outlineLevel="1">
      <c r="B93" s="58" t="s">
        <v>454</v>
      </c>
      <c r="C93" s="10" t="s">
        <v>390</v>
      </c>
      <c r="D93" s="109"/>
      <c r="E93" s="109"/>
      <c r="F93" s="109"/>
      <c r="G93" s="109"/>
      <c r="H93" s="57">
        <f t="shared" ref="H93:AE93" si="40">SUM(H87,H90)</f>
        <v>159.82125134745792</v>
      </c>
      <c r="I93" s="57">
        <f t="shared" si="40"/>
        <v>162.25559433525711</v>
      </c>
      <c r="J93" s="57">
        <f t="shared" si="40"/>
        <v>155.288483042492</v>
      </c>
      <c r="K93" s="57">
        <f t="shared" si="40"/>
        <v>173.232030084793</v>
      </c>
      <c r="L93" s="57">
        <f t="shared" si="40"/>
        <v>214.07012802851563</v>
      </c>
      <c r="M93" s="57">
        <f t="shared" si="40"/>
        <v>150.02805760076296</v>
      </c>
      <c r="N93" s="57">
        <f t="shared" si="40"/>
        <v>190.17838831237322</v>
      </c>
      <c r="O93" s="57">
        <f t="shared" si="40"/>
        <v>234.0561943068374</v>
      </c>
      <c r="P93" s="57">
        <f t="shared" si="40"/>
        <v>205.39400000000009</v>
      </c>
      <c r="Q93" s="57">
        <f t="shared" si="40"/>
        <v>223.40899999999976</v>
      </c>
      <c r="R93" s="57">
        <f t="shared" si="40"/>
        <v>212.43500000000014</v>
      </c>
      <c r="S93" s="57">
        <f t="shared" si="40"/>
        <v>210.60800000000029</v>
      </c>
      <c r="T93" s="57">
        <f t="shared" si="40"/>
        <v>164.56299999999928</v>
      </c>
      <c r="U93" s="57">
        <f t="shared" si="40"/>
        <v>278.64100000000025</v>
      </c>
      <c r="V93" s="57">
        <f t="shared" si="40"/>
        <v>247.84500000000077</v>
      </c>
      <c r="W93" s="57">
        <f t="shared" si="40"/>
        <v>94.249999999998636</v>
      </c>
      <c r="X93" s="57">
        <f t="shared" si="40"/>
        <v>151.82899999999961</v>
      </c>
      <c r="Y93" s="57">
        <f t="shared" si="40"/>
        <v>104.60999999999983</v>
      </c>
      <c r="Z93" s="57">
        <f t="shared" si="40"/>
        <v>43.671999999999755</v>
      </c>
      <c r="AA93" s="57">
        <f t="shared" si="40"/>
        <v>200.22500000000022</v>
      </c>
      <c r="AB93" s="57">
        <f t="shared" si="40"/>
        <v>-181.97699999999992</v>
      </c>
      <c r="AC93" s="57">
        <f t="shared" si="40"/>
        <v>-312.34400000000085</v>
      </c>
      <c r="AD93" s="57">
        <f t="shared" si="40"/>
        <v>35.154000000001247</v>
      </c>
      <c r="AE93" s="57">
        <f t="shared" si="40"/>
        <v>-316.67070000000029</v>
      </c>
      <c r="AF93" s="57">
        <f t="shared" ref="AF93:AP93" si="41">AF91+AF92</f>
        <v>-341.24698253395752</v>
      </c>
      <c r="AG93" s="57">
        <f t="shared" si="41"/>
        <v>-153.1234836958825</v>
      </c>
      <c r="AH93" s="57">
        <f t="shared" si="41"/>
        <v>-251.97422586123236</v>
      </c>
      <c r="AI93" s="57">
        <f t="shared" si="41"/>
        <v>-82.029030947475775</v>
      </c>
      <c r="AJ93" s="57">
        <f t="shared" si="41"/>
        <v>83.343792509997527</v>
      </c>
      <c r="AK93" s="57">
        <f t="shared" si="41"/>
        <v>90.477890639999444</v>
      </c>
      <c r="AL93" s="57">
        <f t="shared" si="41"/>
        <v>-71.28513745754735</v>
      </c>
      <c r="AM93" s="57">
        <f t="shared" si="41"/>
        <v>167.76652823552081</v>
      </c>
      <c r="AN93" s="57">
        <f t="shared" si="41"/>
        <v>54.282261573254914</v>
      </c>
      <c r="AO93" s="57">
        <f t="shared" si="41"/>
        <v>-205.82903541245673</v>
      </c>
      <c r="AP93" s="57">
        <f t="shared" si="41"/>
        <v>-56.99614666319755</v>
      </c>
      <c r="AQ93" s="57">
        <f>AQ91+AQ92</f>
        <v>-29.09160728233298</v>
      </c>
      <c r="AR93" s="57">
        <f>AR91+AR92</f>
        <v>-154.31925264999947</v>
      </c>
      <c r="AS93" s="19"/>
      <c r="AT93" s="57">
        <f t="shared" ref="AT93:AZ93" si="42">AT91+AT92</f>
        <v>650.59735881000029</v>
      </c>
      <c r="AU93" s="57">
        <f t="shared" si="42"/>
        <v>788.33276824848997</v>
      </c>
      <c r="AV93" s="57">
        <f t="shared" si="42"/>
        <v>851.84600000000023</v>
      </c>
      <c r="AW93" s="57">
        <f t="shared" si="42"/>
        <v>785.29900000000066</v>
      </c>
      <c r="AX93" s="57">
        <f>AX91+AX92</f>
        <v>500.33600000000047</v>
      </c>
      <c r="AY93" s="57">
        <f>AY91+AY92</f>
        <v>-775.83769999999663</v>
      </c>
      <c r="AZ93" s="57">
        <f t="shared" si="42"/>
        <v>-828.37372303855079</v>
      </c>
      <c r="BA93" s="57">
        <f t="shared" si="24"/>
        <v>270.30307392797044</v>
      </c>
      <c r="BB93" s="57">
        <f t="shared" si="23"/>
        <v>-237.63452778473234</v>
      </c>
      <c r="BC93" s="37"/>
    </row>
    <row r="94" spans="1:55" outlineLevel="1">
      <c r="B94" s="59" t="s">
        <v>455</v>
      </c>
      <c r="C94" s="24" t="s">
        <v>76</v>
      </c>
      <c r="D94" s="106"/>
      <c r="E94" s="106"/>
      <c r="F94" s="106"/>
      <c r="G94" s="106"/>
      <c r="H94" s="39">
        <f>H93/H57</f>
        <v>0.18002487856110314</v>
      </c>
      <c r="I94" s="39">
        <f>I93/I57</f>
        <v>0.175083440889515</v>
      </c>
      <c r="J94" s="39">
        <f>J93/J57</f>
        <v>0.15690593749789447</v>
      </c>
      <c r="K94" s="39">
        <f>K93/K57</f>
        <v>0.16596564300598057</v>
      </c>
      <c r="L94" s="39">
        <f>L93/L57</f>
        <v>0.19641775052080965</v>
      </c>
      <c r="M94" s="39">
        <f>M93/M57</f>
        <v>0.13504495489960652</v>
      </c>
      <c r="N94" s="39">
        <f>N93/N57</f>
        <v>0.16342069999817246</v>
      </c>
      <c r="O94" s="39">
        <f>O93/O57</f>
        <v>0.19322046607417842</v>
      </c>
      <c r="P94" s="39">
        <f>P93/P57</f>
        <v>0.16340015910898972</v>
      </c>
      <c r="Q94" s="39">
        <f>Q93/Q57</f>
        <v>0.17505016622827518</v>
      </c>
      <c r="R94" s="39">
        <f>R93/R57</f>
        <v>0.16145286679824994</v>
      </c>
      <c r="S94" s="39">
        <f>S93/S57</f>
        <v>0.11796421439993741</v>
      </c>
      <c r="T94" s="39">
        <f>T93/T57</f>
        <v>7.9162954567757418E-2</v>
      </c>
      <c r="U94" s="39">
        <f>U93/U57</f>
        <v>0.1342008709732419</v>
      </c>
      <c r="V94" s="39">
        <f>V93/V57</f>
        <v>0.11655724752866407</v>
      </c>
      <c r="W94" s="39">
        <f>W93/W57</f>
        <v>4.1455996164495058E-2</v>
      </c>
      <c r="X94" s="39">
        <f>X93/X57</f>
        <v>6.5354714045953763E-2</v>
      </c>
      <c r="Y94" s="39">
        <f>Y93/Y57</f>
        <v>4.3543176674743098E-2</v>
      </c>
      <c r="Z94" s="39">
        <f>Z93/Z57</f>
        <v>1.7066828403966953E-2</v>
      </c>
      <c r="AA94" s="39">
        <f>AA93/AA57</f>
        <v>7.7042002657271E-2</v>
      </c>
      <c r="AB94" s="39">
        <f>AB93/AB57</f>
        <v>-3.7586734088991006E-2</v>
      </c>
      <c r="AC94" s="39">
        <f>AC93/AC57</f>
        <v>-5.1341833541104644E-2</v>
      </c>
      <c r="AD94" s="39">
        <f>AD93/AD57</f>
        <v>5.5612752744254182E-3</v>
      </c>
      <c r="AE94" s="39">
        <f>AE93/AE57</f>
        <v>-4.8700190528097667E-2</v>
      </c>
      <c r="AF94" s="39">
        <f>AF93/AF57</f>
        <v>-5.0734040578828341E-2</v>
      </c>
      <c r="AG94" s="39">
        <f>AG93/AG57</f>
        <v>-2.238704961662439E-2</v>
      </c>
      <c r="AH94" s="39">
        <f>AH93/AH57</f>
        <v>-3.6703414187917033E-2</v>
      </c>
      <c r="AI94" s="39">
        <f>AI93/AI57</f>
        <v>-1.1828347569637061E-2</v>
      </c>
      <c r="AJ94" s="39">
        <f>AJ93/AJ57</f>
        <v>1.192082186382184E-2</v>
      </c>
      <c r="AK94" s="39">
        <f>AK93/AK57</f>
        <v>1.2653543400496351E-2</v>
      </c>
      <c r="AL94" s="39">
        <f>AL93/AL57</f>
        <v>-9.7148370548328662E-3</v>
      </c>
      <c r="AM94" s="39">
        <f>AM93/AM57</f>
        <v>2.2451342916524702E-2</v>
      </c>
      <c r="AN94" s="39">
        <f>AN93/AN57</f>
        <v>7.2381088943756925E-3</v>
      </c>
      <c r="AO94" s="39">
        <f>AO93/AO57</f>
        <v>-2.6821725471016519E-2</v>
      </c>
      <c r="AP94" s="39">
        <f>AP93/AP57</f>
        <v>-7.3307630013460263E-3</v>
      </c>
      <c r="AQ94" s="39">
        <f>AQ93/AQ57</f>
        <v>-3.6755715135741518E-3</v>
      </c>
      <c r="AR94" s="39">
        <f>AR93/AR57</f>
        <v>-1.9552719573213386E-2</v>
      </c>
      <c r="AS94" s="19"/>
      <c r="AT94" s="39">
        <f>AT93/AT57</f>
        <v>0.16907503049597983</v>
      </c>
      <c r="AU94" s="39">
        <f>AU93/AU57</f>
        <v>0.17227934770278155</v>
      </c>
      <c r="AV94" s="39">
        <f>AV93/AV57</f>
        <v>0.15118709537495056</v>
      </c>
      <c r="AW94" s="39">
        <f>AW93/AW57</f>
        <v>9.1794573932014498E-2</v>
      </c>
      <c r="AX94" s="39">
        <f>AX93/AX57</f>
        <v>5.062395120700048E-2</v>
      </c>
      <c r="AY94" s="39">
        <f>AY93/AY57</f>
        <v>-3.2668497018565376E-2</v>
      </c>
      <c r="AZ94" s="39">
        <f>AZ93/AZ57</f>
        <v>-3.0270052372053845E-2</v>
      </c>
      <c r="BA94" s="39">
        <f>BA93/BA57</f>
        <v>9.3362308825094571E-3</v>
      </c>
      <c r="BB94" s="39">
        <f>BB93/BB57</f>
        <v>-7.6995937115671015E-3</v>
      </c>
      <c r="BC94" s="37"/>
    </row>
    <row r="95" spans="1:55">
      <c r="AK95" s="42"/>
      <c r="AL95" s="42"/>
      <c r="AM95" s="42"/>
      <c r="AN95" s="42"/>
      <c r="AO95" s="37"/>
      <c r="AP95" s="37"/>
      <c r="AQ95" s="37"/>
      <c r="AR95" s="37"/>
      <c r="AS95" s="19"/>
      <c r="AX95" s="13"/>
      <c r="AY95" s="13"/>
      <c r="AZ95" s="13"/>
      <c r="BA95" s="37"/>
      <c r="BB95" s="37"/>
      <c r="BC95" s="37"/>
    </row>
    <row r="96" spans="1:55" ht="13.5">
      <c r="B96" s="4" t="s">
        <v>456</v>
      </c>
      <c r="AK96" s="42"/>
      <c r="AL96" s="42"/>
      <c r="AM96" s="42"/>
      <c r="AN96" s="42"/>
      <c r="AO96" s="67"/>
      <c r="AP96" s="67"/>
      <c r="AQ96" s="67"/>
      <c r="AR96" s="67"/>
      <c r="AS96" s="19"/>
      <c r="AX96" s="13"/>
      <c r="AY96" s="13"/>
      <c r="AZ96" s="13"/>
      <c r="BA96" s="37"/>
      <c r="BB96" s="37"/>
      <c r="BC96" s="37"/>
    </row>
    <row r="97" spans="2:55" ht="27" customHeight="1" outlineLevel="1">
      <c r="B97" s="6" t="s">
        <v>10</v>
      </c>
      <c r="C97" s="6" t="s">
        <v>335</v>
      </c>
      <c r="D97" s="6" t="s">
        <v>336</v>
      </c>
      <c r="E97" s="6" t="s">
        <v>337</v>
      </c>
      <c r="F97" s="6" t="s">
        <v>338</v>
      </c>
      <c r="G97" s="6" t="s">
        <v>339</v>
      </c>
      <c r="H97" s="6" t="s">
        <v>340</v>
      </c>
      <c r="I97" s="6" t="s">
        <v>341</v>
      </c>
      <c r="J97" s="6" t="s">
        <v>342</v>
      </c>
      <c r="K97" s="6" t="s">
        <v>343</v>
      </c>
      <c r="L97" s="6" t="s">
        <v>344</v>
      </c>
      <c r="M97" s="6" t="s">
        <v>345</v>
      </c>
      <c r="N97" s="6" t="s">
        <v>346</v>
      </c>
      <c r="O97" s="6" t="s">
        <v>347</v>
      </c>
      <c r="P97" s="6" t="str">
        <f>P8</f>
        <v>1Q19</v>
      </c>
      <c r="Q97" s="6" t="s">
        <v>349</v>
      </c>
      <c r="R97" s="6" t="s">
        <v>350</v>
      </c>
      <c r="S97" s="6" t="s">
        <v>351</v>
      </c>
      <c r="T97" s="6" t="s">
        <v>352</v>
      </c>
      <c r="U97" s="6" t="s">
        <v>353</v>
      </c>
      <c r="V97" s="6" t="s">
        <v>354</v>
      </c>
      <c r="W97" s="6" t="s">
        <v>355</v>
      </c>
      <c r="X97" s="6" t="s">
        <v>356</v>
      </c>
      <c r="Y97" s="6" t="s">
        <v>357</v>
      </c>
      <c r="Z97" s="6" t="s">
        <v>358</v>
      </c>
      <c r="AA97" s="6" t="s">
        <v>359</v>
      </c>
      <c r="AB97" s="6" t="s">
        <v>360</v>
      </c>
      <c r="AC97" s="6" t="s">
        <v>361</v>
      </c>
      <c r="AD97" s="6" t="s">
        <v>362</v>
      </c>
      <c r="AE97" s="6" t="s">
        <v>363</v>
      </c>
      <c r="AF97" s="6" t="s">
        <v>364</v>
      </c>
      <c r="AG97" s="6" t="s">
        <v>365</v>
      </c>
      <c r="AH97" s="6" t="s">
        <v>366</v>
      </c>
      <c r="AI97" s="6" t="s">
        <v>367</v>
      </c>
      <c r="AJ97" s="6" t="s">
        <v>368</v>
      </c>
      <c r="AK97" s="6" t="s">
        <v>369</v>
      </c>
      <c r="AL97" s="6" t="s">
        <v>370</v>
      </c>
      <c r="AM97" s="6" t="s">
        <v>371</v>
      </c>
      <c r="AN97" s="6" t="s">
        <v>372</v>
      </c>
      <c r="AO97" s="6" t="s">
        <v>373</v>
      </c>
      <c r="AP97" s="6" t="s">
        <v>374</v>
      </c>
      <c r="AQ97" s="6" t="s">
        <v>375</v>
      </c>
      <c r="AR97" s="6" t="s">
        <v>629</v>
      </c>
      <c r="AS97" s="19"/>
      <c r="AT97" s="6">
        <v>2017</v>
      </c>
      <c r="AU97" s="6">
        <v>2018</v>
      </c>
      <c r="AV97" s="6">
        <v>2019</v>
      </c>
      <c r="AW97" s="6">
        <v>2020</v>
      </c>
      <c r="AX97" s="6">
        <v>2021</v>
      </c>
      <c r="AY97" s="6">
        <v>2022</v>
      </c>
      <c r="AZ97" s="101" t="s">
        <v>415</v>
      </c>
      <c r="BA97" s="6">
        <v>2024</v>
      </c>
      <c r="BB97" s="7">
        <v>2025</v>
      </c>
      <c r="BC97" s="37"/>
    </row>
    <row r="98" spans="2:55" ht="13.5" outlineLevel="2">
      <c r="B98" s="24" t="s">
        <v>457</v>
      </c>
      <c r="C98" s="10" t="s">
        <v>390</v>
      </c>
      <c r="D98" s="25"/>
      <c r="E98" s="25"/>
      <c r="F98" s="25"/>
      <c r="G98" s="25"/>
      <c r="H98" s="25">
        <f t="shared" ref="H98:AO98" si="43">H83</f>
        <v>191.44864819311817</v>
      </c>
      <c r="I98" s="25">
        <f t="shared" si="43"/>
        <v>191.96304979493496</v>
      </c>
      <c r="J98" s="25">
        <f t="shared" si="43"/>
        <v>179.732889452492</v>
      </c>
      <c r="K98" s="25">
        <f t="shared" si="43"/>
        <v>220.30711204945493</v>
      </c>
      <c r="L98" s="25">
        <f t="shared" si="43"/>
        <v>273.48798310169025</v>
      </c>
      <c r="M98" s="25">
        <f t="shared" si="43"/>
        <v>198.73358504236816</v>
      </c>
      <c r="N98" s="25">
        <f t="shared" si="43"/>
        <v>179.09353360759337</v>
      </c>
      <c r="O98" s="25">
        <f t="shared" si="43"/>
        <v>219.19872775702629</v>
      </c>
      <c r="P98" s="25">
        <f t="shared" si="43"/>
        <v>272.02800000000008</v>
      </c>
      <c r="Q98" s="25">
        <f t="shared" si="43"/>
        <v>264.69899999999978</v>
      </c>
      <c r="R98" s="25">
        <f t="shared" si="43"/>
        <v>231.71100000000013</v>
      </c>
      <c r="S98" s="25">
        <f t="shared" si="43"/>
        <v>265.0380000000003</v>
      </c>
      <c r="T98" s="25">
        <f t="shared" si="43"/>
        <v>311.79499999999928</v>
      </c>
      <c r="U98" s="25">
        <f t="shared" si="43"/>
        <v>451.15100000000029</v>
      </c>
      <c r="V98" s="25">
        <f t="shared" si="43"/>
        <v>330.95500000000078</v>
      </c>
      <c r="W98" s="25">
        <f t="shared" si="43"/>
        <v>173.23599999999863</v>
      </c>
      <c r="X98" s="25">
        <f t="shared" si="43"/>
        <v>250.6419999999996</v>
      </c>
      <c r="Y98" s="25">
        <f t="shared" si="43"/>
        <v>84.035999999999831</v>
      </c>
      <c r="Z98" s="25">
        <f t="shared" si="43"/>
        <v>53.168999999999755</v>
      </c>
      <c r="AA98" s="25">
        <f t="shared" si="43"/>
        <v>155.42300000000023</v>
      </c>
      <c r="AB98" s="25">
        <f t="shared" si="43"/>
        <v>-32.694999999999936</v>
      </c>
      <c r="AC98" s="25">
        <f t="shared" si="43"/>
        <v>-131.72400000000084</v>
      </c>
      <c r="AD98" s="25">
        <f t="shared" si="43"/>
        <v>109.15000000000123</v>
      </c>
      <c r="AE98" s="25">
        <f t="shared" si="43"/>
        <v>-100.59670000000051</v>
      </c>
      <c r="AF98" s="25">
        <f t="shared" si="43"/>
        <v>105.56248360604241</v>
      </c>
      <c r="AG98" s="25">
        <f t="shared" si="43"/>
        <v>84.70639170411755</v>
      </c>
      <c r="AH98" s="25">
        <f t="shared" si="43"/>
        <v>72.41228159876664</v>
      </c>
      <c r="AI98" s="25">
        <f t="shared" si="43"/>
        <v>377.66090144252507</v>
      </c>
      <c r="AJ98" s="25">
        <f t="shared" si="43"/>
        <v>407.6151090099977</v>
      </c>
      <c r="AK98" s="25">
        <f t="shared" si="43"/>
        <v>380.84092323999948</v>
      </c>
      <c r="AL98" s="25">
        <f t="shared" si="43"/>
        <v>169.92996455245293</v>
      </c>
      <c r="AM98" s="25">
        <f t="shared" si="43"/>
        <v>493.36146416552037</v>
      </c>
      <c r="AN98" s="25">
        <f t="shared" si="43"/>
        <v>433.17017402105489</v>
      </c>
      <c r="AO98" s="25">
        <f t="shared" si="43"/>
        <v>151.09725943894341</v>
      </c>
      <c r="AP98" s="25">
        <f>AP83</f>
        <v>169.11499679980193</v>
      </c>
      <c r="AQ98" s="25">
        <f>AQ83</f>
        <v>288.5169948926673</v>
      </c>
      <c r="AR98" s="25">
        <f>AR83</f>
        <v>346.17874735000055</v>
      </c>
      <c r="AS98" s="19"/>
      <c r="AT98" s="25">
        <f t="shared" ref="AT98:AZ98" si="44">AT83</f>
        <v>783.45169949000024</v>
      </c>
      <c r="AU98" s="25">
        <f t="shared" si="44"/>
        <v>870.51382950867878</v>
      </c>
      <c r="AV98" s="25">
        <f t="shared" si="44"/>
        <v>1033.4760000000003</v>
      </c>
      <c r="AW98" s="25">
        <f t="shared" si="44"/>
        <v>1267.1370000000006</v>
      </c>
      <c r="AX98" s="25">
        <f t="shared" si="44"/>
        <v>543.27000000000044</v>
      </c>
      <c r="AY98" s="25">
        <f t="shared" si="44"/>
        <v>-155.86569999999665</v>
      </c>
      <c r="AZ98" s="25">
        <f t="shared" si="44"/>
        <v>640.34205835144894</v>
      </c>
      <c r="BA98" s="57">
        <f>SUM(AJ98:AM98)</f>
        <v>1451.7474609679705</v>
      </c>
      <c r="BB98" s="57">
        <f t="shared" ref="BB98:BB110" si="45">SUM(AN98:AQ98)</f>
        <v>1041.8994251524675</v>
      </c>
      <c r="BC98" s="37"/>
    </row>
    <row r="99" spans="2:55" ht="13.5" outlineLevel="2">
      <c r="B99" s="24" t="s">
        <v>456</v>
      </c>
      <c r="C99" s="10" t="s">
        <v>390</v>
      </c>
      <c r="D99" s="25"/>
      <c r="E99" s="25"/>
      <c r="F99" s="25"/>
      <c r="G99" s="25"/>
      <c r="H99" s="25">
        <f>SUM(H98,-H60,-H77)</f>
        <v>197.66164819311817</v>
      </c>
      <c r="I99" s="25">
        <f>SUM(I98,-I60,-I77)</f>
        <v>199.00404979493496</v>
      </c>
      <c r="J99" s="25">
        <f>SUM(J98,-J60,-J77)</f>
        <v>187.71688945249201</v>
      </c>
      <c r="K99" s="25">
        <f>SUM(K98,-K60,-K77)</f>
        <v>240.05711204945493</v>
      </c>
      <c r="L99" s="25">
        <f>SUM(L98,-L60,-L77)</f>
        <v>282.86398310169022</v>
      </c>
      <c r="M99" s="25">
        <f>SUM(M98,-M60,-M77)</f>
        <v>208.98758504236815</v>
      </c>
      <c r="N99" s="25">
        <f>SUM(N98,-N60,-N77)</f>
        <v>190.23753360759335</v>
      </c>
      <c r="O99" s="25">
        <f>SUM(O98,-O60,-O77)</f>
        <v>230.8367277570263</v>
      </c>
      <c r="P99" s="25">
        <f>SUM(P98,-P60,-P77)</f>
        <v>300.48900000000009</v>
      </c>
      <c r="Q99" s="25">
        <f>SUM(Q98,-Q60,-Q77)</f>
        <v>293.78399999999976</v>
      </c>
      <c r="R99" s="25">
        <f>SUM(R98,-R60,-R77)</f>
        <v>264.30000000000013</v>
      </c>
      <c r="S99" s="25">
        <f>SUM(S98,-S60,-S77)</f>
        <v>374.7470000000003</v>
      </c>
      <c r="T99" s="25">
        <f>SUM(T98,-T60,-T77)</f>
        <v>467.7749999999993</v>
      </c>
      <c r="U99" s="25">
        <f>SUM(U98,-U60,-U77)</f>
        <v>607.80100000000027</v>
      </c>
      <c r="V99" s="25">
        <f>SUM(V98,-V60,-V77)</f>
        <v>512.22900000000072</v>
      </c>
      <c r="W99" s="25">
        <f>SUM(W98,-W60,-W77)</f>
        <v>431.81999999999863</v>
      </c>
      <c r="X99" s="25">
        <f>SUM(X98,-X60,-X77)</f>
        <v>466.76399999999961</v>
      </c>
      <c r="Y99" s="25">
        <f>SUM(Y98,-Y60,-Y77)</f>
        <v>291.70599999999979</v>
      </c>
      <c r="Z99" s="25">
        <f>SUM(Z98,-Z60,-Z77)</f>
        <v>291.48199999999974</v>
      </c>
      <c r="AA99" s="25">
        <f>SUM(AA98,-AA60,-AA77)</f>
        <v>388.40200000000021</v>
      </c>
      <c r="AB99" s="25">
        <f>SUM(AB98,-AB60,-AB77)</f>
        <v>284.37000000000006</v>
      </c>
      <c r="AC99" s="25">
        <f>SUM(AC98,-AC60,-AC77)</f>
        <v>437.51799999999912</v>
      </c>
      <c r="AD99" s="25">
        <f>SUM(AD98,-AD60,-AD77)</f>
        <v>780.61500000000126</v>
      </c>
      <c r="AE99" s="25">
        <f>SUM(AE98,-AE60,-AE77)</f>
        <v>528.91369999999949</v>
      </c>
      <c r="AF99" s="25">
        <f>SUM(AF98,-AF60,-AF77)</f>
        <v>608.54382418604234</v>
      </c>
      <c r="AG99" s="25">
        <f>SUM(AG98,-AG60,-AG77)+AG92</f>
        <v>617.47726120411778</v>
      </c>
      <c r="AH99" s="25">
        <f>SUM(AH98,-AH60,-AH77)+AH92</f>
        <v>612.89804524876649</v>
      </c>
      <c r="AI99" s="25">
        <f>SUM(AI98,-AI60,-AI77)+AI92</f>
        <v>929.93887982252534</v>
      </c>
      <c r="AJ99" s="25">
        <f>SUM(AJ98,-AJ60,-AJ77)+AJ92</f>
        <v>957.4527632499977</v>
      </c>
      <c r="AK99" s="25">
        <f>SUM(AK98,-AK60,-AK77)+AK92</f>
        <v>927.4568885799996</v>
      </c>
      <c r="AL99" s="25">
        <f>SUM(AL98,-AL60,-AL77)+AL92</f>
        <v>729.83042044245281</v>
      </c>
      <c r="AM99" s="25">
        <f>SUM(AM98,-AM60,-AM77)+AM92</f>
        <v>1064.9438807655206</v>
      </c>
      <c r="AN99" s="25">
        <f>SUM(AN98,-AN60,-AN77)+AN92</f>
        <v>987.53473599105496</v>
      </c>
      <c r="AO99" s="25">
        <f>SUM(AO98,-AO60,-AO77)+AO92</f>
        <v>690.53481971894325</v>
      </c>
      <c r="AP99" s="25">
        <f>SUM(AP98,-AP60,-AP77)+AP92</f>
        <v>704.53792683980203</v>
      </c>
      <c r="AQ99" s="25">
        <f>SUM(AQ98,-AQ60,-AQ77)+AQ92</f>
        <v>726.77519189266729</v>
      </c>
      <c r="AR99" s="25">
        <f>SUM(AR98,-AR60,-AR77)+AR92</f>
        <v>794.66574735000052</v>
      </c>
      <c r="AS99" s="19"/>
      <c r="AT99" s="25">
        <f>SUM(AT98,-AT60,-AT77)</f>
        <v>824.43969949000029</v>
      </c>
      <c r="AU99" s="25">
        <f>SUM(AU98,-AU60,-AU77)</f>
        <v>912.92582950867882</v>
      </c>
      <c r="AV99" s="25">
        <f>SUM(AV98,-AV60,-AV77)</f>
        <v>1233.3200000000002</v>
      </c>
      <c r="AW99" s="25">
        <f>SUM(AW98,-AW60,-AW77)</f>
        <v>2019.6250000000005</v>
      </c>
      <c r="AX99" s="25">
        <f>SUM(AX98,-AX60,-AX77)</f>
        <v>1438.3540000000005</v>
      </c>
      <c r="AY99" s="25">
        <f>SUM(AY98,-AY60,-AY77)</f>
        <v>2031.4167000000034</v>
      </c>
      <c r="AZ99" s="25">
        <f>SUM(AZ98,-AZ60,-AZ77)+AZ92</f>
        <v>2768.8580104614493</v>
      </c>
      <c r="BA99" s="57">
        <f>SUM(AJ99:AM99)</f>
        <v>3679.6839530379707</v>
      </c>
      <c r="BB99" s="57">
        <f t="shared" si="45"/>
        <v>3109.3826744424678</v>
      </c>
      <c r="BC99" s="37"/>
    </row>
    <row r="100" spans="2:55" ht="13.5" outlineLevel="2">
      <c r="B100" s="59" t="s">
        <v>458</v>
      </c>
      <c r="C100" s="24" t="s">
        <v>76</v>
      </c>
      <c r="D100" s="68"/>
      <c r="E100" s="68"/>
      <c r="F100" s="68"/>
      <c r="G100" s="68"/>
      <c r="H100" s="68">
        <f>H99/H57</f>
        <v>0.22264882743780107</v>
      </c>
      <c r="I100" s="68">
        <f>I99/I57</f>
        <v>0.21473721095282183</v>
      </c>
      <c r="J100" s="68">
        <f>J99/J57</f>
        <v>0.18967211184407234</v>
      </c>
      <c r="K100" s="68">
        <f>K99/K57</f>
        <v>0.22998768149253443</v>
      </c>
      <c r="L100" s="68">
        <f>L99/L57</f>
        <v>0.25953881457383626</v>
      </c>
      <c r="M100" s="68">
        <f>M99/M57</f>
        <v>0.18811627270231859</v>
      </c>
      <c r="N100" s="68">
        <f>N99/N57</f>
        <v>0.16347152367815126</v>
      </c>
      <c r="O100" s="68">
        <f>O99/O57</f>
        <v>0.19056269908319151</v>
      </c>
      <c r="P100" s="68">
        <f>P99/P57</f>
        <v>0.23905250596658717</v>
      </c>
      <c r="Q100" s="68">
        <f>Q99/Q57</f>
        <v>0.23019188141573352</v>
      </c>
      <c r="R100" s="68">
        <f>R99/R57</f>
        <v>0.20087082022631605</v>
      </c>
      <c r="S100" s="68">
        <f>S99/S57</f>
        <v>0.20990055199106075</v>
      </c>
      <c r="T100" s="68">
        <f>T99/T57</f>
        <v>0.22502294606280168</v>
      </c>
      <c r="U100" s="68">
        <f>U99/U57</f>
        <v>0.29273302772530735</v>
      </c>
      <c r="V100" s="68">
        <f>V99/V57</f>
        <v>0.24089250275115481</v>
      </c>
      <c r="W100" s="68">
        <f>W99/W57</f>
        <v>0.18993663940320912</v>
      </c>
      <c r="X100" s="68">
        <f>X99/X57</f>
        <v>0.20091832091988759</v>
      </c>
      <c r="Y100" s="68">
        <f>Y99/Y57</f>
        <v>0.12142057064413175</v>
      </c>
      <c r="Z100" s="68">
        <f>Z99/Z57</f>
        <v>0.11390990284038099</v>
      </c>
      <c r="AA100" s="68">
        <f>AA99/AA57</f>
        <v>0.14944821034380998</v>
      </c>
      <c r="AB100" s="68">
        <f>AB99/AB57</f>
        <v>5.8735662050074348E-2</v>
      </c>
      <c r="AC100" s="68">
        <f>AC99/AC57</f>
        <v>7.1917425425930756E-2</v>
      </c>
      <c r="AD100" s="68">
        <f>AD99/AD57</f>
        <v>0.12349134944374611</v>
      </c>
      <c r="AE100" s="68">
        <f>AE99/AE57</f>
        <v>8.1340641754734627E-2</v>
      </c>
      <c r="AF100" s="68">
        <f>AF99/AF57</f>
        <v>9.0473729147708404E-2</v>
      </c>
      <c r="AG100" s="68">
        <f>AG99/AG57</f>
        <v>9.0276773686580103E-2</v>
      </c>
      <c r="AH100" s="68">
        <f>AH99/AH57</f>
        <v>8.9276793024533077E-2</v>
      </c>
      <c r="AI100" s="68">
        <f>AI99/AI57</f>
        <v>0.1340944804785392</v>
      </c>
      <c r="AJ100" s="68">
        <f>AJ99/AJ57</f>
        <v>0.1369462978584528</v>
      </c>
      <c r="AK100" s="68">
        <f>AK99/AK57</f>
        <v>0.12970700254751658</v>
      </c>
      <c r="AL100" s="68">
        <f>AL99/AL57</f>
        <v>9.9462298385565001E-2</v>
      </c>
      <c r="AM100" s="68">
        <f>AM99/AM57</f>
        <v>0.14251603407060917</v>
      </c>
      <c r="AN100" s="68">
        <f>AN99/AN57</f>
        <v>0.13167992174452062</v>
      </c>
      <c r="AO100" s="68">
        <f>AO99/AO57</f>
        <v>8.9984075014318765E-2</v>
      </c>
      <c r="AP100" s="68">
        <f>AP99/AP57</f>
        <v>9.0616662169149223E-2</v>
      </c>
      <c r="AQ100" s="68">
        <f>AQ99/AQ57</f>
        <v>9.1824221541562473E-2</v>
      </c>
      <c r="AR100" s="68">
        <f>AR99/AR57</f>
        <v>0.10068657180198347</v>
      </c>
      <c r="AS100" s="19"/>
      <c r="AT100" s="68">
        <f>AT99/AT57</f>
        <v>0.21425258717362264</v>
      </c>
      <c r="AU100" s="68">
        <f>AU99/AU57</f>
        <v>0.19950745769228301</v>
      </c>
      <c r="AV100" s="68">
        <f>AV99/AV57</f>
        <v>0.21889175797953386</v>
      </c>
      <c r="AW100" s="68">
        <f>AW99/AW57</f>
        <v>0.23607647071681573</v>
      </c>
      <c r="AX100" s="68">
        <f>AX99/AX57</f>
        <v>0.14553252757026064</v>
      </c>
      <c r="AY100" s="68">
        <f>AY99/AY57</f>
        <v>8.553764583419228E-2</v>
      </c>
      <c r="AZ100" s="68">
        <f>AZ99/AZ57</f>
        <v>0.10117833854025857</v>
      </c>
      <c r="BA100" s="68">
        <f>BA99/BA57</f>
        <v>0.12709577608940634</v>
      </c>
      <c r="BB100" s="68">
        <f>BB99/BB57</f>
        <v>0.1007470737109403</v>
      </c>
      <c r="BC100" s="37"/>
    </row>
    <row r="101" spans="2:55" s="13" customFormat="1" ht="13.5" outlineLevel="2">
      <c r="B101" s="141" t="s">
        <v>459</v>
      </c>
      <c r="C101" s="43" t="s">
        <v>390</v>
      </c>
      <c r="D101" s="140"/>
      <c r="E101" s="140"/>
      <c r="F101" s="140"/>
      <c r="G101" s="140"/>
      <c r="H101" s="27">
        <f>-H74</f>
        <v>0</v>
      </c>
      <c r="I101" s="27">
        <f>-I74</f>
        <v>0</v>
      </c>
      <c r="J101" s="27">
        <f>-J74</f>
        <v>0</v>
      </c>
      <c r="K101" s="27">
        <f>-K74</f>
        <v>0</v>
      </c>
      <c r="L101" s="27">
        <f>-L74</f>
        <v>0</v>
      </c>
      <c r="M101" s="27">
        <f>-M74</f>
        <v>0</v>
      </c>
      <c r="N101" s="27">
        <f>-N74</f>
        <v>0</v>
      </c>
      <c r="O101" s="27">
        <f>-O74</f>
        <v>0</v>
      </c>
      <c r="P101" s="27">
        <f>-P74</f>
        <v>0</v>
      </c>
      <c r="Q101" s="27">
        <f>-Q74</f>
        <v>0</v>
      </c>
      <c r="R101" s="27">
        <f>-R74</f>
        <v>0</v>
      </c>
      <c r="S101" s="27">
        <f>-S74</f>
        <v>0</v>
      </c>
      <c r="T101" s="27">
        <f>-T74</f>
        <v>0</v>
      </c>
      <c r="U101" s="27">
        <f>-U74</f>
        <v>0</v>
      </c>
      <c r="V101" s="27">
        <f>-V74</f>
        <v>0</v>
      </c>
      <c r="W101" s="27">
        <f>-W74</f>
        <v>0</v>
      </c>
      <c r="X101" s="27">
        <f>-X74</f>
        <v>0</v>
      </c>
      <c r="Y101" s="27">
        <f>-Y74</f>
        <v>20.303000000000001</v>
      </c>
      <c r="Z101" s="27">
        <f>-Z74</f>
        <v>30.454000000000001</v>
      </c>
      <c r="AA101" s="27">
        <f>-AA74</f>
        <v>5.5469999999999997</v>
      </c>
      <c r="AB101" s="27">
        <f>-AB74</f>
        <v>129.63400000000001</v>
      </c>
      <c r="AC101" s="27">
        <f>-AC74</f>
        <v>144.81299999999999</v>
      </c>
      <c r="AD101" s="27">
        <f>-AD74</f>
        <v>142.06399999999999</v>
      </c>
      <c r="AE101" s="27">
        <f>-AE74</f>
        <v>69.805000000000007</v>
      </c>
      <c r="AF101" s="27">
        <f>-AF74</f>
        <v>18.808835559999999</v>
      </c>
      <c r="AG101" s="27">
        <f>-AG74</f>
        <v>-10.799146740000005</v>
      </c>
      <c r="AH101" s="27">
        <f>-AH74</f>
        <v>15.915749999999997</v>
      </c>
      <c r="AI101" s="27">
        <f>-AI74</f>
        <v>-39.907491829999998</v>
      </c>
      <c r="AJ101" s="27">
        <v>41.9</v>
      </c>
      <c r="AK101" s="27">
        <v>30.48027355</v>
      </c>
      <c r="AL101" s="27">
        <v>32.76828203999996</v>
      </c>
      <c r="AM101" s="27">
        <f>-AM74</f>
        <v>-2.3869679599999798</v>
      </c>
      <c r="AN101" s="27">
        <f>-AN74</f>
        <v>16.346570020000005</v>
      </c>
      <c r="AO101" s="27">
        <f>-AO74</f>
        <v>12.73945833000011</v>
      </c>
      <c r="AP101" s="27">
        <f>-AP74</f>
        <v>6.7591003699998993</v>
      </c>
      <c r="AQ101" s="27">
        <f>-AQ74</f>
        <v>-12.99491636</v>
      </c>
      <c r="AR101" s="27">
        <f>-AR74</f>
        <v>8.641</v>
      </c>
      <c r="AS101" s="19"/>
      <c r="AT101" s="27">
        <v>0</v>
      </c>
      <c r="AU101" s="27">
        <v>0</v>
      </c>
      <c r="AV101" s="27">
        <v>0</v>
      </c>
      <c r="AW101" s="27">
        <v>0</v>
      </c>
      <c r="AX101" s="27">
        <f>SUM(X101:AA101)</f>
        <v>56.304000000000002</v>
      </c>
      <c r="AY101" s="53">
        <f>SUM(AB101:AE101)</f>
        <v>486.31599999999997</v>
      </c>
      <c r="AZ101" s="53">
        <f>SUM(AF101,AG101,AH101,AI101)</f>
        <v>-15.982053010000008</v>
      </c>
      <c r="BA101" s="53">
        <f>SUM(AJ101:AM101)</f>
        <v>102.76158762999998</v>
      </c>
      <c r="BB101" s="53">
        <f t="shared" si="45"/>
        <v>22.850212360000015</v>
      </c>
      <c r="BC101" s="42"/>
    </row>
    <row r="102" spans="2:55" s="13" customFormat="1" ht="13.5" outlineLevel="2">
      <c r="B102" s="141" t="s">
        <v>460</v>
      </c>
      <c r="C102" s="43" t="s">
        <v>390</v>
      </c>
      <c r="D102" s="140"/>
      <c r="E102" s="140"/>
      <c r="F102" s="140"/>
      <c r="G102" s="140"/>
      <c r="H102" s="47">
        <f>Português!H102</f>
        <v>0</v>
      </c>
      <c r="I102" s="46">
        <f>Português!I102</f>
        <v>0</v>
      </c>
      <c r="J102" s="46">
        <f>Português!J102</f>
        <v>0</v>
      </c>
      <c r="K102" s="46">
        <f>Português!K102</f>
        <v>0</v>
      </c>
      <c r="L102" s="46">
        <f>Português!L102</f>
        <v>0</v>
      </c>
      <c r="M102" s="46">
        <f>Português!M102</f>
        <v>0</v>
      </c>
      <c r="N102" s="46">
        <f>Português!N102</f>
        <v>0</v>
      </c>
      <c r="O102" s="46">
        <f>Português!O102</f>
        <v>0</v>
      </c>
      <c r="P102" s="46">
        <f>Português!P102</f>
        <v>0</v>
      </c>
      <c r="Q102" s="46">
        <f>Português!Q102</f>
        <v>0</v>
      </c>
      <c r="R102" s="46">
        <f>Português!R102</f>
        <v>0</v>
      </c>
      <c r="S102" s="46">
        <f>Português!S102</f>
        <v>0</v>
      </c>
      <c r="T102" s="46">
        <f>Português!T102</f>
        <v>0</v>
      </c>
      <c r="U102" s="46">
        <f>Português!U102</f>
        <v>0</v>
      </c>
      <c r="V102" s="46">
        <f>Português!V102</f>
        <v>0</v>
      </c>
      <c r="W102" s="46">
        <f>Português!W102</f>
        <v>0</v>
      </c>
      <c r="X102" s="46">
        <f>Português!X102</f>
        <v>0</v>
      </c>
      <c r="Y102" s="46">
        <f>Português!Y102</f>
        <v>0</v>
      </c>
      <c r="Z102" s="46">
        <f>Português!Z102</f>
        <v>0</v>
      </c>
      <c r="AA102" s="46">
        <f>Português!AA102</f>
        <v>0</v>
      </c>
      <c r="AB102" s="46">
        <f>Português!AB102</f>
        <v>0</v>
      </c>
      <c r="AC102" s="46">
        <f>Português!AC102</f>
        <v>0</v>
      </c>
      <c r="AD102" s="46">
        <f>Português!AD102</f>
        <v>0</v>
      </c>
      <c r="AE102" s="46">
        <f>Português!AE102</f>
        <v>0</v>
      </c>
      <c r="AF102" s="46">
        <f>Português!AF102</f>
        <v>0</v>
      </c>
      <c r="AG102" s="46">
        <f>Português!AG102</f>
        <v>0</v>
      </c>
      <c r="AH102" s="46">
        <f>Português!AH102</f>
        <v>60.4</v>
      </c>
      <c r="AI102" s="46">
        <f>Português!AI102</f>
        <v>0</v>
      </c>
      <c r="AJ102" s="46">
        <f>Português!AJ102</f>
        <v>0</v>
      </c>
      <c r="AK102" s="46">
        <f>Português!AK102</f>
        <v>0</v>
      </c>
      <c r="AL102" s="46">
        <f>Português!AL102</f>
        <v>0</v>
      </c>
      <c r="AM102" s="46">
        <f>Português!AM102</f>
        <v>0</v>
      </c>
      <c r="AN102" s="46">
        <f>Português!AN102</f>
        <v>0</v>
      </c>
      <c r="AO102" s="46">
        <f>Português!AO102</f>
        <v>202.1</v>
      </c>
      <c r="AP102" s="46">
        <f>Português!AP102</f>
        <v>35.106000000000002</v>
      </c>
      <c r="AQ102" s="46">
        <f>Português!AQ102</f>
        <v>0</v>
      </c>
      <c r="AR102" s="46">
        <f>Português!AR102</f>
        <v>0</v>
      </c>
      <c r="AS102" s="19"/>
      <c r="AT102" s="27">
        <v>0</v>
      </c>
      <c r="AU102" s="27">
        <v>0</v>
      </c>
      <c r="AV102" s="27">
        <v>0</v>
      </c>
      <c r="AW102" s="27">
        <v>0</v>
      </c>
      <c r="AX102" s="27">
        <v>0</v>
      </c>
      <c r="AY102" s="27">
        <v>0</v>
      </c>
      <c r="AZ102" s="53">
        <f>SUM(AF102,AG102,AI102,AH102)</f>
        <v>60.4</v>
      </c>
      <c r="BA102" s="53">
        <f>SUM(AJ102:AM102)</f>
        <v>0</v>
      </c>
      <c r="BB102" s="53">
        <f>SUM(AN102:AQ102)</f>
        <v>237.20599999999999</v>
      </c>
      <c r="BC102" s="42"/>
    </row>
    <row r="103" spans="2:55" ht="13.5" outlineLevel="2">
      <c r="B103" s="24" t="s">
        <v>461</v>
      </c>
      <c r="C103" s="10" t="s">
        <v>390</v>
      </c>
      <c r="D103" s="68"/>
      <c r="E103" s="68"/>
      <c r="F103" s="68"/>
      <c r="G103" s="68"/>
      <c r="H103" s="25">
        <f>H99+H101</f>
        <v>197.66164819311817</v>
      </c>
      <c r="I103" s="25">
        <f t="shared" ref="I103:AG103" si="46">I99+I101</f>
        <v>199.00404979493496</v>
      </c>
      <c r="J103" s="25">
        <f t="shared" si="46"/>
        <v>187.71688945249201</v>
      </c>
      <c r="K103" s="25">
        <f t="shared" si="46"/>
        <v>240.05711204945493</v>
      </c>
      <c r="L103" s="25">
        <f t="shared" si="46"/>
        <v>282.86398310169022</v>
      </c>
      <c r="M103" s="25">
        <f t="shared" si="46"/>
        <v>208.98758504236815</v>
      </c>
      <c r="N103" s="25">
        <f t="shared" si="46"/>
        <v>190.23753360759335</v>
      </c>
      <c r="O103" s="25">
        <f t="shared" si="46"/>
        <v>230.8367277570263</v>
      </c>
      <c r="P103" s="25">
        <f t="shared" si="46"/>
        <v>300.48900000000009</v>
      </c>
      <c r="Q103" s="25">
        <f t="shared" si="46"/>
        <v>293.78399999999976</v>
      </c>
      <c r="R103" s="25">
        <f t="shared" si="46"/>
        <v>264.30000000000013</v>
      </c>
      <c r="S103" s="25">
        <f t="shared" si="46"/>
        <v>374.7470000000003</v>
      </c>
      <c r="T103" s="25">
        <f t="shared" si="46"/>
        <v>467.7749999999993</v>
      </c>
      <c r="U103" s="25">
        <f t="shared" si="46"/>
        <v>607.80100000000027</v>
      </c>
      <c r="V103" s="25">
        <f t="shared" si="46"/>
        <v>512.22900000000072</v>
      </c>
      <c r="W103" s="25">
        <f t="shared" si="46"/>
        <v>431.81999999999863</v>
      </c>
      <c r="X103" s="25">
        <f t="shared" si="46"/>
        <v>466.76399999999961</v>
      </c>
      <c r="Y103" s="25">
        <f t="shared" si="46"/>
        <v>312.00899999999979</v>
      </c>
      <c r="Z103" s="25">
        <f t="shared" si="46"/>
        <v>321.93599999999975</v>
      </c>
      <c r="AA103" s="25">
        <f t="shared" si="46"/>
        <v>393.94900000000024</v>
      </c>
      <c r="AB103" s="25">
        <f t="shared" si="46"/>
        <v>414.00400000000008</v>
      </c>
      <c r="AC103" s="25">
        <f t="shared" si="46"/>
        <v>582.33099999999911</v>
      </c>
      <c r="AD103" s="25">
        <f t="shared" si="46"/>
        <v>922.67900000000122</v>
      </c>
      <c r="AE103" s="25">
        <f t="shared" si="46"/>
        <v>598.71869999999944</v>
      </c>
      <c r="AF103" s="25">
        <f t="shared" si="46"/>
        <v>627.35265974604238</v>
      </c>
      <c r="AG103" s="25">
        <f t="shared" si="46"/>
        <v>606.67811446411781</v>
      </c>
      <c r="AH103" s="25">
        <f t="shared" ref="AH103:AO103" si="47">AH99+AH101+AH102</f>
        <v>689.21379524876647</v>
      </c>
      <c r="AI103" s="25">
        <f t="shared" si="47"/>
        <v>890.03138799252531</v>
      </c>
      <c r="AJ103" s="25">
        <f t="shared" si="47"/>
        <v>999.35276324999768</v>
      </c>
      <c r="AK103" s="25">
        <f t="shared" si="47"/>
        <v>957.93716212999959</v>
      </c>
      <c r="AL103" s="25">
        <f t="shared" si="47"/>
        <v>762.59870248245272</v>
      </c>
      <c r="AM103" s="25">
        <f t="shared" si="47"/>
        <v>1062.5569128055206</v>
      </c>
      <c r="AN103" s="25">
        <f t="shared" si="47"/>
        <v>1003.881306011055</v>
      </c>
      <c r="AO103" s="25">
        <f t="shared" si="47"/>
        <v>905.37427804894344</v>
      </c>
      <c r="AP103" s="25">
        <f>AP99+AP101+AP102</f>
        <v>746.40302720980196</v>
      </c>
      <c r="AQ103" s="25">
        <f>AQ99+AQ101+AQ102</f>
        <v>713.78027553266725</v>
      </c>
      <c r="AR103" s="25">
        <f>AR99+AR101+AR102</f>
        <v>803.30674735000048</v>
      </c>
      <c r="AS103" s="19"/>
      <c r="AT103" s="25">
        <f>AT99</f>
        <v>824.43969949000029</v>
      </c>
      <c r="AU103" s="25">
        <f>AU99</f>
        <v>912.92582950867882</v>
      </c>
      <c r="AV103" s="25">
        <f>AV99</f>
        <v>1233.3200000000002</v>
      </c>
      <c r="AW103" s="25">
        <f>AW99</f>
        <v>2019.6250000000005</v>
      </c>
      <c r="AX103" s="25">
        <f>AX99+AX101</f>
        <v>1494.6580000000006</v>
      </c>
      <c r="AY103" s="25">
        <f>AY99+AY101</f>
        <v>2517.7327000000032</v>
      </c>
      <c r="AZ103" s="25">
        <f>AZ99+AZ101+AZ102</f>
        <v>2813.2759574514494</v>
      </c>
      <c r="BA103" s="57">
        <f>SUM(AJ103:AM103)</f>
        <v>3782.4455406679708</v>
      </c>
      <c r="BB103" s="57">
        <f t="shared" si="45"/>
        <v>3369.438886802468</v>
      </c>
      <c r="BC103" s="37"/>
    </row>
    <row r="104" spans="2:55" ht="13.5" outlineLevel="2">
      <c r="B104" s="59" t="s">
        <v>462</v>
      </c>
      <c r="C104" s="24" t="s">
        <v>76</v>
      </c>
      <c r="D104" s="68"/>
      <c r="E104" s="68"/>
      <c r="F104" s="68"/>
      <c r="G104" s="68"/>
      <c r="H104" s="68">
        <f>H103/H57</f>
        <v>0.22264882743780107</v>
      </c>
      <c r="I104" s="68">
        <f>I103/I57</f>
        <v>0.21473721095282183</v>
      </c>
      <c r="J104" s="68">
        <f>J103/J57</f>
        <v>0.18967211184407234</v>
      </c>
      <c r="K104" s="68">
        <f>K103/K57</f>
        <v>0.22998768149253443</v>
      </c>
      <c r="L104" s="68">
        <f>L103/L57</f>
        <v>0.25953881457383626</v>
      </c>
      <c r="M104" s="68">
        <f>M103/M57</f>
        <v>0.18811627270231859</v>
      </c>
      <c r="N104" s="68">
        <f>N103/N57</f>
        <v>0.16347152367815126</v>
      </c>
      <c r="O104" s="68">
        <f>O103/O57</f>
        <v>0.19056269908319151</v>
      </c>
      <c r="P104" s="68">
        <f>P103/P57</f>
        <v>0.23905250596658717</v>
      </c>
      <c r="Q104" s="68">
        <f>Q103/Q57</f>
        <v>0.23019188141573352</v>
      </c>
      <c r="R104" s="68">
        <f>R103/R57</f>
        <v>0.20087082022631605</v>
      </c>
      <c r="S104" s="68">
        <f>S103/S57</f>
        <v>0.20990055199106075</v>
      </c>
      <c r="T104" s="68">
        <f>T103/T57</f>
        <v>0.22502294606280168</v>
      </c>
      <c r="U104" s="68">
        <f>U103/U57</f>
        <v>0.29273302772530735</v>
      </c>
      <c r="V104" s="68">
        <f>V103/V57</f>
        <v>0.24089250275115481</v>
      </c>
      <c r="W104" s="68">
        <f>W103/W57</f>
        <v>0.18993663940320912</v>
      </c>
      <c r="X104" s="68">
        <f>X103/X57</f>
        <v>0.20091832091988759</v>
      </c>
      <c r="Y104" s="68">
        <f>Y103/Y57</f>
        <v>0.12987155158311761</v>
      </c>
      <c r="Z104" s="68">
        <f>Z103/Z57</f>
        <v>0.12581119410742653</v>
      </c>
      <c r="AA104" s="68">
        <f>AA103/AA57</f>
        <v>0.15158256913387058</v>
      </c>
      <c r="AB104" s="68">
        <f>AB103/AB57</f>
        <v>8.5511126459819883E-2</v>
      </c>
      <c r="AC104" s="68">
        <f>AC103/AC57</f>
        <v>9.5721196078121809E-2</v>
      </c>
      <c r="AD104" s="68">
        <f>AD103/AD57</f>
        <v>0.14596552053625178</v>
      </c>
      <c r="AE104" s="68">
        <f>AE103/AE57</f>
        <v>9.2075821232387126E-2</v>
      </c>
      <c r="AF104" s="68">
        <f>AF103/AF57</f>
        <v>9.3270085673576281E-2</v>
      </c>
      <c r="AG104" s="68">
        <f>AG103/AG57</f>
        <v>8.8697910483821821E-2</v>
      </c>
      <c r="AH104" s="68">
        <f>AH103/AH57</f>
        <v>0.10039320214033735</v>
      </c>
      <c r="AI104" s="68">
        <f>AI103/AI57</f>
        <v>0.12833993628186394</v>
      </c>
      <c r="AJ104" s="68">
        <f>AJ103/AJ57</f>
        <v>0.14293933490478375</v>
      </c>
      <c r="AK104" s="68">
        <f>AK103/AK57</f>
        <v>0.13396973968137077</v>
      </c>
      <c r="AL104" s="68">
        <f>AL103/AL57</f>
        <v>0.10392800515052686</v>
      </c>
      <c r="AM104" s="68">
        <f>AM103/AM57</f>
        <v>0.14219659826440662</v>
      </c>
      <c r="AN104" s="68">
        <f>AN103/AN57</f>
        <v>0.13385960715970224</v>
      </c>
      <c r="AO104" s="68">
        <f>AO103/AO57</f>
        <v>0.11797995499365244</v>
      </c>
      <c r="AP104" s="68">
        <f>AP103/AP57</f>
        <v>9.6001291601268385E-2</v>
      </c>
      <c r="AQ104" s="68">
        <f>AQ103/AQ57</f>
        <v>9.0182382232701003E-2</v>
      </c>
      <c r="AR104" s="68">
        <f>AR103/AR57</f>
        <v>0.10178141283400513</v>
      </c>
      <c r="AS104" s="19"/>
      <c r="AT104" s="68">
        <f>AT103/AT57</f>
        <v>0.21425258717362264</v>
      </c>
      <c r="AU104" s="68">
        <f>AU103/AU57</f>
        <v>0.19950745769228301</v>
      </c>
      <c r="AV104" s="68">
        <f>AV103/AV57</f>
        <v>0.21889175797953386</v>
      </c>
      <c r="AW104" s="68">
        <f>AW103/AW57</f>
        <v>0.23607647071681573</v>
      </c>
      <c r="AX104" s="68">
        <f>AX103/AX57</f>
        <v>0.15122936119558233</v>
      </c>
      <c r="AY104" s="68">
        <f>AY103/AY57</f>
        <v>0.10601514105784628</v>
      </c>
      <c r="AZ104" s="68">
        <f>AZ103/AZ57</f>
        <v>0.1028014387717755</v>
      </c>
      <c r="BA104" s="68">
        <f>BA103/BA57</f>
        <v>0.13064514714917669</v>
      </c>
      <c r="BB104" s="68">
        <f>BB103/BB57</f>
        <v>0.1091731521769235</v>
      </c>
      <c r="BC104" s="37"/>
    </row>
    <row r="105" spans="2:55" ht="13.5" outlineLevel="2">
      <c r="B105" s="59" t="s">
        <v>463</v>
      </c>
      <c r="C105" s="10" t="s">
        <v>390</v>
      </c>
      <c r="D105" s="68"/>
      <c r="E105" s="68"/>
      <c r="F105" s="68"/>
      <c r="G105" s="68"/>
      <c r="H105" s="25">
        <f>H93</f>
        <v>159.82125134745792</v>
      </c>
      <c r="I105" s="25">
        <f t="shared" ref="I105:AN105" si="48">I93</f>
        <v>162.25559433525711</v>
      </c>
      <c r="J105" s="25">
        <f t="shared" si="48"/>
        <v>155.288483042492</v>
      </c>
      <c r="K105" s="25">
        <f t="shared" si="48"/>
        <v>173.232030084793</v>
      </c>
      <c r="L105" s="25">
        <f t="shared" si="48"/>
        <v>214.07012802851563</v>
      </c>
      <c r="M105" s="25">
        <f t="shared" si="48"/>
        <v>150.02805760076296</v>
      </c>
      <c r="N105" s="25">
        <f t="shared" si="48"/>
        <v>190.17838831237322</v>
      </c>
      <c r="O105" s="25">
        <f t="shared" si="48"/>
        <v>234.0561943068374</v>
      </c>
      <c r="P105" s="25">
        <f t="shared" si="48"/>
        <v>205.39400000000009</v>
      </c>
      <c r="Q105" s="25">
        <f t="shared" si="48"/>
        <v>223.40899999999976</v>
      </c>
      <c r="R105" s="25">
        <f t="shared" si="48"/>
        <v>212.43500000000014</v>
      </c>
      <c r="S105" s="25">
        <f t="shared" si="48"/>
        <v>210.60800000000029</v>
      </c>
      <c r="T105" s="25">
        <f t="shared" si="48"/>
        <v>164.56299999999928</v>
      </c>
      <c r="U105" s="25">
        <f t="shared" si="48"/>
        <v>278.64100000000025</v>
      </c>
      <c r="V105" s="25">
        <f t="shared" si="48"/>
        <v>247.84500000000077</v>
      </c>
      <c r="W105" s="25">
        <f t="shared" si="48"/>
        <v>94.249999999998636</v>
      </c>
      <c r="X105" s="25">
        <f t="shared" si="48"/>
        <v>151.82899999999961</v>
      </c>
      <c r="Y105" s="25">
        <f t="shared" si="48"/>
        <v>104.60999999999983</v>
      </c>
      <c r="Z105" s="25">
        <f t="shared" si="48"/>
        <v>43.671999999999755</v>
      </c>
      <c r="AA105" s="25">
        <f t="shared" si="48"/>
        <v>200.22500000000022</v>
      </c>
      <c r="AB105" s="25">
        <f t="shared" si="48"/>
        <v>-181.97699999999992</v>
      </c>
      <c r="AC105" s="25">
        <f t="shared" si="48"/>
        <v>-312.34400000000085</v>
      </c>
      <c r="AD105" s="25">
        <f t="shared" si="48"/>
        <v>35.154000000001247</v>
      </c>
      <c r="AE105" s="25">
        <f t="shared" si="48"/>
        <v>-316.67070000000029</v>
      </c>
      <c r="AF105" s="25">
        <f t="shared" si="48"/>
        <v>-341.24698253395752</v>
      </c>
      <c r="AG105" s="25">
        <f t="shared" si="48"/>
        <v>-153.1234836958825</v>
      </c>
      <c r="AH105" s="25">
        <f t="shared" si="48"/>
        <v>-251.97422586123236</v>
      </c>
      <c r="AI105" s="25">
        <f t="shared" si="48"/>
        <v>-82.029030947475775</v>
      </c>
      <c r="AJ105" s="25">
        <f t="shared" si="48"/>
        <v>83.343792509997527</v>
      </c>
      <c r="AK105" s="25">
        <f t="shared" si="48"/>
        <v>90.477890639999444</v>
      </c>
      <c r="AL105" s="25">
        <f t="shared" si="48"/>
        <v>-71.28513745754735</v>
      </c>
      <c r="AM105" s="25">
        <f t="shared" si="48"/>
        <v>167.76652823552081</v>
      </c>
      <c r="AN105" s="25">
        <f t="shared" si="48"/>
        <v>54.282261573254914</v>
      </c>
      <c r="AO105" s="25">
        <f>AO93</f>
        <v>-205.82903541245673</v>
      </c>
      <c r="AP105" s="25">
        <f>AP93</f>
        <v>-56.99614666319755</v>
      </c>
      <c r="AQ105" s="25">
        <f>AQ93</f>
        <v>-29.09160728233298</v>
      </c>
      <c r="AR105" s="25">
        <f>AR93</f>
        <v>-154.31925264999947</v>
      </c>
      <c r="AS105" s="19"/>
      <c r="AT105" s="25">
        <f>SUM(H105:K105)</f>
        <v>650.59735881000006</v>
      </c>
      <c r="AU105" s="25">
        <f>SUM(L105:O105)</f>
        <v>788.33276824848917</v>
      </c>
      <c r="AV105" s="25">
        <f>SUM(P105:S105)</f>
        <v>851.84600000000034</v>
      </c>
      <c r="AW105" s="25">
        <f>SUM(T105:W105)</f>
        <v>785.29899999999884</v>
      </c>
      <c r="AX105" s="25">
        <f>SUM(X105:AA105)</f>
        <v>500.33599999999944</v>
      </c>
      <c r="AY105" s="57">
        <f>SUM(AB105:AE105)</f>
        <v>-775.83769999999981</v>
      </c>
      <c r="AZ105" s="57">
        <f>SUM(AF105:AI105)</f>
        <v>-828.37372303854818</v>
      </c>
      <c r="BA105" s="25">
        <f>SUM(AJ105:AM105)</f>
        <v>270.30307392797044</v>
      </c>
      <c r="BB105" s="57">
        <f t="shared" si="45"/>
        <v>-237.63452778473234</v>
      </c>
      <c r="BC105" s="37"/>
    </row>
    <row r="106" spans="2:55" s="13" customFormat="1" ht="13.5" outlineLevel="2">
      <c r="B106" s="141" t="s">
        <v>464</v>
      </c>
      <c r="C106" s="43" t="s">
        <v>390</v>
      </c>
      <c r="D106" s="142"/>
      <c r="E106" s="142"/>
      <c r="F106" s="142"/>
      <c r="G106" s="142"/>
      <c r="H106" s="46">
        <f>H101</f>
        <v>0</v>
      </c>
      <c r="I106" s="46">
        <f t="shared" ref="I106:AP106" si="49">I101</f>
        <v>0</v>
      </c>
      <c r="J106" s="46">
        <f t="shared" si="49"/>
        <v>0</v>
      </c>
      <c r="K106" s="46">
        <f t="shared" si="49"/>
        <v>0</v>
      </c>
      <c r="L106" s="46">
        <f t="shared" si="49"/>
        <v>0</v>
      </c>
      <c r="M106" s="46">
        <f t="shared" si="49"/>
        <v>0</v>
      </c>
      <c r="N106" s="46">
        <f t="shared" si="49"/>
        <v>0</v>
      </c>
      <c r="O106" s="46">
        <f t="shared" si="49"/>
        <v>0</v>
      </c>
      <c r="P106" s="46">
        <f t="shared" si="49"/>
        <v>0</v>
      </c>
      <c r="Q106" s="46">
        <f t="shared" si="49"/>
        <v>0</v>
      </c>
      <c r="R106" s="46">
        <f t="shared" si="49"/>
        <v>0</v>
      </c>
      <c r="S106" s="46">
        <f t="shared" si="49"/>
        <v>0</v>
      </c>
      <c r="T106" s="46">
        <f t="shared" si="49"/>
        <v>0</v>
      </c>
      <c r="U106" s="46">
        <f t="shared" si="49"/>
        <v>0</v>
      </c>
      <c r="V106" s="46">
        <f t="shared" si="49"/>
        <v>0</v>
      </c>
      <c r="W106" s="46">
        <f t="shared" si="49"/>
        <v>0</v>
      </c>
      <c r="X106" s="46">
        <f t="shared" ref="X106:AG106" si="50">X101+X102</f>
        <v>0</v>
      </c>
      <c r="Y106" s="46">
        <f t="shared" si="50"/>
        <v>20.303000000000001</v>
      </c>
      <c r="Z106" s="46">
        <f t="shared" si="50"/>
        <v>30.454000000000001</v>
      </c>
      <c r="AA106" s="46">
        <f t="shared" si="50"/>
        <v>5.5469999999999997</v>
      </c>
      <c r="AB106" s="46">
        <f t="shared" si="50"/>
        <v>129.63400000000001</v>
      </c>
      <c r="AC106" s="46">
        <f t="shared" si="50"/>
        <v>144.81299999999999</v>
      </c>
      <c r="AD106" s="46">
        <f t="shared" si="50"/>
        <v>142.06399999999999</v>
      </c>
      <c r="AE106" s="46">
        <f t="shared" si="50"/>
        <v>69.805000000000007</v>
      </c>
      <c r="AF106" s="46">
        <f t="shared" si="50"/>
        <v>18.808835559999999</v>
      </c>
      <c r="AG106" s="46">
        <f t="shared" si="50"/>
        <v>-10.799146740000005</v>
      </c>
      <c r="AH106" s="46">
        <f>AH101+AH102</f>
        <v>76.315749999999994</v>
      </c>
      <c r="AI106" s="46">
        <f t="shared" ref="AI106:AN106" si="51">AI101+AI102</f>
        <v>-39.907491829999998</v>
      </c>
      <c r="AJ106" s="46">
        <f t="shared" si="51"/>
        <v>41.9</v>
      </c>
      <c r="AK106" s="46">
        <f t="shared" si="51"/>
        <v>30.48027355</v>
      </c>
      <c r="AL106" s="46">
        <f t="shared" si="51"/>
        <v>32.76828203999996</v>
      </c>
      <c r="AM106" s="46">
        <f t="shared" si="51"/>
        <v>-2.3869679599999798</v>
      </c>
      <c r="AN106" s="46">
        <f t="shared" si="51"/>
        <v>16.346570020000005</v>
      </c>
      <c r="AO106" s="46">
        <f t="shared" si="49"/>
        <v>12.73945833000011</v>
      </c>
      <c r="AP106" s="46">
        <f t="shared" si="49"/>
        <v>6.7591003699998993</v>
      </c>
      <c r="AQ106" s="46">
        <f>AQ101</f>
        <v>-12.99491636</v>
      </c>
      <c r="AR106" s="46">
        <f>Português!AR106</f>
        <v>8.641</v>
      </c>
      <c r="AS106" s="19"/>
      <c r="AT106" s="47">
        <f>SUM(H106:K106)</f>
        <v>0</v>
      </c>
      <c r="AU106" s="47">
        <f>SUM(L106:O106)</f>
        <v>0</v>
      </c>
      <c r="AV106" s="47">
        <f>SUM(P106:S106)</f>
        <v>0</v>
      </c>
      <c r="AW106" s="47">
        <f>SUM(T106:W106)</f>
        <v>0</v>
      </c>
      <c r="AX106" s="47">
        <f>SUM(X106:AA106)</f>
        <v>56.304000000000002</v>
      </c>
      <c r="AY106" s="47">
        <f>SUM(AB106:AE106)</f>
        <v>486.31599999999997</v>
      </c>
      <c r="AZ106" s="47">
        <f>SUM(AF106:AI106)</f>
        <v>44.41794698999999</v>
      </c>
      <c r="BA106" s="47">
        <f>SUM(AJ106:AM106)</f>
        <v>102.76158762999998</v>
      </c>
      <c r="BB106" s="47">
        <f t="shared" si="45"/>
        <v>22.850212360000015</v>
      </c>
      <c r="BC106" s="42"/>
    </row>
    <row r="107" spans="2:55" s="13" customFormat="1" ht="13.5" outlineLevel="2">
      <c r="B107" s="141" t="s">
        <v>883</v>
      </c>
      <c r="C107" s="43" t="s">
        <v>390</v>
      </c>
      <c r="D107" s="142"/>
      <c r="E107" s="142"/>
      <c r="F107" s="142"/>
      <c r="G107" s="142"/>
      <c r="H107" s="46">
        <f>Português!H107</f>
        <v>0</v>
      </c>
      <c r="I107" s="46">
        <f>Português!I107</f>
        <v>0</v>
      </c>
      <c r="J107" s="46">
        <f>Português!J107</f>
        <v>0</v>
      </c>
      <c r="K107" s="46">
        <f>Português!K107</f>
        <v>0</v>
      </c>
      <c r="L107" s="46">
        <f>Português!L107</f>
        <v>0</v>
      </c>
      <c r="M107" s="46">
        <f>Português!M107</f>
        <v>0</v>
      </c>
      <c r="N107" s="46">
        <f>Português!N107</f>
        <v>0</v>
      </c>
      <c r="O107" s="46">
        <f>Português!O107</f>
        <v>0</v>
      </c>
      <c r="P107" s="46">
        <f>Português!P107</f>
        <v>0</v>
      </c>
      <c r="Q107" s="46">
        <f>Português!Q107</f>
        <v>0</v>
      </c>
      <c r="R107" s="46">
        <f>Português!R107</f>
        <v>0</v>
      </c>
      <c r="S107" s="46">
        <f>Português!S107</f>
        <v>0</v>
      </c>
      <c r="T107" s="46">
        <f>Português!T107</f>
        <v>0</v>
      </c>
      <c r="U107" s="46">
        <f>Português!U107</f>
        <v>0</v>
      </c>
      <c r="V107" s="46">
        <f>Português!V107</f>
        <v>0</v>
      </c>
      <c r="W107" s="46">
        <f>Português!W107</f>
        <v>0</v>
      </c>
      <c r="X107" s="46">
        <f>Português!X107</f>
        <v>0</v>
      </c>
      <c r="Y107" s="46">
        <f>Português!Y107</f>
        <v>0</v>
      </c>
      <c r="Z107" s="46">
        <f>Português!Z107</f>
        <v>0</v>
      </c>
      <c r="AA107" s="46">
        <f>Português!AA107</f>
        <v>0</v>
      </c>
      <c r="AB107" s="46">
        <f>Português!AB107</f>
        <v>0</v>
      </c>
      <c r="AC107" s="46">
        <f>Português!AC107</f>
        <v>0</v>
      </c>
      <c r="AD107" s="46">
        <f>Português!AD107</f>
        <v>0</v>
      </c>
      <c r="AE107" s="46">
        <f>Português!AE107</f>
        <v>0</v>
      </c>
      <c r="AF107" s="46">
        <f>Português!AF107</f>
        <v>0</v>
      </c>
      <c r="AG107" s="46">
        <f>Português!AG107</f>
        <v>0</v>
      </c>
      <c r="AH107" s="46">
        <f>Português!AH107</f>
        <v>0</v>
      </c>
      <c r="AI107" s="46">
        <f>Português!AI107</f>
        <v>0</v>
      </c>
      <c r="AJ107" s="46">
        <f>Português!AJ107</f>
        <v>0</v>
      </c>
      <c r="AK107" s="46">
        <f>Português!AK107</f>
        <v>0</v>
      </c>
      <c r="AL107" s="46">
        <f>Português!AL107</f>
        <v>0</v>
      </c>
      <c r="AM107" s="46">
        <f>Português!AM107</f>
        <v>0</v>
      </c>
      <c r="AN107" s="46">
        <f>Português!AN107</f>
        <v>0</v>
      </c>
      <c r="AO107" s="46">
        <f>Português!AO107</f>
        <v>0</v>
      </c>
      <c r="AP107" s="46">
        <f>Português!AP107</f>
        <v>0</v>
      </c>
      <c r="AQ107" s="46">
        <f>Português!AQ107</f>
        <v>0</v>
      </c>
      <c r="AR107" s="46">
        <f>Português!AR107</f>
        <v>170.53100000000001</v>
      </c>
      <c r="AS107" s="19"/>
      <c r="AT107" s="47"/>
      <c r="AU107" s="47"/>
      <c r="AV107" s="47"/>
      <c r="AW107" s="47"/>
      <c r="AX107" s="47"/>
      <c r="AY107" s="47"/>
      <c r="AZ107" s="47"/>
      <c r="BA107" s="47"/>
      <c r="BB107" s="47"/>
      <c r="BC107" s="42"/>
    </row>
    <row r="108" spans="2:55" s="13" customFormat="1" ht="13.5" outlineLevel="2">
      <c r="B108" s="141" t="s">
        <v>465</v>
      </c>
      <c r="C108" s="43" t="s">
        <v>390</v>
      </c>
      <c r="D108" s="142"/>
      <c r="E108" s="142"/>
      <c r="F108" s="142"/>
      <c r="G108" s="142"/>
      <c r="H108" s="46">
        <f>Português!H108</f>
        <v>0</v>
      </c>
      <c r="I108" s="46">
        <f>Português!I108</f>
        <v>0</v>
      </c>
      <c r="J108" s="46">
        <f>Português!J108</f>
        <v>0</v>
      </c>
      <c r="K108" s="46">
        <f>Português!K108</f>
        <v>0</v>
      </c>
      <c r="L108" s="46">
        <f>Português!L108</f>
        <v>0</v>
      </c>
      <c r="M108" s="46">
        <f>Português!M108</f>
        <v>0</v>
      </c>
      <c r="N108" s="46">
        <f>Português!N108</f>
        <v>0</v>
      </c>
      <c r="O108" s="46">
        <f>Português!O108</f>
        <v>0</v>
      </c>
      <c r="P108" s="46">
        <f>Português!P108</f>
        <v>0</v>
      </c>
      <c r="Q108" s="46">
        <f>Português!Q108</f>
        <v>0</v>
      </c>
      <c r="R108" s="46">
        <f>Português!R108</f>
        <v>0</v>
      </c>
      <c r="S108" s="46">
        <f>Português!S108</f>
        <v>0</v>
      </c>
      <c r="T108" s="46">
        <f>Português!T108</f>
        <v>0</v>
      </c>
      <c r="U108" s="46">
        <f>Português!U108</f>
        <v>0</v>
      </c>
      <c r="V108" s="46">
        <f>Português!V108</f>
        <v>0</v>
      </c>
      <c r="W108" s="46">
        <f>Português!W108</f>
        <v>0</v>
      </c>
      <c r="X108" s="46">
        <f>Português!X108</f>
        <v>189.37200000000001</v>
      </c>
      <c r="Y108" s="46">
        <f>Português!Y108</f>
        <v>183.5</v>
      </c>
      <c r="Z108" s="46">
        <f>Português!Z108</f>
        <v>196.33899999999997</v>
      </c>
      <c r="AA108" s="46">
        <f>Português!AA108</f>
        <v>195.31299999999999</v>
      </c>
      <c r="AB108" s="46">
        <f>Português!AB108</f>
        <v>179.292</v>
      </c>
      <c r="AC108" s="46">
        <f>Português!AC108</f>
        <v>408.52699999999993</v>
      </c>
      <c r="AD108" s="46">
        <f>Português!AD108</f>
        <v>501.55400000000009</v>
      </c>
      <c r="AE108" s="46">
        <f>Português!AE108</f>
        <v>408.23399999999992</v>
      </c>
      <c r="AF108" s="46">
        <f>Português!AF108</f>
        <v>336.38100000000003</v>
      </c>
      <c r="AG108" s="46">
        <f>Português!AG108</f>
        <v>374.11899999999997</v>
      </c>
      <c r="AH108" s="46">
        <f>Português!AH108</f>
        <v>372.00800000000004</v>
      </c>
      <c r="AI108" s="46">
        <f>Português!AI108</f>
        <v>380.87999999999988</v>
      </c>
      <c r="AJ108" s="46">
        <f>Português!AJ108</f>
        <v>369.375</v>
      </c>
      <c r="AK108" s="46">
        <f>Português!AK108</f>
        <v>369.31799999999998</v>
      </c>
      <c r="AL108" s="46">
        <f>Português!AL108</f>
        <v>363.01900000000001</v>
      </c>
      <c r="AM108" s="46">
        <f>Português!AM108</f>
        <v>349.35000000000014</v>
      </c>
      <c r="AN108" s="46">
        <f>Português!AN108</f>
        <v>345.72899999999998</v>
      </c>
      <c r="AO108" s="46">
        <f>Português!AO108</f>
        <v>342.02399999999994</v>
      </c>
      <c r="AP108" s="46">
        <f>Português!AP108</f>
        <v>327.97000000000014</v>
      </c>
      <c r="AQ108" s="46">
        <f>Português!AQ108</f>
        <v>222.69499999999982</v>
      </c>
      <c r="AR108" s="46">
        <f>Português!AR108</f>
        <v>219.19</v>
      </c>
      <c r="AS108" s="19"/>
      <c r="AT108" s="47">
        <f>SUM(H108:K108)</f>
        <v>0</v>
      </c>
      <c r="AU108" s="47">
        <f>SUM(L108:O108)</f>
        <v>0</v>
      </c>
      <c r="AV108" s="47">
        <f>SUM(P108:S108)</f>
        <v>0</v>
      </c>
      <c r="AW108" s="47">
        <f>SUM(T108:W108)</f>
        <v>0</v>
      </c>
      <c r="AX108" s="47">
        <f>SUM(X108:AA108)</f>
        <v>764.524</v>
      </c>
      <c r="AY108" s="47">
        <f>SUM(AB108:AE108)</f>
        <v>1497.607</v>
      </c>
      <c r="AZ108" s="47">
        <f>SUM(AF108:AI108)</f>
        <v>1463.3879999999999</v>
      </c>
      <c r="BA108" s="47">
        <f>SUM(AJ108:AM108)</f>
        <v>1451.0620000000001</v>
      </c>
      <c r="BB108" s="47">
        <f t="shared" si="45"/>
        <v>1238.4179999999999</v>
      </c>
      <c r="BC108" s="42"/>
    </row>
    <row r="109" spans="2:55" s="13" customFormat="1" ht="13.5" outlineLevel="2">
      <c r="B109" s="141" t="s">
        <v>460</v>
      </c>
      <c r="C109" s="43" t="s">
        <v>390</v>
      </c>
      <c r="D109" s="142"/>
      <c r="E109" s="142"/>
      <c r="F109" s="142"/>
      <c r="G109" s="142"/>
      <c r="H109" s="46">
        <v>0</v>
      </c>
      <c r="I109" s="46">
        <v>0</v>
      </c>
      <c r="J109" s="46">
        <v>0</v>
      </c>
      <c r="K109" s="46">
        <v>0</v>
      </c>
      <c r="L109" s="46">
        <v>0</v>
      </c>
      <c r="M109" s="46">
        <v>0</v>
      </c>
      <c r="N109" s="46">
        <v>0</v>
      </c>
      <c r="O109" s="46">
        <v>0</v>
      </c>
      <c r="P109" s="46">
        <v>0</v>
      </c>
      <c r="Q109" s="46">
        <v>0</v>
      </c>
      <c r="R109" s="46">
        <v>0</v>
      </c>
      <c r="S109" s="46">
        <v>0</v>
      </c>
      <c r="T109" s="46">
        <v>0</v>
      </c>
      <c r="U109" s="46">
        <v>0</v>
      </c>
      <c r="V109" s="46">
        <v>0</v>
      </c>
      <c r="W109" s="46">
        <v>0</v>
      </c>
      <c r="X109" s="46">
        <v>0</v>
      </c>
      <c r="Y109" s="46">
        <v>0</v>
      </c>
      <c r="Z109" s="46">
        <v>0</v>
      </c>
      <c r="AA109" s="46">
        <v>0</v>
      </c>
      <c r="AB109" s="46">
        <v>0</v>
      </c>
      <c r="AC109" s="46">
        <v>0</v>
      </c>
      <c r="AD109" s="46">
        <v>0</v>
      </c>
      <c r="AE109" s="46">
        <v>0</v>
      </c>
      <c r="AF109" s="46">
        <v>0</v>
      </c>
      <c r="AG109" s="46">
        <v>0</v>
      </c>
      <c r="AH109" s="46">
        <v>0</v>
      </c>
      <c r="AI109" s="46">
        <v>0</v>
      </c>
      <c r="AJ109" s="46">
        <v>0</v>
      </c>
      <c r="AK109" s="46">
        <v>0</v>
      </c>
      <c r="AL109" s="46">
        <v>0</v>
      </c>
      <c r="AM109" s="46">
        <v>0</v>
      </c>
      <c r="AN109" s="46">
        <v>0</v>
      </c>
      <c r="AO109" s="46">
        <v>150.6</v>
      </c>
      <c r="AP109" s="46">
        <v>59.9</v>
      </c>
      <c r="AQ109" s="46">
        <v>0</v>
      </c>
      <c r="AR109" s="46">
        <v>0</v>
      </c>
      <c r="AS109" s="19"/>
      <c r="AT109" s="47"/>
      <c r="AU109" s="47"/>
      <c r="AV109" s="47"/>
      <c r="AW109" s="47"/>
      <c r="AX109" s="47"/>
      <c r="AY109" s="47"/>
      <c r="AZ109" s="47"/>
      <c r="BA109" s="47"/>
      <c r="BB109" s="47"/>
      <c r="BC109" s="42"/>
    </row>
    <row r="110" spans="2:55" ht="13.5" outlineLevel="2">
      <c r="B110" s="59" t="s">
        <v>466</v>
      </c>
      <c r="C110" s="10" t="s">
        <v>390</v>
      </c>
      <c r="D110" s="68"/>
      <c r="E110" s="68"/>
      <c r="F110" s="68"/>
      <c r="G110" s="68"/>
      <c r="H110" s="25">
        <f t="shared" ref="H110:V110" si="52">H105+H106+H108+H109</f>
        <v>159.82125134745792</v>
      </c>
      <c r="I110" s="25">
        <f t="shared" si="52"/>
        <v>162.25559433525711</v>
      </c>
      <c r="J110" s="25">
        <f t="shared" si="52"/>
        <v>155.288483042492</v>
      </c>
      <c r="K110" s="25">
        <f t="shared" si="52"/>
        <v>173.232030084793</v>
      </c>
      <c r="L110" s="25">
        <f t="shared" si="52"/>
        <v>214.07012802851563</v>
      </c>
      <c r="M110" s="25">
        <f t="shared" si="52"/>
        <v>150.02805760076296</v>
      </c>
      <c r="N110" s="25">
        <f t="shared" si="52"/>
        <v>190.17838831237322</v>
      </c>
      <c r="O110" s="25">
        <f t="shared" si="52"/>
        <v>234.0561943068374</v>
      </c>
      <c r="P110" s="25">
        <f t="shared" si="52"/>
        <v>205.39400000000009</v>
      </c>
      <c r="Q110" s="25">
        <f t="shared" si="52"/>
        <v>223.40899999999976</v>
      </c>
      <c r="R110" s="25">
        <f t="shared" si="52"/>
        <v>212.43500000000014</v>
      </c>
      <c r="S110" s="25">
        <f t="shared" si="52"/>
        <v>210.60800000000029</v>
      </c>
      <c r="T110" s="25">
        <f t="shared" si="52"/>
        <v>164.56299999999928</v>
      </c>
      <c r="U110" s="25">
        <f t="shared" si="52"/>
        <v>278.64100000000025</v>
      </c>
      <c r="V110" s="25">
        <f t="shared" si="52"/>
        <v>247.84500000000077</v>
      </c>
      <c r="W110" s="25">
        <f t="shared" ref="W110:AR110" si="53">SUM(W105:W109)</f>
        <v>94.249999999998636</v>
      </c>
      <c r="X110" s="25">
        <f t="shared" si="53"/>
        <v>341.20099999999962</v>
      </c>
      <c r="Y110" s="25">
        <f t="shared" si="53"/>
        <v>308.41299999999984</v>
      </c>
      <c r="Z110" s="25">
        <f t="shared" si="53"/>
        <v>270.46499999999969</v>
      </c>
      <c r="AA110" s="25">
        <f t="shared" si="53"/>
        <v>401.08500000000021</v>
      </c>
      <c r="AB110" s="25">
        <f t="shared" si="53"/>
        <v>126.9490000000001</v>
      </c>
      <c r="AC110" s="25">
        <f t="shared" si="53"/>
        <v>240.99599999999907</v>
      </c>
      <c r="AD110" s="25">
        <f t="shared" si="53"/>
        <v>678.7720000000013</v>
      </c>
      <c r="AE110" s="25">
        <f t="shared" si="53"/>
        <v>161.36829999999964</v>
      </c>
      <c r="AF110" s="25">
        <f t="shared" si="53"/>
        <v>13.942853026042485</v>
      </c>
      <c r="AG110" s="25">
        <f t="shared" si="53"/>
        <v>210.19636956411748</v>
      </c>
      <c r="AH110" s="25">
        <f t="shared" si="53"/>
        <v>196.34952413876766</v>
      </c>
      <c r="AI110" s="25">
        <f t="shared" si="53"/>
        <v>258.94347722252411</v>
      </c>
      <c r="AJ110" s="25">
        <f t="shared" si="53"/>
        <v>494.61879250999755</v>
      </c>
      <c r="AK110" s="25">
        <f t="shared" si="53"/>
        <v>490.27616418999946</v>
      </c>
      <c r="AL110" s="25">
        <f t="shared" si="53"/>
        <v>324.50214458245262</v>
      </c>
      <c r="AM110" s="25">
        <f t="shared" si="53"/>
        <v>514.72956027552095</v>
      </c>
      <c r="AN110" s="25">
        <f t="shared" si="53"/>
        <v>416.3578315932549</v>
      </c>
      <c r="AO110" s="25">
        <f t="shared" si="53"/>
        <v>299.53442291754334</v>
      </c>
      <c r="AP110" s="25">
        <f t="shared" si="53"/>
        <v>337.63295370680248</v>
      </c>
      <c r="AQ110" s="25">
        <f t="shared" si="53"/>
        <v>180.60847635766686</v>
      </c>
      <c r="AR110" s="25">
        <f t="shared" si="53"/>
        <v>244.04274735000052</v>
      </c>
      <c r="AS110" s="19"/>
      <c r="AT110" s="25">
        <f>SUM(H110:K110)</f>
        <v>650.59735881000006</v>
      </c>
      <c r="AU110" s="25">
        <f>SUM(L110:O110)</f>
        <v>788.33276824848917</v>
      </c>
      <c r="AV110" s="25">
        <f>SUM(P110:S110)</f>
        <v>851.84600000000034</v>
      </c>
      <c r="AW110" s="25">
        <f>SUM(T110:W110)</f>
        <v>785.29899999999884</v>
      </c>
      <c r="AX110" s="25">
        <f>SUM(X110:AA110)</f>
        <v>1321.1639999999993</v>
      </c>
      <c r="AY110" s="25">
        <f>SUM(AB110:AE110)</f>
        <v>1208.0853000000002</v>
      </c>
      <c r="AZ110" s="25">
        <f>SUM(AF110:AI110)</f>
        <v>679.43222395145176</v>
      </c>
      <c r="BA110" s="25">
        <f>SUM(AJ110:AM110)</f>
        <v>1824.1266615579705</v>
      </c>
      <c r="BB110" s="25">
        <f t="shared" si="45"/>
        <v>1234.1336845752676</v>
      </c>
      <c r="BC110" s="37"/>
    </row>
    <row r="111" spans="2:55" ht="13.5" outlineLevel="2">
      <c r="B111" s="59" t="s">
        <v>467</v>
      </c>
      <c r="C111" s="24" t="s">
        <v>76</v>
      </c>
      <c r="D111" s="68"/>
      <c r="E111" s="68"/>
      <c r="F111" s="68"/>
      <c r="G111" s="68"/>
      <c r="H111" s="68">
        <f>H110/H57</f>
        <v>0.18002487856110314</v>
      </c>
      <c r="I111" s="68">
        <f>I110/I57</f>
        <v>0.175083440889515</v>
      </c>
      <c r="J111" s="68">
        <f>J110/J57</f>
        <v>0.15690593749789447</v>
      </c>
      <c r="K111" s="68">
        <f>K110/K57</f>
        <v>0.16596564300598057</v>
      </c>
      <c r="L111" s="68">
        <f>L110/L57</f>
        <v>0.19641775052080965</v>
      </c>
      <c r="M111" s="68">
        <f>M110/M57</f>
        <v>0.13504495489960652</v>
      </c>
      <c r="N111" s="68">
        <f>N110/N57</f>
        <v>0.16342069999817246</v>
      </c>
      <c r="O111" s="68">
        <f>O110/O57</f>
        <v>0.19322046607417842</v>
      </c>
      <c r="P111" s="68">
        <f>P110/P57</f>
        <v>0.16340015910898972</v>
      </c>
      <c r="Q111" s="68">
        <f>Q110/Q57</f>
        <v>0.17505016622827518</v>
      </c>
      <c r="R111" s="68">
        <f>R110/R57</f>
        <v>0.16145286679824994</v>
      </c>
      <c r="S111" s="68">
        <f>S110/S57</f>
        <v>0.11796421439993741</v>
      </c>
      <c r="T111" s="68">
        <f>T110/T57</f>
        <v>7.9162954567757418E-2</v>
      </c>
      <c r="U111" s="68">
        <f>U110/U57</f>
        <v>0.1342008709732419</v>
      </c>
      <c r="V111" s="68">
        <f>V110/V57</f>
        <v>0.11655724752866407</v>
      </c>
      <c r="W111" s="68">
        <f>W110/W57</f>
        <v>4.1455996164495058E-2</v>
      </c>
      <c r="X111" s="68">
        <f>X110/X57</f>
        <v>0.14686979290645069</v>
      </c>
      <c r="Y111" s="68">
        <f>Y110/Y57</f>
        <v>0.12837474187733064</v>
      </c>
      <c r="Z111" s="68">
        <f>Z110/Z57</f>
        <v>0.105696550290322</v>
      </c>
      <c r="AA111" s="68">
        <f>AA110/AA57</f>
        <v>0.15432833879781008</v>
      </c>
      <c r="AB111" s="68">
        <f>AB110/AB57</f>
        <v>2.6220886737682924E-2</v>
      </c>
      <c r="AC111" s="68">
        <f>AC110/AC57</f>
        <v>3.9613940130343382E-2</v>
      </c>
      <c r="AD111" s="68">
        <f>AD110/AD57</f>
        <v>0.10738004040997221</v>
      </c>
      <c r="AE111" s="68">
        <f>AE110/AE57</f>
        <v>2.481652693222075E-2</v>
      </c>
      <c r="AF111" s="68">
        <f>AF110/AF57</f>
        <v>2.0729187580068574E-3</v>
      </c>
      <c r="AG111" s="68">
        <f>AG110/AG57</f>
        <v>3.0731253241417407E-2</v>
      </c>
      <c r="AH111" s="68">
        <f>AH110/AH57</f>
        <v>2.8600932835227705E-2</v>
      </c>
      <c r="AI111" s="68">
        <f>AI110/AI57</f>
        <v>3.7338895926243593E-2</v>
      </c>
      <c r="AJ111" s="68">
        <f>AJ110/AJ57</f>
        <v>7.074627081918608E-2</v>
      </c>
      <c r="AK111" s="68">
        <f>AK110/AK57</f>
        <v>6.856626163502115E-2</v>
      </c>
      <c r="AL111" s="68">
        <f>AL110/AL57</f>
        <v>4.4223600753239091E-2</v>
      </c>
      <c r="AM111" s="68">
        <f>AM110/AM57</f>
        <v>6.8883644363160218E-2</v>
      </c>
      <c r="AN111" s="68">
        <f>AN110/AN57</f>
        <v>5.551801337590085E-2</v>
      </c>
      <c r="AO111" s="68">
        <f>AO110/AO57</f>
        <v>3.903254001319334E-2</v>
      </c>
      <c r="AP111" s="68">
        <f>AP110/AP57</f>
        <v>4.3425868413437527E-2</v>
      </c>
      <c r="AQ111" s="68">
        <f>AQ110/AQ57</f>
        <v>2.281893070973131E-2</v>
      </c>
      <c r="AR111" s="68">
        <f>AR110/AR57</f>
        <v>3.0920959769248475E-2</v>
      </c>
      <c r="AS111" s="19"/>
      <c r="AT111" s="68">
        <f>AT110/AT57</f>
        <v>0.16907503049597977</v>
      </c>
      <c r="AU111" s="68">
        <f>AU110/AU57</f>
        <v>0.17227934770278139</v>
      </c>
      <c r="AV111" s="68">
        <f>AV110/AV57</f>
        <v>0.15118709537495059</v>
      </c>
      <c r="AW111" s="68">
        <f>AW110/AW57</f>
        <v>9.1794573932014289E-2</v>
      </c>
      <c r="AX111" s="68">
        <f>AX110/AX57</f>
        <v>0.13367525397422031</v>
      </c>
      <c r="AY111" s="68">
        <f>AY110/AY57</f>
        <v>5.0869313287073878E-2</v>
      </c>
      <c r="AZ111" s="68">
        <f>AZ110/AZ57</f>
        <v>2.4827500475065579E-2</v>
      </c>
      <c r="BA111" s="68">
        <f>BA110/BA57</f>
        <v>6.3005083234031686E-2</v>
      </c>
      <c r="BB111" s="68">
        <f>BB110/BB57</f>
        <v>3.9987151890641108E-2</v>
      </c>
      <c r="BC111" s="37"/>
    </row>
    <row r="112" spans="2:55">
      <c r="D112" s="5"/>
      <c r="E112" s="5"/>
      <c r="F112" s="5"/>
      <c r="G112" s="5"/>
      <c r="H112" s="5"/>
      <c r="I112" s="5"/>
      <c r="J112" s="5"/>
      <c r="K112" s="5"/>
      <c r="L112" s="5"/>
      <c r="M112" s="5"/>
      <c r="AK112" s="42"/>
      <c r="AL112" s="42"/>
      <c r="AM112" s="42"/>
      <c r="AN112" s="42"/>
      <c r="AO112" s="37"/>
      <c r="AP112" s="37"/>
      <c r="AQ112" s="37"/>
      <c r="AR112" s="37"/>
      <c r="AS112" s="19"/>
      <c r="AX112" s="13"/>
      <c r="AY112" s="13"/>
      <c r="AZ112" s="13"/>
      <c r="BA112" s="37"/>
      <c r="BB112" s="37"/>
      <c r="BC112" s="37"/>
    </row>
    <row r="113" spans="1:55">
      <c r="D113" s="5"/>
      <c r="E113" s="5"/>
      <c r="F113" s="5"/>
      <c r="G113" s="5"/>
      <c r="H113" s="5"/>
      <c r="I113" s="5"/>
      <c r="J113" s="5"/>
      <c r="K113" s="5"/>
      <c r="L113" s="5"/>
      <c r="M113" s="5"/>
      <c r="AK113" s="42"/>
      <c r="AL113" s="42"/>
      <c r="AM113" s="42"/>
      <c r="AN113" s="42"/>
      <c r="AO113" s="65"/>
      <c r="AP113" s="65"/>
      <c r="AQ113" s="65"/>
      <c r="AR113" s="65"/>
      <c r="AS113" s="19"/>
      <c r="AT113" s="63"/>
      <c r="AU113" s="63"/>
      <c r="AV113" s="63"/>
      <c r="AW113" s="63"/>
      <c r="AX113" s="63"/>
      <c r="AY113" s="63"/>
      <c r="AZ113" s="63"/>
      <c r="BA113" s="37"/>
      <c r="BB113" s="37"/>
      <c r="BC113" s="37"/>
    </row>
    <row r="114" spans="1:55" ht="13.5">
      <c r="B114" s="4" t="s">
        <v>468</v>
      </c>
      <c r="AK114" s="42"/>
      <c r="AL114" s="42"/>
      <c r="AM114" s="42"/>
      <c r="AN114" s="42"/>
      <c r="AO114" s="66"/>
      <c r="AP114" s="66"/>
      <c r="AQ114" s="66"/>
      <c r="AR114" s="66"/>
      <c r="AS114" s="19"/>
      <c r="AT114" s="37"/>
      <c r="AU114" s="37"/>
      <c r="AV114" s="37"/>
      <c r="AW114" s="37"/>
      <c r="AX114" s="13"/>
      <c r="AY114" s="13"/>
      <c r="AZ114" s="13"/>
      <c r="BA114" s="37"/>
      <c r="BB114" s="37"/>
      <c r="BC114" s="37"/>
    </row>
    <row r="115" spans="1:55" ht="27" customHeight="1" outlineLevel="1">
      <c r="B115" s="6" t="s">
        <v>10</v>
      </c>
      <c r="C115" s="6" t="s">
        <v>335</v>
      </c>
      <c r="D115" s="6" t="s">
        <v>336</v>
      </c>
      <c r="E115" s="6" t="s">
        <v>337</v>
      </c>
      <c r="F115" s="6" t="s">
        <v>338</v>
      </c>
      <c r="G115" s="6" t="s">
        <v>339</v>
      </c>
      <c r="H115" s="6" t="s">
        <v>340</v>
      </c>
      <c r="I115" s="6" t="s">
        <v>341</v>
      </c>
      <c r="J115" s="6" t="s">
        <v>342</v>
      </c>
      <c r="K115" s="6" t="s">
        <v>343</v>
      </c>
      <c r="L115" s="6" t="s">
        <v>344</v>
      </c>
      <c r="M115" s="6" t="s">
        <v>345</v>
      </c>
      <c r="N115" s="6" t="s">
        <v>346</v>
      </c>
      <c r="O115" s="6" t="s">
        <v>347</v>
      </c>
      <c r="P115" s="6" t="str">
        <f>P8</f>
        <v>1Q19</v>
      </c>
      <c r="Q115" s="6" t="s">
        <v>349</v>
      </c>
      <c r="R115" s="6" t="s">
        <v>350</v>
      </c>
      <c r="S115" s="6" t="s">
        <v>351</v>
      </c>
      <c r="T115" s="6" t="s">
        <v>352</v>
      </c>
      <c r="U115" s="6" t="s">
        <v>353</v>
      </c>
      <c r="V115" s="6" t="s">
        <v>354</v>
      </c>
      <c r="W115" s="6" t="s">
        <v>355</v>
      </c>
      <c r="X115" s="6" t="s">
        <v>356</v>
      </c>
      <c r="Y115" s="6" t="s">
        <v>357</v>
      </c>
      <c r="Z115" s="6" t="s">
        <v>358</v>
      </c>
      <c r="AA115" s="6" t="s">
        <v>359</v>
      </c>
      <c r="AB115" s="6" t="s">
        <v>360</v>
      </c>
      <c r="AC115" s="6" t="s">
        <v>361</v>
      </c>
      <c r="AD115" s="6" t="s">
        <v>362</v>
      </c>
      <c r="AE115" s="6" t="s">
        <v>363</v>
      </c>
      <c r="AF115" s="6" t="s">
        <v>364</v>
      </c>
      <c r="AG115" s="6" t="s">
        <v>365</v>
      </c>
      <c r="AH115" s="6" t="s">
        <v>366</v>
      </c>
      <c r="AI115" s="101" t="s">
        <v>469</v>
      </c>
      <c r="AJ115" s="6" t="s">
        <v>470</v>
      </c>
      <c r="AK115" s="6" t="s">
        <v>471</v>
      </c>
      <c r="AL115" s="6" t="s">
        <v>472</v>
      </c>
      <c r="AM115" s="6" t="s">
        <v>371</v>
      </c>
      <c r="AN115" s="6" t="s">
        <v>372</v>
      </c>
      <c r="AO115" s="6" t="s">
        <v>373</v>
      </c>
      <c r="AP115" s="6" t="s">
        <v>374</v>
      </c>
      <c r="AQ115" s="6" t="s">
        <v>375</v>
      </c>
      <c r="AR115" s="6" t="s">
        <v>629</v>
      </c>
      <c r="AS115" s="19"/>
      <c r="AT115" s="6">
        <v>2017</v>
      </c>
      <c r="AU115" s="6">
        <v>2018</v>
      </c>
      <c r="AV115" s="6">
        <v>2019</v>
      </c>
      <c r="AW115" s="6">
        <v>2020</v>
      </c>
      <c r="AX115" s="6">
        <v>2021</v>
      </c>
      <c r="AY115" s="6">
        <v>2022</v>
      </c>
      <c r="AZ115" s="101" t="s">
        <v>415</v>
      </c>
      <c r="BA115" s="6">
        <v>2024</v>
      </c>
      <c r="BB115" s="7">
        <v>2025</v>
      </c>
      <c r="BC115" s="37"/>
    </row>
    <row r="116" spans="1:55" ht="13.5" outlineLevel="1">
      <c r="B116" s="10" t="s">
        <v>473</v>
      </c>
      <c r="C116" s="10" t="s">
        <v>390</v>
      </c>
      <c r="D116" s="113"/>
      <c r="E116" s="113"/>
      <c r="F116" s="113"/>
      <c r="G116" s="113"/>
      <c r="H116" s="71">
        <f t="shared" ref="H116:AM116" si="54">SUM(H117,H129)+H128</f>
        <v>1881.5553196701494</v>
      </c>
      <c r="I116" s="71">
        <f t="shared" si="54"/>
        <v>1950.5</v>
      </c>
      <c r="J116" s="71">
        <f t="shared" si="54"/>
        <v>2143.0200000000004</v>
      </c>
      <c r="K116" s="71">
        <f t="shared" si="54"/>
        <v>2336.1480000000001</v>
      </c>
      <c r="L116" s="71">
        <f t="shared" si="54"/>
        <v>2450.4940000000001</v>
      </c>
      <c r="M116" s="71">
        <f t="shared" si="54"/>
        <v>4758.8999999999996</v>
      </c>
      <c r="N116" s="71">
        <f t="shared" si="54"/>
        <v>4635.777</v>
      </c>
      <c r="O116" s="71">
        <f t="shared" si="54"/>
        <v>4876.674</v>
      </c>
      <c r="P116" s="71">
        <f t="shared" si="54"/>
        <v>5978.7510000000002</v>
      </c>
      <c r="Q116" s="71">
        <f t="shared" si="54"/>
        <v>6087.9420000000009</v>
      </c>
      <c r="R116" s="71">
        <f t="shared" si="54"/>
        <v>10896.094000000001</v>
      </c>
      <c r="S116" s="71">
        <f t="shared" si="54"/>
        <v>12425.23</v>
      </c>
      <c r="T116" s="71">
        <f t="shared" si="54"/>
        <v>12798.02</v>
      </c>
      <c r="U116" s="71">
        <f t="shared" si="54"/>
        <v>13248.764999999999</v>
      </c>
      <c r="V116" s="71">
        <f t="shared" si="54"/>
        <v>13152.761</v>
      </c>
      <c r="W116" s="71">
        <f t="shared" si="54"/>
        <v>13518.976999999999</v>
      </c>
      <c r="X116" s="71">
        <f t="shared" si="54"/>
        <v>13794.698</v>
      </c>
      <c r="Y116" s="71">
        <f t="shared" si="54"/>
        <v>17305.813999999998</v>
      </c>
      <c r="Z116" s="71">
        <f t="shared" si="54"/>
        <v>17404.288</v>
      </c>
      <c r="AA116" s="71">
        <f t="shared" si="54"/>
        <v>21360.055</v>
      </c>
      <c r="AB116" s="71">
        <f t="shared" si="54"/>
        <v>72662.411000000007</v>
      </c>
      <c r="AC116" s="71">
        <f t="shared" si="54"/>
        <v>71950.629000000015</v>
      </c>
      <c r="AD116" s="71">
        <f t="shared" si="54"/>
        <v>71127.962</v>
      </c>
      <c r="AE116" s="71">
        <f t="shared" si="54"/>
        <v>73213.731</v>
      </c>
      <c r="AF116" s="71">
        <f t="shared" si="54"/>
        <v>73393.976999999999</v>
      </c>
      <c r="AG116" s="71">
        <f t="shared" si="54"/>
        <v>75034.385999999999</v>
      </c>
      <c r="AH116" s="71">
        <f t="shared" si="54"/>
        <v>74771.862999999998</v>
      </c>
      <c r="AI116" s="71">
        <f>SUM(AI117,AI129)+AI128</f>
        <v>75146.371000000014</v>
      </c>
      <c r="AJ116" s="71">
        <f t="shared" si="54"/>
        <v>74660.251000000004</v>
      </c>
      <c r="AK116" s="71">
        <f t="shared" si="54"/>
        <v>75740.252000000008</v>
      </c>
      <c r="AL116" s="71">
        <f t="shared" si="54"/>
        <v>75251.782999999996</v>
      </c>
      <c r="AM116" s="71">
        <f t="shared" si="54"/>
        <v>75475.19</v>
      </c>
      <c r="AN116" s="71">
        <f>SUM(AN117,AN129)+AN128</f>
        <v>76306.421999999991</v>
      </c>
      <c r="AO116" s="71">
        <f>SUM(AO117,AO129)+AO128</f>
        <v>76306.186999999991</v>
      </c>
      <c r="AP116" s="71">
        <f>SUM(AP117,AP129)+AP128</f>
        <v>76403.558000000005</v>
      </c>
      <c r="AQ116" s="71">
        <f>SUM(AQ117,AQ129)+AQ128</f>
        <v>74101.687000000005</v>
      </c>
      <c r="AR116" s="71">
        <f>SUM(AR117,AR129)+AR128</f>
        <v>74807.005999999994</v>
      </c>
      <c r="AS116" s="19"/>
      <c r="AT116" s="71">
        <f t="shared" ref="AT116:AY116" si="55">SUM(AT117,AT129)</f>
        <v>2336.1480000000001</v>
      </c>
      <c r="AU116" s="71">
        <f t="shared" si="55"/>
        <v>4876.674</v>
      </c>
      <c r="AV116" s="71">
        <f t="shared" si="55"/>
        <v>12425.23</v>
      </c>
      <c r="AW116" s="71">
        <f t="shared" si="55"/>
        <v>13518.976999999999</v>
      </c>
      <c r="AX116" s="71">
        <f t="shared" si="55"/>
        <v>21360.055</v>
      </c>
      <c r="AY116" s="71">
        <f t="shared" si="55"/>
        <v>73213.731</v>
      </c>
      <c r="AZ116" s="71">
        <f>SUM(AZ117,AZ129)+AZ128</f>
        <v>75161.251000000004</v>
      </c>
      <c r="BA116" s="71">
        <f>SUM(BA117,BA129)+BA128</f>
        <v>75475.19</v>
      </c>
      <c r="BB116" s="71">
        <f>SUM(BB117,BB129)+BB128</f>
        <v>74101.687000000005</v>
      </c>
      <c r="BC116" s="37"/>
    </row>
    <row r="117" spans="1:55" ht="13.5" outlineLevel="1">
      <c r="B117" s="56" t="s">
        <v>474</v>
      </c>
      <c r="C117" s="10" t="s">
        <v>390</v>
      </c>
      <c r="D117" s="109"/>
      <c r="E117" s="109"/>
      <c r="F117" s="109"/>
      <c r="G117" s="109"/>
      <c r="H117" s="57">
        <f t="shared" ref="H117:AM117" si="56">SUM(H118:H127)</f>
        <v>1115.7090000000001</v>
      </c>
      <c r="I117" s="57">
        <f t="shared" si="56"/>
        <v>1042.7</v>
      </c>
      <c r="J117" s="57">
        <f t="shared" si="56"/>
        <v>1131.9040000000002</v>
      </c>
      <c r="K117" s="57">
        <f t="shared" si="56"/>
        <v>1238.9780000000001</v>
      </c>
      <c r="L117" s="57">
        <f t="shared" si="56"/>
        <v>1249.9190000000001</v>
      </c>
      <c r="M117" s="57">
        <f t="shared" si="56"/>
        <v>1138.5999999999999</v>
      </c>
      <c r="N117" s="57">
        <f t="shared" si="56"/>
        <v>1096.297</v>
      </c>
      <c r="O117" s="57">
        <f t="shared" si="56"/>
        <v>1275.954</v>
      </c>
      <c r="P117" s="57">
        <f t="shared" si="56"/>
        <v>1227.3130000000001</v>
      </c>
      <c r="Q117" s="57">
        <f t="shared" si="56"/>
        <v>1926.2580000000003</v>
      </c>
      <c r="R117" s="57">
        <f t="shared" si="56"/>
        <v>1934.2089999999994</v>
      </c>
      <c r="S117" s="57">
        <f t="shared" si="56"/>
        <v>2217.7539999999999</v>
      </c>
      <c r="T117" s="57">
        <f t="shared" si="56"/>
        <v>2754.239</v>
      </c>
      <c r="U117" s="57">
        <f t="shared" si="56"/>
        <v>3280.3759999999997</v>
      </c>
      <c r="V117" s="57">
        <f t="shared" si="56"/>
        <v>3432.4979999999996</v>
      </c>
      <c r="W117" s="57">
        <f t="shared" si="56"/>
        <v>3502.0909999999999</v>
      </c>
      <c r="X117" s="57">
        <f t="shared" si="56"/>
        <v>3689.2380000000003</v>
      </c>
      <c r="Y117" s="57">
        <f t="shared" si="56"/>
        <v>3749.0819999999999</v>
      </c>
      <c r="Z117" s="57">
        <f t="shared" si="56"/>
        <v>3710.5129999999999</v>
      </c>
      <c r="AA117" s="57">
        <f t="shared" si="56"/>
        <v>3318.1910000000003</v>
      </c>
      <c r="AB117" s="57">
        <f t="shared" si="56"/>
        <v>7795.0700000000006</v>
      </c>
      <c r="AC117" s="57">
        <f t="shared" si="56"/>
        <v>7167.5740000000005</v>
      </c>
      <c r="AD117" s="57">
        <f t="shared" si="56"/>
        <v>6945.76</v>
      </c>
      <c r="AE117" s="57">
        <f t="shared" si="56"/>
        <v>7931.9029999999993</v>
      </c>
      <c r="AF117" s="57">
        <f t="shared" si="56"/>
        <v>7600.619999999999</v>
      </c>
      <c r="AG117" s="57">
        <f t="shared" si="56"/>
        <v>9118.7119999999995</v>
      </c>
      <c r="AH117" s="57">
        <f t="shared" si="56"/>
        <v>8910.6899999999987</v>
      </c>
      <c r="AI117" s="57">
        <f>SUM(AI118:AI127)</f>
        <v>10420.867</v>
      </c>
      <c r="AJ117" s="57">
        <f t="shared" si="56"/>
        <v>10443.057000000003</v>
      </c>
      <c r="AK117" s="57">
        <f t="shared" si="56"/>
        <v>11432.968999999999</v>
      </c>
      <c r="AL117" s="57">
        <f t="shared" si="56"/>
        <v>10957.679</v>
      </c>
      <c r="AM117" s="57">
        <f t="shared" si="56"/>
        <v>12514.144</v>
      </c>
      <c r="AN117" s="57">
        <f>SUM(AN118:AN127)</f>
        <v>13578.108</v>
      </c>
      <c r="AO117" s="57">
        <f>SUM(AO118:AO127)</f>
        <v>13725.543</v>
      </c>
      <c r="AP117" s="57">
        <f>SUM(AP118:AP127)</f>
        <v>13836.080947999999</v>
      </c>
      <c r="AQ117" s="57">
        <f>SUM(AQ118:AQ127)</f>
        <v>12252.701000000001</v>
      </c>
      <c r="AR117" s="57">
        <f>SUM(AR118:AR127)</f>
        <v>13039.921</v>
      </c>
      <c r="AS117" s="19"/>
      <c r="AT117" s="57">
        <f t="shared" ref="AT117:AY117" si="57">SUM(AT118:AT128)</f>
        <v>1238.9780000000001</v>
      </c>
      <c r="AU117" s="57">
        <f t="shared" si="57"/>
        <v>1275.954</v>
      </c>
      <c r="AV117" s="57">
        <f t="shared" si="57"/>
        <v>2217.7539999999999</v>
      </c>
      <c r="AW117" s="57">
        <f t="shared" si="57"/>
        <v>3502.0909999999999</v>
      </c>
      <c r="AX117" s="57">
        <f t="shared" si="57"/>
        <v>3318.1910000000003</v>
      </c>
      <c r="AY117" s="57">
        <f t="shared" si="57"/>
        <v>7931.9029999999993</v>
      </c>
      <c r="AZ117" s="57">
        <f>SUM(AZ118:AZ128)</f>
        <v>10435.746999999999</v>
      </c>
      <c r="BA117" s="57">
        <f>SUM(BA118:BA128)</f>
        <v>12514.144</v>
      </c>
      <c r="BB117" s="57">
        <f>SUM(BB118:BB128)</f>
        <v>12252.701000000001</v>
      </c>
      <c r="BC117" s="37"/>
    </row>
    <row r="118" spans="1:55" outlineLevel="1">
      <c r="B118" s="18" t="s">
        <v>475</v>
      </c>
      <c r="C118" s="1" t="s">
        <v>390</v>
      </c>
      <c r="H118" s="53">
        <f>Português!H118</f>
        <v>71.391000000000005</v>
      </c>
      <c r="I118" s="53">
        <f>Português!I118</f>
        <v>56.2</v>
      </c>
      <c r="J118" s="53">
        <f>Português!J118</f>
        <v>62.487000000000002</v>
      </c>
      <c r="K118" s="53">
        <f>Português!K118</f>
        <v>104.209</v>
      </c>
      <c r="L118" s="53">
        <f>Português!L118</f>
        <v>347.75</v>
      </c>
      <c r="M118" s="53">
        <f>Português!M118</f>
        <v>113</v>
      </c>
      <c r="N118" s="53">
        <f>Português!N118</f>
        <v>89.153999999999996</v>
      </c>
      <c r="O118" s="53">
        <f>Português!O118</f>
        <v>185.48400000000001</v>
      </c>
      <c r="P118" s="53">
        <f>Português!P118</f>
        <v>143.035</v>
      </c>
      <c r="Q118" s="53">
        <f>Português!Q118</f>
        <v>142.95099999999999</v>
      </c>
      <c r="R118" s="53">
        <f>Português!R118</f>
        <v>169.62</v>
      </c>
      <c r="S118" s="53">
        <f>Português!S118</f>
        <v>224.22900000000001</v>
      </c>
      <c r="T118" s="53">
        <f>Português!T118</f>
        <v>497.971</v>
      </c>
      <c r="U118" s="53">
        <f>Português!U118</f>
        <v>206.93100000000001</v>
      </c>
      <c r="V118" s="53">
        <f>Português!V118</f>
        <v>172.18700000000001</v>
      </c>
      <c r="W118" s="53">
        <f>Português!W118</f>
        <v>143.21199999999999</v>
      </c>
      <c r="X118" s="53">
        <f>Português!X118</f>
        <v>175.81899999999999</v>
      </c>
      <c r="Y118" s="53">
        <f>Português!Y118</f>
        <v>226.61600000000001</v>
      </c>
      <c r="Z118" s="53">
        <f>Português!Z118</f>
        <v>506.142</v>
      </c>
      <c r="AA118" s="53">
        <f>Português!AA118</f>
        <v>347.25599999999997</v>
      </c>
      <c r="AB118" s="53">
        <f>Português!AB118</f>
        <v>1016.801</v>
      </c>
      <c r="AC118" s="53">
        <f>Português!AC118</f>
        <v>593.35799999999995</v>
      </c>
      <c r="AD118" s="53">
        <f>Português!AD118</f>
        <v>568.70699999999999</v>
      </c>
      <c r="AE118" s="53">
        <f>Português!AE118</f>
        <v>1267.915</v>
      </c>
      <c r="AF118" s="53">
        <f>Português!AF118</f>
        <v>364.24299999999999</v>
      </c>
      <c r="AG118" s="53">
        <f>Português!AG118</f>
        <v>547.96199999999999</v>
      </c>
      <c r="AH118" s="53">
        <f>Português!AH118</f>
        <v>639.66300000000001</v>
      </c>
      <c r="AI118" s="53">
        <f>Português!AI118</f>
        <v>1430.144</v>
      </c>
      <c r="AJ118" s="53">
        <f>Português!AJ118</f>
        <v>826.58199999999999</v>
      </c>
      <c r="AK118" s="53">
        <f>Português!AK118</f>
        <v>419.68200000000002</v>
      </c>
      <c r="AL118" s="53">
        <f>Português!AL118</f>
        <v>488.839</v>
      </c>
      <c r="AM118" s="53">
        <f>Português!AM118</f>
        <v>596.75300000000004</v>
      </c>
      <c r="AN118" s="53">
        <f>Português!AN118</f>
        <v>495.03399999999999</v>
      </c>
      <c r="AO118" s="53">
        <f>Português!AO118</f>
        <v>610.20600000000002</v>
      </c>
      <c r="AP118" s="53">
        <f>Português!AP118</f>
        <v>670.74800000000005</v>
      </c>
      <c r="AQ118" s="53">
        <f>Português!AQ118</f>
        <v>875.44399999999996</v>
      </c>
      <c r="AR118" s="53">
        <f>Português!AR118</f>
        <v>919.12699999999995</v>
      </c>
      <c r="AS118" s="19"/>
      <c r="AT118" s="53">
        <f t="shared" ref="AT118:AT126" si="58">K118</f>
        <v>104.209</v>
      </c>
      <c r="AU118" s="53">
        <f t="shared" ref="AU118:AU126" si="59">O118</f>
        <v>185.48400000000001</v>
      </c>
      <c r="AV118" s="53">
        <f t="shared" ref="AV118:AV126" si="60">S118</f>
        <v>224.22900000000001</v>
      </c>
      <c r="AW118" s="53">
        <f t="shared" ref="AW118:AW126" si="61">W118</f>
        <v>143.21199999999999</v>
      </c>
      <c r="AX118" s="53">
        <f t="shared" ref="AX118:AX126" si="62">AA118</f>
        <v>347.25599999999997</v>
      </c>
      <c r="AY118" s="53">
        <f t="shared" ref="AY118:AY126" si="63">AE118</f>
        <v>1267.915</v>
      </c>
      <c r="AZ118" s="53">
        <f>AI118</f>
        <v>1430.144</v>
      </c>
      <c r="BA118" s="53">
        <f>AM118</f>
        <v>596.75300000000004</v>
      </c>
      <c r="BB118" s="53">
        <f t="shared" ref="BB118:BB128" si="64">AQ118</f>
        <v>875.44399999999996</v>
      </c>
      <c r="BC118" s="37"/>
    </row>
    <row r="119" spans="1:55" outlineLevel="1">
      <c r="B119" s="18" t="s">
        <v>476</v>
      </c>
      <c r="C119" s="1" t="s">
        <v>390</v>
      </c>
      <c r="H119" s="53">
        <f>Português!H119</f>
        <v>830.29700000000003</v>
      </c>
      <c r="I119" s="53">
        <f>Português!I119</f>
        <v>717.1</v>
      </c>
      <c r="J119" s="53">
        <f>Português!J119</f>
        <v>767.27700000000004</v>
      </c>
      <c r="K119" s="53">
        <f>Português!K119</f>
        <v>802.81399999999996</v>
      </c>
      <c r="L119" s="53">
        <f>Português!L119</f>
        <v>572.82299999999998</v>
      </c>
      <c r="M119" s="53">
        <f>Português!M119</f>
        <v>671.9</v>
      </c>
      <c r="N119" s="53">
        <f>Português!N119</f>
        <v>619.96100000000001</v>
      </c>
      <c r="O119" s="53">
        <f>Português!O119</f>
        <v>702.36300000000006</v>
      </c>
      <c r="P119" s="53">
        <f>Português!P119</f>
        <v>639.81700000000001</v>
      </c>
      <c r="Q119" s="53">
        <f>Português!Q119</f>
        <v>1093.973</v>
      </c>
      <c r="R119" s="53">
        <f>Português!R119</f>
        <v>1151.5889999999999</v>
      </c>
      <c r="S119" s="53">
        <f>Português!S119</f>
        <v>1180.4179999999999</v>
      </c>
      <c r="T119" s="53">
        <f>Português!T119</f>
        <v>1390.9639999999999</v>
      </c>
      <c r="U119" s="53">
        <f>Português!U119</f>
        <v>2157.6109999999999</v>
      </c>
      <c r="V119" s="53">
        <f>Português!V119</f>
        <v>2396.1759999999999</v>
      </c>
      <c r="W119" s="53">
        <f>Português!W119</f>
        <v>2334.12</v>
      </c>
      <c r="X119" s="53">
        <f>Português!X119</f>
        <v>2362.1590000000001</v>
      </c>
      <c r="Y119" s="53">
        <f>Português!Y119</f>
        <v>2270.857</v>
      </c>
      <c r="Z119" s="53">
        <f>Português!Z119</f>
        <v>2028.356</v>
      </c>
      <c r="AA119" s="53">
        <f>Português!AA119</f>
        <v>1720.0239999999999</v>
      </c>
      <c r="AB119" s="53">
        <f>Português!AB119</f>
        <v>3336.8180000000002</v>
      </c>
      <c r="AC119" s="53">
        <f>Português!AC119</f>
        <v>3528.0390000000002</v>
      </c>
      <c r="AD119" s="53">
        <f>Português!AD119</f>
        <v>3269.011</v>
      </c>
      <c r="AE119" s="53">
        <f>Português!AE119</f>
        <v>3331.741</v>
      </c>
      <c r="AF119" s="53">
        <f>Português!AF119</f>
        <v>4049.4879999999998</v>
      </c>
      <c r="AG119" s="53">
        <f>Português!AG119</f>
        <v>5187.7529999999997</v>
      </c>
      <c r="AH119" s="53">
        <f>Português!AH119</f>
        <v>4780.442</v>
      </c>
      <c r="AI119" s="53">
        <f>Português!AI119</f>
        <v>5573.4790000000003</v>
      </c>
      <c r="AJ119" s="53">
        <f>Português!AJ119</f>
        <v>6116.7740000000003</v>
      </c>
      <c r="AK119" s="53">
        <f>Português!AK119</f>
        <v>7371.94</v>
      </c>
      <c r="AL119" s="53">
        <f>Português!AL119</f>
        <v>6915.3090000000002</v>
      </c>
      <c r="AM119" s="53">
        <f>Português!AM119</f>
        <v>8177.6220000000003</v>
      </c>
      <c r="AN119" s="53">
        <f>Português!AN119</f>
        <v>8983.1180000000004</v>
      </c>
      <c r="AO119" s="53">
        <f>Português!AO119</f>
        <v>8931.58</v>
      </c>
      <c r="AP119" s="53">
        <f>Português!AP119</f>
        <v>8841.4279999999999</v>
      </c>
      <c r="AQ119" s="53">
        <f>Português!AQ119</f>
        <v>6987.9780000000001</v>
      </c>
      <c r="AR119" s="53">
        <f>Português!AR119</f>
        <v>7411.26</v>
      </c>
      <c r="AS119" s="19"/>
      <c r="AT119" s="53">
        <f t="shared" si="58"/>
        <v>802.81399999999996</v>
      </c>
      <c r="AU119" s="53">
        <f t="shared" si="59"/>
        <v>702.36300000000006</v>
      </c>
      <c r="AV119" s="53">
        <f t="shared" si="60"/>
        <v>1180.4179999999999</v>
      </c>
      <c r="AW119" s="53">
        <f t="shared" si="61"/>
        <v>2334.12</v>
      </c>
      <c r="AX119" s="53">
        <f t="shared" si="62"/>
        <v>1720.0239999999999</v>
      </c>
      <c r="AY119" s="53">
        <f t="shared" si="63"/>
        <v>3331.741</v>
      </c>
      <c r="AZ119" s="53">
        <f t="shared" ref="AZ119:AZ128" si="65">AI119</f>
        <v>5573.4790000000003</v>
      </c>
      <c r="BA119" s="53">
        <f t="shared" ref="BA119:BA128" si="66">AM119</f>
        <v>8177.6220000000003</v>
      </c>
      <c r="BB119" s="53">
        <f t="shared" si="64"/>
        <v>6987.9780000000001</v>
      </c>
      <c r="BC119" s="37"/>
    </row>
    <row r="120" spans="1:55" outlineLevel="1">
      <c r="B120" s="18" t="s">
        <v>477</v>
      </c>
      <c r="C120" s="1" t="s">
        <v>390</v>
      </c>
      <c r="H120" s="53">
        <f>Português!H120</f>
        <v>51.832000000000001</v>
      </c>
      <c r="I120" s="53">
        <f>Português!I120</f>
        <v>90.8</v>
      </c>
      <c r="J120" s="53">
        <f>Português!J120</f>
        <v>120</v>
      </c>
      <c r="K120" s="53">
        <f>Português!K120</f>
        <v>143.048</v>
      </c>
      <c r="L120" s="53">
        <f>Português!L120</f>
        <v>120.2</v>
      </c>
      <c r="M120" s="53">
        <f>Português!M120</f>
        <v>133.19999999999999</v>
      </c>
      <c r="N120" s="53">
        <f>Português!N120</f>
        <v>153.69999999999999</v>
      </c>
      <c r="O120" s="53">
        <f>Português!O120</f>
        <v>152.74700000000001</v>
      </c>
      <c r="P120" s="53">
        <f>Português!P120</f>
        <v>167.571</v>
      </c>
      <c r="Q120" s="53">
        <f>Português!Q120</f>
        <v>173.709</v>
      </c>
      <c r="R120" s="53">
        <f>Português!R120</f>
        <v>146.12899999999999</v>
      </c>
      <c r="S120" s="53">
        <f>Português!S120</f>
        <v>296.98700000000002</v>
      </c>
      <c r="T120" s="53">
        <f>Português!T120</f>
        <v>358.75299999999999</v>
      </c>
      <c r="U120" s="53">
        <f>Português!U120</f>
        <v>327.33999999999997</v>
      </c>
      <c r="V120" s="53">
        <f>Português!V120</f>
        <v>314.77199999999999</v>
      </c>
      <c r="W120" s="53">
        <f>Português!W120</f>
        <v>433.42599999999999</v>
      </c>
      <c r="X120" s="53">
        <f>Português!X120</f>
        <v>487.72699999999998</v>
      </c>
      <c r="Y120" s="53">
        <f>Português!Y120</f>
        <v>496.60199999999998</v>
      </c>
      <c r="Z120" s="53">
        <f>Português!Z120</f>
        <v>424.15699999999998</v>
      </c>
      <c r="AA120" s="53">
        <f>Português!AA120</f>
        <v>474.30399999999997</v>
      </c>
      <c r="AB120" s="53">
        <f>Português!AB120</f>
        <v>1269.537</v>
      </c>
      <c r="AC120" s="53">
        <f>Português!AC120</f>
        <v>1311.4290000000001</v>
      </c>
      <c r="AD120" s="53">
        <f>Português!AD120</f>
        <v>1307.971</v>
      </c>
      <c r="AE120" s="53">
        <f>Português!AE120</f>
        <v>1480.8009999999999</v>
      </c>
      <c r="AF120" s="53">
        <f>Português!AF120</f>
        <v>1377.825</v>
      </c>
      <c r="AG120" s="53">
        <f>Português!AG120</f>
        <v>1457.511</v>
      </c>
      <c r="AH120" s="53">
        <f>Português!AH120</f>
        <v>1554.326</v>
      </c>
      <c r="AI120" s="53">
        <f>Português!AI120</f>
        <v>1560.9269999999999</v>
      </c>
      <c r="AJ120" s="53">
        <f>Português!AJ120</f>
        <v>1694.058</v>
      </c>
      <c r="AK120" s="53">
        <f>Português!AK120</f>
        <v>1718.6790000000001</v>
      </c>
      <c r="AL120" s="53">
        <f>Português!AL120</f>
        <v>1708.1120000000001</v>
      </c>
      <c r="AM120" s="53">
        <f>Português!AM120</f>
        <v>1676.3440000000001</v>
      </c>
      <c r="AN120" s="53">
        <f>Português!AN120</f>
        <v>1804.9069999999999</v>
      </c>
      <c r="AO120" s="53">
        <f>Português!AO120</f>
        <v>1884.913</v>
      </c>
      <c r="AP120" s="53">
        <f>Português!AP120</f>
        <v>1943.424</v>
      </c>
      <c r="AQ120" s="53">
        <f>Português!AQ120</f>
        <v>1899.3040000000001</v>
      </c>
      <c r="AR120" s="53">
        <f>Português!AR120</f>
        <v>2058.8380000000002</v>
      </c>
      <c r="AS120" s="19"/>
      <c r="AT120" s="53">
        <f t="shared" si="58"/>
        <v>143.048</v>
      </c>
      <c r="AU120" s="53">
        <f t="shared" si="59"/>
        <v>152.74700000000001</v>
      </c>
      <c r="AV120" s="53">
        <f t="shared" si="60"/>
        <v>296.98700000000002</v>
      </c>
      <c r="AW120" s="53">
        <f t="shared" si="61"/>
        <v>433.42599999999999</v>
      </c>
      <c r="AX120" s="53">
        <f t="shared" si="62"/>
        <v>474.30399999999997</v>
      </c>
      <c r="AY120" s="53">
        <f t="shared" si="63"/>
        <v>1480.8009999999999</v>
      </c>
      <c r="AZ120" s="53">
        <f t="shared" si="65"/>
        <v>1560.9269999999999</v>
      </c>
      <c r="BA120" s="53">
        <f t="shared" si="66"/>
        <v>1676.3440000000001</v>
      </c>
      <c r="BB120" s="53">
        <f t="shared" si="64"/>
        <v>1899.3040000000001</v>
      </c>
      <c r="BC120" s="37"/>
    </row>
    <row r="121" spans="1:55" outlineLevel="1">
      <c r="B121" s="18" t="s">
        <v>478</v>
      </c>
      <c r="C121" s="1" t="s">
        <v>390</v>
      </c>
      <c r="H121" s="53">
        <f>Português!H121</f>
        <v>13.805999999999999</v>
      </c>
      <c r="I121" s="53">
        <f>Português!I121</f>
        <v>14.2</v>
      </c>
      <c r="J121" s="53">
        <f>Português!J121</f>
        <v>14.666</v>
      </c>
      <c r="K121" s="53">
        <f>Português!K121</f>
        <v>14.226000000000001</v>
      </c>
      <c r="L121" s="53">
        <f>Português!L121</f>
        <v>12.553000000000001</v>
      </c>
      <c r="M121" s="53">
        <f>Português!M121</f>
        <v>14.9</v>
      </c>
      <c r="N121" s="53">
        <f>Português!N121</f>
        <v>12.407</v>
      </c>
      <c r="O121" s="53">
        <f>Português!O121</f>
        <v>19.187000000000001</v>
      </c>
      <c r="P121" s="53">
        <f>Português!P121</f>
        <v>17.748999999999999</v>
      </c>
      <c r="Q121" s="53">
        <f>Português!Q121</f>
        <v>20.271000000000001</v>
      </c>
      <c r="R121" s="53">
        <f>Português!R121</f>
        <v>21.050999999999998</v>
      </c>
      <c r="S121" s="53">
        <f>Português!S121</f>
        <v>72.703999999999994</v>
      </c>
      <c r="T121" s="53">
        <f>Português!T121</f>
        <v>85.957999999999998</v>
      </c>
      <c r="U121" s="53">
        <f>Português!U121</f>
        <v>127.94</v>
      </c>
      <c r="V121" s="53">
        <f>Português!V121</f>
        <v>108.65</v>
      </c>
      <c r="W121" s="53">
        <f>Português!W121</f>
        <v>101.67700000000001</v>
      </c>
      <c r="X121" s="53">
        <f>Português!X121</f>
        <v>135.57</v>
      </c>
      <c r="Y121" s="53">
        <f>Português!Y121</f>
        <v>143.98699999999999</v>
      </c>
      <c r="Z121" s="53">
        <f>Português!Z121</f>
        <v>141.27799999999999</v>
      </c>
      <c r="AA121" s="53">
        <f>Português!AA121</f>
        <v>156.93299999999999</v>
      </c>
      <c r="AB121" s="53">
        <f>Português!AB121</f>
        <v>300.315</v>
      </c>
      <c r="AC121" s="53">
        <f>Português!AC121</f>
        <v>328.68299999999999</v>
      </c>
      <c r="AD121" s="53">
        <f>Português!AD121</f>
        <v>286.13299999999998</v>
      </c>
      <c r="AE121" s="53">
        <f>Português!AE121</f>
        <v>280.76</v>
      </c>
      <c r="AF121" s="53">
        <f>Português!AF121</f>
        <v>264.15300000000002</v>
      </c>
      <c r="AG121" s="53">
        <f>Português!AG121</f>
        <v>285.36900000000003</v>
      </c>
      <c r="AH121" s="53">
        <f>Português!AH121</f>
        <v>286.01600000000002</v>
      </c>
      <c r="AI121" s="53">
        <f>Português!AI121</f>
        <v>318.60500000000002</v>
      </c>
      <c r="AJ121" s="53">
        <f>Português!AJ121</f>
        <v>332.31599999999997</v>
      </c>
      <c r="AK121" s="53">
        <f>Português!AK121</f>
        <v>403.93900000000002</v>
      </c>
      <c r="AL121" s="53">
        <f>Português!AL121</f>
        <v>389.51799999999997</v>
      </c>
      <c r="AM121" s="53">
        <f>Português!AM121</f>
        <v>366.428</v>
      </c>
      <c r="AN121" s="53">
        <f>Português!AN121</f>
        <v>385.34300000000002</v>
      </c>
      <c r="AO121" s="53">
        <f>Português!AO121</f>
        <v>418.25900000000001</v>
      </c>
      <c r="AP121" s="53">
        <f>Português!AP121</f>
        <v>357.05599999999998</v>
      </c>
      <c r="AQ121" s="53">
        <f>Português!AQ121</f>
        <v>362.798</v>
      </c>
      <c r="AR121" s="53">
        <f>Português!AR121</f>
        <v>447.54300000000001</v>
      </c>
      <c r="AS121" s="19"/>
      <c r="AT121" s="53">
        <f t="shared" si="58"/>
        <v>14.226000000000001</v>
      </c>
      <c r="AU121" s="53">
        <f t="shared" si="59"/>
        <v>19.187000000000001</v>
      </c>
      <c r="AV121" s="53">
        <f t="shared" si="60"/>
        <v>72.703999999999994</v>
      </c>
      <c r="AW121" s="53">
        <f t="shared" si="61"/>
        <v>101.67700000000001</v>
      </c>
      <c r="AX121" s="53">
        <f t="shared" si="62"/>
        <v>156.93299999999999</v>
      </c>
      <c r="AY121" s="53">
        <f t="shared" si="63"/>
        <v>280.76</v>
      </c>
      <c r="AZ121" s="53">
        <f t="shared" si="65"/>
        <v>318.60500000000002</v>
      </c>
      <c r="BA121" s="53">
        <f t="shared" si="66"/>
        <v>366.428</v>
      </c>
      <c r="BB121" s="53">
        <f t="shared" si="64"/>
        <v>362.798</v>
      </c>
      <c r="BC121" s="37"/>
    </row>
    <row r="122" spans="1:55" outlineLevel="1">
      <c r="B122" s="18" t="s">
        <v>479</v>
      </c>
      <c r="C122" s="1" t="s">
        <v>390</v>
      </c>
      <c r="H122" s="53">
        <f>Português!H122</f>
        <v>15.821</v>
      </c>
      <c r="I122" s="53">
        <f>Português!I122</f>
        <v>16.399999999999999</v>
      </c>
      <c r="J122" s="53">
        <f>Português!J122</f>
        <v>20.395</v>
      </c>
      <c r="K122" s="53">
        <f>Português!K122</f>
        <v>26.504999999999999</v>
      </c>
      <c r="L122" s="53">
        <f>Português!L122</f>
        <v>21.588999999999999</v>
      </c>
      <c r="M122" s="53">
        <f>Português!M122</f>
        <v>23.3</v>
      </c>
      <c r="N122" s="53">
        <f>Português!N122</f>
        <v>35.935000000000002</v>
      </c>
      <c r="O122" s="53">
        <f>Português!O122</f>
        <v>65.287000000000006</v>
      </c>
      <c r="P122" s="53">
        <f>Português!P122</f>
        <v>68.602000000000004</v>
      </c>
      <c r="Q122" s="53">
        <f>Português!Q122</f>
        <v>83.122</v>
      </c>
      <c r="R122" s="53">
        <f>Português!R122</f>
        <v>82.581999999999994</v>
      </c>
      <c r="S122" s="53">
        <f>Português!S122</f>
        <v>160.483</v>
      </c>
      <c r="T122" s="53">
        <f>Português!T122</f>
        <v>167.65899999999999</v>
      </c>
      <c r="U122" s="53">
        <f>Português!U122</f>
        <v>176.10300000000001</v>
      </c>
      <c r="V122" s="53">
        <f>Português!V122</f>
        <v>183.21100000000001</v>
      </c>
      <c r="W122" s="53">
        <f>Português!W122</f>
        <v>184.10499999999999</v>
      </c>
      <c r="X122" s="53">
        <f>Português!X122</f>
        <v>194.15</v>
      </c>
      <c r="Y122" s="53">
        <f>Português!Y122</f>
        <v>208.12100000000001</v>
      </c>
      <c r="Z122" s="53">
        <f>Português!Z122</f>
        <v>201.988</v>
      </c>
      <c r="AA122" s="53">
        <f>Português!AA122</f>
        <v>237.87299999999999</v>
      </c>
      <c r="AB122" s="53">
        <f>Português!AB122</f>
        <v>483.28699999999998</v>
      </c>
      <c r="AC122" s="53">
        <f>Português!AC122</f>
        <v>552.41700000000003</v>
      </c>
      <c r="AD122" s="53">
        <f>Português!AD122</f>
        <v>653.327</v>
      </c>
      <c r="AE122" s="53">
        <f>Português!AE122</f>
        <v>708.11400000000003</v>
      </c>
      <c r="AF122" s="53">
        <f>Português!AF122</f>
        <v>737.70899999999995</v>
      </c>
      <c r="AG122" s="53">
        <f>Português!AG122</f>
        <v>768.74199999999996</v>
      </c>
      <c r="AH122" s="53">
        <f>Português!AH122</f>
        <v>856.93200000000002</v>
      </c>
      <c r="AI122" s="53">
        <f>Português!AI122</f>
        <v>809.62800000000004</v>
      </c>
      <c r="AJ122" s="53">
        <f>Português!AJ122</f>
        <v>805.48400000000004</v>
      </c>
      <c r="AK122" s="53">
        <f>Português!AK122</f>
        <v>788.596</v>
      </c>
      <c r="AL122" s="53">
        <f>Português!AL122</f>
        <v>813.82400000000007</v>
      </c>
      <c r="AM122" s="53">
        <f>Português!AM122</f>
        <v>1002.4109999999999</v>
      </c>
      <c r="AN122" s="53">
        <f>Português!AN122</f>
        <v>1227.5719999999999</v>
      </c>
      <c r="AO122" s="53">
        <f>Português!AO122</f>
        <v>1185.0219999999999</v>
      </c>
      <c r="AP122" s="53">
        <f>Português!AP122</f>
        <v>1256.9269999999999</v>
      </c>
      <c r="AQ122" s="53">
        <f>Português!AQ122</f>
        <v>1281.6579999999999</v>
      </c>
      <c r="AR122" s="53">
        <f>Português!AR122</f>
        <v>1235.9760000000001</v>
      </c>
      <c r="AS122" s="19"/>
      <c r="AT122" s="53">
        <f t="shared" si="58"/>
        <v>26.504999999999999</v>
      </c>
      <c r="AU122" s="53">
        <f t="shared" si="59"/>
        <v>65.287000000000006</v>
      </c>
      <c r="AV122" s="53">
        <f t="shared" si="60"/>
        <v>160.483</v>
      </c>
      <c r="AW122" s="53">
        <f t="shared" si="61"/>
        <v>184.10499999999999</v>
      </c>
      <c r="AX122" s="53">
        <f t="shared" si="62"/>
        <v>237.87299999999999</v>
      </c>
      <c r="AY122" s="53">
        <f t="shared" si="63"/>
        <v>708.11400000000003</v>
      </c>
      <c r="AZ122" s="53">
        <f t="shared" si="65"/>
        <v>809.62800000000004</v>
      </c>
      <c r="BA122" s="53">
        <f t="shared" si="66"/>
        <v>1002.4109999999999</v>
      </c>
      <c r="BB122" s="53">
        <f t="shared" si="64"/>
        <v>1281.6579999999999</v>
      </c>
      <c r="BC122" s="37"/>
    </row>
    <row r="123" spans="1:55" outlineLevel="1">
      <c r="B123" s="76" t="s">
        <v>480</v>
      </c>
      <c r="C123" s="13" t="s">
        <v>390</v>
      </c>
      <c r="D123" s="13"/>
      <c r="E123" s="13"/>
      <c r="F123" s="13"/>
      <c r="G123" s="13"/>
      <c r="H123" s="55">
        <f>Português!H123</f>
        <v>0</v>
      </c>
      <c r="I123" s="55">
        <f>Português!I123</f>
        <v>0</v>
      </c>
      <c r="J123" s="55">
        <f>Português!J123</f>
        <v>0</v>
      </c>
      <c r="K123" s="55">
        <f>Português!K123</f>
        <v>0</v>
      </c>
      <c r="L123" s="55">
        <f>Português!L123</f>
        <v>0</v>
      </c>
      <c r="M123" s="55">
        <f>Português!M123</f>
        <v>0</v>
      </c>
      <c r="N123" s="55">
        <f>Português!N123</f>
        <v>0</v>
      </c>
      <c r="O123" s="55">
        <f>Português!O123</f>
        <v>0</v>
      </c>
      <c r="P123" s="55">
        <f>Português!P123</f>
        <v>0</v>
      </c>
      <c r="Q123" s="55">
        <f>Português!Q123</f>
        <v>0</v>
      </c>
      <c r="R123" s="55">
        <f>Português!R123</f>
        <v>0</v>
      </c>
      <c r="S123" s="55">
        <f>Português!S123</f>
        <v>0</v>
      </c>
      <c r="T123" s="55">
        <f>Português!T123</f>
        <v>0</v>
      </c>
      <c r="U123" s="55">
        <f>Português!U123</f>
        <v>0</v>
      </c>
      <c r="V123" s="55">
        <f>Português!V123</f>
        <v>0</v>
      </c>
      <c r="W123" s="55">
        <f>Português!W123</f>
        <v>2E-3</v>
      </c>
      <c r="X123" s="55">
        <f>Português!X123</f>
        <v>0</v>
      </c>
      <c r="Y123" s="55">
        <f>Português!Y123</f>
        <v>0</v>
      </c>
      <c r="Z123" s="55">
        <f>Português!Z123</f>
        <v>0</v>
      </c>
      <c r="AA123" s="55">
        <f>Português!AA123</f>
        <v>0</v>
      </c>
      <c r="AB123" s="55">
        <f>Português!AB123</f>
        <v>0</v>
      </c>
      <c r="AC123" s="55">
        <f>Português!AC123</f>
        <v>0</v>
      </c>
      <c r="AD123" s="55">
        <f>Português!AD123</f>
        <v>0</v>
      </c>
      <c r="AE123" s="55">
        <f>Português!AE123</f>
        <v>0</v>
      </c>
      <c r="AF123" s="55">
        <f>Português!AF123</f>
        <v>0</v>
      </c>
      <c r="AG123" s="55">
        <f>Português!AG123</f>
        <v>3.3010000000000002</v>
      </c>
      <c r="AH123" s="55">
        <f>Português!AH123</f>
        <v>0</v>
      </c>
      <c r="AI123" s="55">
        <f>Português!AI123</f>
        <v>0</v>
      </c>
      <c r="AJ123" s="55">
        <f>Português!AJ123</f>
        <v>0</v>
      </c>
      <c r="AK123" s="55">
        <f>Português!AK123</f>
        <v>0</v>
      </c>
      <c r="AL123" s="55">
        <f>Português!AL123</f>
        <v>0</v>
      </c>
      <c r="AM123" s="55">
        <f>Português!AM123</f>
        <v>0</v>
      </c>
      <c r="AN123" s="55">
        <f>Português!AN123</f>
        <v>0</v>
      </c>
      <c r="AO123" s="55">
        <f>Português!AO123</f>
        <v>0</v>
      </c>
      <c r="AP123" s="55">
        <f>Português!AP123</f>
        <v>0</v>
      </c>
      <c r="AQ123" s="55">
        <f>Português!AQ123</f>
        <v>0</v>
      </c>
      <c r="AR123" s="55">
        <f>Português!AR123</f>
        <v>0</v>
      </c>
      <c r="AS123" s="19"/>
      <c r="AT123" s="53">
        <f t="shared" si="58"/>
        <v>0</v>
      </c>
      <c r="AU123" s="53">
        <f t="shared" si="59"/>
        <v>0</v>
      </c>
      <c r="AV123" s="53">
        <f t="shared" si="60"/>
        <v>0</v>
      </c>
      <c r="AW123" s="53">
        <f t="shared" si="61"/>
        <v>2E-3</v>
      </c>
      <c r="AX123" s="53">
        <f t="shared" si="62"/>
        <v>0</v>
      </c>
      <c r="AY123" s="53">
        <f t="shared" si="63"/>
        <v>0</v>
      </c>
      <c r="AZ123" s="53">
        <f t="shared" si="65"/>
        <v>0</v>
      </c>
      <c r="BA123" s="53">
        <f t="shared" si="66"/>
        <v>0</v>
      </c>
      <c r="BB123" s="53">
        <f t="shared" si="64"/>
        <v>0</v>
      </c>
      <c r="BC123" s="37"/>
    </row>
    <row r="124" spans="1:55" outlineLevel="1">
      <c r="B124" s="76" t="s">
        <v>481</v>
      </c>
      <c r="C124" s="13" t="s">
        <v>390</v>
      </c>
      <c r="D124" s="13"/>
      <c r="E124" s="13"/>
      <c r="F124" s="13"/>
      <c r="G124" s="13"/>
      <c r="H124" s="55">
        <f>Português!H124</f>
        <v>0</v>
      </c>
      <c r="I124" s="55">
        <f>Português!I124</f>
        <v>0</v>
      </c>
      <c r="J124" s="55">
        <f>Português!J124</f>
        <v>0</v>
      </c>
      <c r="K124" s="55">
        <f>Português!K124</f>
        <v>0</v>
      </c>
      <c r="L124" s="55">
        <f>Português!L124</f>
        <v>0</v>
      </c>
      <c r="M124" s="55">
        <f>Português!M124</f>
        <v>0</v>
      </c>
      <c r="N124" s="55">
        <f>Português!N124</f>
        <v>0</v>
      </c>
      <c r="O124" s="55">
        <f>Português!O124</f>
        <v>0</v>
      </c>
      <c r="P124" s="55">
        <f>Português!P124</f>
        <v>0</v>
      </c>
      <c r="Q124" s="55">
        <f>Português!Q124</f>
        <v>0</v>
      </c>
      <c r="R124" s="55">
        <f>Português!R124</f>
        <v>0</v>
      </c>
      <c r="S124" s="55">
        <f>Português!S124</f>
        <v>0</v>
      </c>
      <c r="T124" s="55">
        <f>Português!T124</f>
        <v>3.5659999999999998</v>
      </c>
      <c r="U124" s="55">
        <f>Português!U124</f>
        <v>4.2089999999999996</v>
      </c>
      <c r="V124" s="55">
        <f>Português!V124</f>
        <v>4.66</v>
      </c>
      <c r="W124" s="55">
        <f>Português!W124</f>
        <v>3.5870000000000002</v>
      </c>
      <c r="X124" s="55">
        <f>Português!X124</f>
        <v>8.7739999999999991</v>
      </c>
      <c r="Y124" s="55">
        <f>Português!Y124</f>
        <v>5.8920000000000003</v>
      </c>
      <c r="Z124" s="55">
        <f>Português!Z124</f>
        <v>7.65</v>
      </c>
      <c r="AA124" s="55">
        <f>Português!AA124</f>
        <v>7.7530000000000001</v>
      </c>
      <c r="AB124" s="55">
        <f>Português!AB124</f>
        <v>0</v>
      </c>
      <c r="AC124" s="55">
        <f>Português!AC124</f>
        <v>0</v>
      </c>
      <c r="AD124" s="55">
        <f>Português!AD124</f>
        <v>0.77400000000000002</v>
      </c>
      <c r="AE124" s="55">
        <f>Português!AE124</f>
        <v>0</v>
      </c>
      <c r="AF124" s="55">
        <f>Português!AF124</f>
        <v>0</v>
      </c>
      <c r="AG124" s="55">
        <f>Português!AG124</f>
        <v>69.805999999999997</v>
      </c>
      <c r="AH124" s="55">
        <f>Português!AH124</f>
        <v>16.015000000000001</v>
      </c>
      <c r="AI124" s="55">
        <f>Português!AI124</f>
        <v>0</v>
      </c>
      <c r="AJ124" s="55">
        <f>Português!AJ124</f>
        <v>0</v>
      </c>
      <c r="AK124" s="55">
        <f>Português!AK124</f>
        <v>0</v>
      </c>
      <c r="AL124" s="55">
        <f>Português!AL124</f>
        <v>0</v>
      </c>
      <c r="AM124" s="55">
        <f>Português!AM124</f>
        <v>0</v>
      </c>
      <c r="AN124" s="55">
        <f>Português!AN124</f>
        <v>0</v>
      </c>
      <c r="AO124" s="55">
        <f>Português!AO124</f>
        <v>0</v>
      </c>
      <c r="AP124" s="55">
        <f>Português!AP124</f>
        <v>0</v>
      </c>
      <c r="AQ124" s="55">
        <f>Português!AQ124</f>
        <v>0</v>
      </c>
      <c r="AR124" s="55">
        <f>Português!AR124</f>
        <v>0</v>
      </c>
      <c r="AS124" s="19"/>
      <c r="AT124" s="53">
        <f t="shared" si="58"/>
        <v>0</v>
      </c>
      <c r="AU124" s="53">
        <f t="shared" si="59"/>
        <v>0</v>
      </c>
      <c r="AV124" s="53">
        <f t="shared" si="60"/>
        <v>0</v>
      </c>
      <c r="AW124" s="53">
        <f t="shared" si="61"/>
        <v>3.5870000000000002</v>
      </c>
      <c r="AX124" s="53">
        <f t="shared" si="62"/>
        <v>7.7530000000000001</v>
      </c>
      <c r="AY124" s="53">
        <f t="shared" si="63"/>
        <v>0</v>
      </c>
      <c r="AZ124" s="53">
        <f t="shared" si="65"/>
        <v>0</v>
      </c>
      <c r="BA124" s="53">
        <f t="shared" si="66"/>
        <v>0</v>
      </c>
      <c r="BB124" s="53">
        <f t="shared" si="64"/>
        <v>0</v>
      </c>
      <c r="BC124" s="37"/>
    </row>
    <row r="125" spans="1:55" outlineLevel="1">
      <c r="B125" s="76" t="s">
        <v>482</v>
      </c>
      <c r="C125" s="13" t="s">
        <v>390</v>
      </c>
      <c r="D125" s="13"/>
      <c r="E125" s="13"/>
      <c r="F125" s="13"/>
      <c r="G125" s="13"/>
      <c r="H125" s="55">
        <f>Português!H125</f>
        <v>25.646000000000001</v>
      </c>
      <c r="I125" s="55">
        <f>Português!I125</f>
        <v>32.4</v>
      </c>
      <c r="J125" s="55">
        <f>Português!J125</f>
        <v>30.106000000000002</v>
      </c>
      <c r="K125" s="55">
        <f>Português!K125</f>
        <v>26.21</v>
      </c>
      <c r="L125" s="55">
        <f>Português!L125</f>
        <v>28.745999999999999</v>
      </c>
      <c r="M125" s="55">
        <f>Português!M125</f>
        <v>29.7</v>
      </c>
      <c r="N125" s="55">
        <f>Português!N125</f>
        <v>27.646000000000001</v>
      </c>
      <c r="O125" s="55">
        <f>Português!O125</f>
        <v>10.695</v>
      </c>
      <c r="P125" s="55">
        <f>Português!P125</f>
        <v>0</v>
      </c>
      <c r="Q125" s="55">
        <f>Português!Q125</f>
        <v>0</v>
      </c>
      <c r="R125" s="55">
        <f>Português!R125</f>
        <v>0</v>
      </c>
      <c r="S125" s="55">
        <f>Português!S125</f>
        <v>0</v>
      </c>
      <c r="T125" s="55">
        <f>Português!T125</f>
        <v>0</v>
      </c>
      <c r="U125" s="55">
        <f>Português!U125</f>
        <v>0</v>
      </c>
      <c r="V125" s="55">
        <f>Português!V125</f>
        <v>0</v>
      </c>
      <c r="W125" s="55">
        <f>Português!W125</f>
        <v>0</v>
      </c>
      <c r="X125" s="55">
        <f>Português!X125</f>
        <v>0</v>
      </c>
      <c r="Y125" s="55">
        <f>Português!Y125</f>
        <v>0</v>
      </c>
      <c r="Z125" s="55">
        <f>Português!Z125</f>
        <v>0</v>
      </c>
      <c r="AA125" s="55">
        <f>Português!AA125</f>
        <v>0</v>
      </c>
      <c r="AB125" s="55">
        <f>Português!AB125</f>
        <v>0</v>
      </c>
      <c r="AC125" s="55">
        <f>Português!AC125</f>
        <v>0</v>
      </c>
      <c r="AD125" s="55">
        <f>Português!AD125</f>
        <v>0</v>
      </c>
      <c r="AE125" s="55">
        <f>Português!AE125</f>
        <v>0</v>
      </c>
      <c r="AF125" s="55">
        <f>Português!AF125</f>
        <v>0</v>
      </c>
      <c r="AG125" s="55">
        <f>Português!AG125</f>
        <v>0</v>
      </c>
      <c r="AH125" s="55">
        <f>Português!AH125</f>
        <v>0</v>
      </c>
      <c r="AI125" s="55">
        <f>Português!AI125</f>
        <v>0</v>
      </c>
      <c r="AJ125" s="55">
        <f>Português!AJ125</f>
        <v>0</v>
      </c>
      <c r="AK125" s="55">
        <f>Português!AK125</f>
        <v>0</v>
      </c>
      <c r="AL125" s="55">
        <f>Português!AL125</f>
        <v>0</v>
      </c>
      <c r="AM125" s="55">
        <f>Português!AM125</f>
        <v>0</v>
      </c>
      <c r="AN125" s="55">
        <f>Português!AN125</f>
        <v>0</v>
      </c>
      <c r="AO125" s="55">
        <f>Português!AO125</f>
        <v>0</v>
      </c>
      <c r="AP125" s="55">
        <f>Português!AP125</f>
        <v>0</v>
      </c>
      <c r="AQ125" s="55">
        <f>Português!AQ125</f>
        <v>0</v>
      </c>
      <c r="AR125" s="55">
        <f>Português!AR125</f>
        <v>0</v>
      </c>
      <c r="AS125" s="19"/>
      <c r="AT125" s="53">
        <f t="shared" si="58"/>
        <v>26.21</v>
      </c>
      <c r="AU125" s="53">
        <f t="shared" si="59"/>
        <v>10.695</v>
      </c>
      <c r="AV125" s="53">
        <f t="shared" si="60"/>
        <v>0</v>
      </c>
      <c r="AW125" s="53">
        <f t="shared" si="61"/>
        <v>0</v>
      </c>
      <c r="AX125" s="53">
        <f t="shared" si="62"/>
        <v>0</v>
      </c>
      <c r="AY125" s="53">
        <f t="shared" si="63"/>
        <v>0</v>
      </c>
      <c r="AZ125" s="53">
        <f t="shared" si="65"/>
        <v>0</v>
      </c>
      <c r="BA125" s="53">
        <f t="shared" si="66"/>
        <v>0</v>
      </c>
      <c r="BB125" s="53">
        <f t="shared" si="64"/>
        <v>0</v>
      </c>
      <c r="BC125" s="37"/>
    </row>
    <row r="126" spans="1:55" outlineLevel="1">
      <c r="B126" s="76" t="s">
        <v>483</v>
      </c>
      <c r="C126" s="13" t="s">
        <v>390</v>
      </c>
      <c r="D126" s="13"/>
      <c r="E126" s="13"/>
      <c r="F126" s="13"/>
      <c r="G126" s="13"/>
      <c r="H126" s="55">
        <f>Português!H126</f>
        <v>96.897999999999996</v>
      </c>
      <c r="I126" s="55">
        <f>Português!I126</f>
        <v>104.2</v>
      </c>
      <c r="J126" s="55">
        <f>Português!J126</f>
        <v>103.81399999999999</v>
      </c>
      <c r="K126" s="55">
        <f>Português!K126</f>
        <v>105.331</v>
      </c>
      <c r="L126" s="55">
        <f>Português!L126</f>
        <v>123.875</v>
      </c>
      <c r="M126" s="55">
        <f>Português!M126</f>
        <v>117.6</v>
      </c>
      <c r="N126" s="55">
        <f>Português!N126</f>
        <v>123.624</v>
      </c>
      <c r="O126" s="55">
        <f>Português!O126</f>
        <v>103.76600000000001</v>
      </c>
      <c r="P126" s="55">
        <f>Português!P126</f>
        <v>121.949</v>
      </c>
      <c r="Q126" s="55">
        <f>Português!Q126</f>
        <v>104.83199999999999</v>
      </c>
      <c r="R126" s="55">
        <f>Português!R126</f>
        <v>107.428</v>
      </c>
      <c r="S126" s="55">
        <f>Português!S126</f>
        <v>145.16900000000001</v>
      </c>
      <c r="T126" s="55">
        <f>Português!T126</f>
        <v>152.09200000000001</v>
      </c>
      <c r="U126" s="55">
        <f>Português!U126</f>
        <v>152.99299999999999</v>
      </c>
      <c r="V126" s="55">
        <f>Português!V126</f>
        <v>158.57300000000001</v>
      </c>
      <c r="W126" s="55">
        <f>Português!W126</f>
        <v>164.929</v>
      </c>
      <c r="X126" s="55">
        <f>Português!X126</f>
        <v>172.81700000000001</v>
      </c>
      <c r="Y126" s="55">
        <f>Português!Y126</f>
        <v>208.214</v>
      </c>
      <c r="Z126" s="55">
        <f>Português!Z126</f>
        <v>228.72300000000001</v>
      </c>
      <c r="AA126" s="55">
        <f>Português!AA126</f>
        <v>221.49600000000001</v>
      </c>
      <c r="AB126" s="55">
        <f>Português!AB126</f>
        <v>489.62</v>
      </c>
      <c r="AC126" s="55">
        <f>Português!AC126</f>
        <v>508.21</v>
      </c>
      <c r="AD126" s="55">
        <f>Português!AD126</f>
        <v>518.62300000000005</v>
      </c>
      <c r="AE126" s="55">
        <f>Português!AE126</f>
        <v>471.94</v>
      </c>
      <c r="AF126" s="55">
        <f>Português!AF126</f>
        <v>449.30700000000002</v>
      </c>
      <c r="AG126" s="55">
        <f>Português!AG126</f>
        <v>437.81599999999997</v>
      </c>
      <c r="AH126" s="55">
        <f>Português!AH126</f>
        <v>412.05700000000002</v>
      </c>
      <c r="AI126" s="55">
        <f>Português!AI126</f>
        <v>391.22800000000001</v>
      </c>
      <c r="AJ126" s="55">
        <f>Português!AJ126</f>
        <v>355.83199999999999</v>
      </c>
      <c r="AK126" s="55">
        <f>Português!AK126</f>
        <v>354.30900000000003</v>
      </c>
      <c r="AL126" s="55">
        <f>Português!AL126</f>
        <v>361.10599999999999</v>
      </c>
      <c r="AM126" s="55">
        <f>Português!AM126</f>
        <v>360.46899999999999</v>
      </c>
      <c r="AN126" s="55">
        <f>Português!AN126</f>
        <v>361.291</v>
      </c>
      <c r="AO126" s="55">
        <f>Português!AO126</f>
        <v>383.56799999999998</v>
      </c>
      <c r="AP126" s="55">
        <f>Português!AP126</f>
        <v>388.55200000000002</v>
      </c>
      <c r="AQ126" s="55">
        <f>Português!AQ126</f>
        <v>396.238</v>
      </c>
      <c r="AR126" s="55">
        <f>Português!AR126</f>
        <v>404.13099999999997</v>
      </c>
      <c r="AS126" s="19"/>
      <c r="AT126" s="53">
        <f t="shared" si="58"/>
        <v>105.331</v>
      </c>
      <c r="AU126" s="53">
        <f t="shared" si="59"/>
        <v>103.76600000000001</v>
      </c>
      <c r="AV126" s="53">
        <f t="shared" si="60"/>
        <v>145.16900000000001</v>
      </c>
      <c r="AW126" s="53">
        <f t="shared" si="61"/>
        <v>164.929</v>
      </c>
      <c r="AX126" s="53">
        <f t="shared" si="62"/>
        <v>221.49600000000001</v>
      </c>
      <c r="AY126" s="53">
        <f t="shared" si="63"/>
        <v>471.94</v>
      </c>
      <c r="AZ126" s="53">
        <f t="shared" si="65"/>
        <v>391.22800000000001</v>
      </c>
      <c r="BA126" s="53">
        <f t="shared" si="66"/>
        <v>360.46899999999999</v>
      </c>
      <c r="BB126" s="53">
        <f t="shared" si="64"/>
        <v>396.238</v>
      </c>
      <c r="BC126" s="37"/>
    </row>
    <row r="127" spans="1:55" outlineLevel="1">
      <c r="B127" s="76" t="s">
        <v>484</v>
      </c>
      <c r="C127" s="13" t="s">
        <v>390</v>
      </c>
      <c r="D127" s="13"/>
      <c r="E127" s="13"/>
      <c r="F127" s="13"/>
      <c r="G127" s="13"/>
      <c r="H127" s="55">
        <f>Português!H127</f>
        <v>10.018000000000001</v>
      </c>
      <c r="I127" s="55">
        <f>Português!I127</f>
        <v>11.4</v>
      </c>
      <c r="J127" s="55">
        <f>Português!J127</f>
        <v>13.159000000000001</v>
      </c>
      <c r="K127" s="55">
        <f>Português!K127</f>
        <v>16.635000000000002</v>
      </c>
      <c r="L127" s="55">
        <f>Português!L127</f>
        <v>22.382999999999999</v>
      </c>
      <c r="M127" s="55">
        <f>Português!M127</f>
        <v>35</v>
      </c>
      <c r="N127" s="55">
        <f>Português!N127</f>
        <v>33.869999999999997</v>
      </c>
      <c r="O127" s="55">
        <f>Português!O127</f>
        <v>36.424999999999997</v>
      </c>
      <c r="P127" s="55">
        <f>Português!P127</f>
        <v>68.59</v>
      </c>
      <c r="Q127" s="55">
        <f>Português!Q127</f>
        <v>307.39999999999998</v>
      </c>
      <c r="R127" s="55">
        <f>Português!R127</f>
        <v>255.81</v>
      </c>
      <c r="S127" s="55">
        <f>Português!S127</f>
        <v>137.76400000000001</v>
      </c>
      <c r="T127" s="55">
        <f>Português!T127</f>
        <v>97.275999999999996</v>
      </c>
      <c r="U127" s="55">
        <f>Português!U127</f>
        <v>127.249</v>
      </c>
      <c r="V127" s="55">
        <f>Português!V127</f>
        <v>94.269000000000005</v>
      </c>
      <c r="W127" s="55">
        <f>Português!W127</f>
        <v>137.03299999999999</v>
      </c>
      <c r="X127" s="55">
        <f>Português!X127</f>
        <v>152.22200000000001</v>
      </c>
      <c r="Y127" s="55">
        <f>Português!Y127</f>
        <v>188.79300000000001</v>
      </c>
      <c r="Z127" s="55">
        <f>Português!Z127</f>
        <v>172.21899999999999</v>
      </c>
      <c r="AA127" s="55">
        <f>Português!AA127</f>
        <v>152.55199999999999</v>
      </c>
      <c r="AB127" s="55">
        <f>Português!AB127</f>
        <v>898.69200000000001</v>
      </c>
      <c r="AC127" s="55">
        <f>Português!AC127</f>
        <v>345.43799999999999</v>
      </c>
      <c r="AD127" s="55">
        <f>Português!AD127</f>
        <v>341.214</v>
      </c>
      <c r="AE127" s="55">
        <f>Português!AE127</f>
        <v>390.63200000000001</v>
      </c>
      <c r="AF127" s="55">
        <f>Português!AF127</f>
        <v>357.89499999999998</v>
      </c>
      <c r="AG127" s="55">
        <f>Português!AG127</f>
        <v>360.452</v>
      </c>
      <c r="AH127" s="55">
        <f>Português!AH127</f>
        <v>365.23899999999998</v>
      </c>
      <c r="AI127" s="55">
        <f>Português!AI127</f>
        <v>336.85599999999999</v>
      </c>
      <c r="AJ127" s="55">
        <f>Português!AJ127</f>
        <v>312.01100000000002</v>
      </c>
      <c r="AK127" s="55">
        <f>Português!AK127</f>
        <v>375.82400000000001</v>
      </c>
      <c r="AL127" s="55">
        <f>Português!AL127</f>
        <v>280.971</v>
      </c>
      <c r="AM127" s="55">
        <f>Português!AM127</f>
        <v>334.11700000000002</v>
      </c>
      <c r="AN127" s="55">
        <f>Português!AN127</f>
        <v>320.84300000000002</v>
      </c>
      <c r="AO127" s="55">
        <f>Português!AO127</f>
        <v>311.995</v>
      </c>
      <c r="AP127" s="55">
        <f>Português!AP127</f>
        <v>377.94594800000004</v>
      </c>
      <c r="AQ127" s="55">
        <f>Português!AQ127</f>
        <v>449.28100000000001</v>
      </c>
      <c r="AR127" s="55">
        <f>Português!AR127</f>
        <v>563.04600000000005</v>
      </c>
      <c r="AS127" s="19"/>
      <c r="AT127" s="53">
        <f>K127</f>
        <v>16.635000000000002</v>
      </c>
      <c r="AU127" s="53">
        <f>O127</f>
        <v>36.424999999999997</v>
      </c>
      <c r="AV127" s="53">
        <f>S127</f>
        <v>137.76400000000001</v>
      </c>
      <c r="AW127" s="53">
        <f>W127</f>
        <v>137.03299999999999</v>
      </c>
      <c r="AX127" s="53">
        <f>AA127</f>
        <v>152.55199999999999</v>
      </c>
      <c r="AY127" s="53">
        <f>AE127</f>
        <v>390.63200000000001</v>
      </c>
      <c r="AZ127" s="53">
        <f>AI127</f>
        <v>336.85599999999999</v>
      </c>
      <c r="BA127" s="53">
        <f t="shared" si="66"/>
        <v>334.11700000000002</v>
      </c>
      <c r="BB127" s="53">
        <f t="shared" si="64"/>
        <v>449.28100000000001</v>
      </c>
      <c r="BC127" s="37"/>
    </row>
    <row r="128" spans="1:55" ht="13.5" outlineLevel="1">
      <c r="A128" s="1"/>
      <c r="B128" s="18" t="s">
        <v>485</v>
      </c>
      <c r="C128" s="1" t="s">
        <v>390</v>
      </c>
      <c r="H128" s="53">
        <v>0</v>
      </c>
      <c r="I128" s="53">
        <v>0</v>
      </c>
      <c r="J128" s="53">
        <v>0</v>
      </c>
      <c r="K128" s="53">
        <v>0</v>
      </c>
      <c r="L128" s="53">
        <v>0</v>
      </c>
      <c r="M128" s="53">
        <v>0</v>
      </c>
      <c r="N128" s="53">
        <v>0</v>
      </c>
      <c r="O128" s="53">
        <v>0</v>
      </c>
      <c r="P128" s="53">
        <v>0</v>
      </c>
      <c r="Q128" s="53">
        <v>0</v>
      </c>
      <c r="R128" s="53">
        <v>0</v>
      </c>
      <c r="S128" s="53">
        <v>0</v>
      </c>
      <c r="T128" s="53">
        <v>0</v>
      </c>
      <c r="U128" s="53">
        <v>0</v>
      </c>
      <c r="V128" s="53">
        <v>0</v>
      </c>
      <c r="W128" s="53">
        <v>0</v>
      </c>
      <c r="X128" s="53">
        <v>0</v>
      </c>
      <c r="Y128" s="53">
        <v>0</v>
      </c>
      <c r="Z128" s="53">
        <v>0</v>
      </c>
      <c r="AA128" s="53">
        <v>0</v>
      </c>
      <c r="AB128" s="53">
        <v>0</v>
      </c>
      <c r="AC128" s="53">
        <v>0</v>
      </c>
      <c r="AD128" s="53">
        <v>0</v>
      </c>
      <c r="AE128" s="53">
        <v>0</v>
      </c>
      <c r="AF128" s="53">
        <v>0</v>
      </c>
      <c r="AG128" s="53">
        <f>Português!AG128</f>
        <v>60.619</v>
      </c>
      <c r="AH128" s="53">
        <f>Português!AH128</f>
        <v>0.57899999999999996</v>
      </c>
      <c r="AI128" s="53">
        <f>Português!AI128</f>
        <v>14.88</v>
      </c>
      <c r="AJ128" s="53">
        <f>Português!AJ128</f>
        <v>0</v>
      </c>
      <c r="AK128" s="53">
        <f>Português!AK128</f>
        <v>0</v>
      </c>
      <c r="AL128" s="53">
        <f>Português!AL128</f>
        <v>0</v>
      </c>
      <c r="AM128" s="53">
        <f>Português!AM128</f>
        <v>0</v>
      </c>
      <c r="AN128" s="53">
        <f>Português!AN128</f>
        <v>159.32599999999999</v>
      </c>
      <c r="AO128" s="53">
        <f>Português!AO128</f>
        <v>185.536</v>
      </c>
      <c r="AP128" s="53">
        <f>Português!AP128</f>
        <v>159.326052</v>
      </c>
      <c r="AQ128" s="53">
        <f>Português!AQ128</f>
        <v>0</v>
      </c>
      <c r="AR128" s="53">
        <f>Português!AR128</f>
        <v>0</v>
      </c>
      <c r="AS128" s="19"/>
      <c r="AT128" s="75">
        <v>0</v>
      </c>
      <c r="AU128" s="75">
        <v>0</v>
      </c>
      <c r="AV128" s="75">
        <v>0</v>
      </c>
      <c r="AW128" s="75">
        <v>0</v>
      </c>
      <c r="AX128" s="75">
        <v>0</v>
      </c>
      <c r="AY128" s="75">
        <v>0</v>
      </c>
      <c r="AZ128" s="75">
        <f t="shared" si="65"/>
        <v>14.88</v>
      </c>
      <c r="BA128" s="53">
        <f t="shared" si="66"/>
        <v>0</v>
      </c>
      <c r="BB128" s="53">
        <f t="shared" si="64"/>
        <v>0</v>
      </c>
      <c r="BC128" s="37"/>
    </row>
    <row r="129" spans="1:55" ht="13.5" outlineLevel="1">
      <c r="B129" s="56" t="s">
        <v>486</v>
      </c>
      <c r="C129" s="10" t="s">
        <v>390</v>
      </c>
      <c r="D129" s="109"/>
      <c r="E129" s="109"/>
      <c r="F129" s="109"/>
      <c r="G129" s="109"/>
      <c r="H129" s="57">
        <f>SUM(H130:H140)</f>
        <v>765.84631967014934</v>
      </c>
      <c r="I129" s="57">
        <f>SUM(I130:I140)</f>
        <v>907.80000000000007</v>
      </c>
      <c r="J129" s="57">
        <f>SUM(J130:J140)</f>
        <v>1011.1160000000001</v>
      </c>
      <c r="K129" s="57">
        <f t="shared" ref="K129:AP129" si="67">SUM(K130:K140)</f>
        <v>1097.17</v>
      </c>
      <c r="L129" s="57">
        <f t="shared" si="67"/>
        <v>1200.575</v>
      </c>
      <c r="M129" s="57">
        <f t="shared" si="67"/>
        <v>3620.2999999999997</v>
      </c>
      <c r="N129" s="57">
        <f t="shared" si="67"/>
        <v>3539.48</v>
      </c>
      <c r="O129" s="57">
        <f t="shared" si="67"/>
        <v>3600.7200000000003</v>
      </c>
      <c r="P129" s="57">
        <f t="shared" si="67"/>
        <v>4751.4380000000001</v>
      </c>
      <c r="Q129" s="57">
        <f t="shared" si="67"/>
        <v>4161.6840000000002</v>
      </c>
      <c r="R129" s="57">
        <f t="shared" si="67"/>
        <v>8961.885000000002</v>
      </c>
      <c r="S129" s="57">
        <f t="shared" si="67"/>
        <v>10207.476000000001</v>
      </c>
      <c r="T129" s="57">
        <f t="shared" si="67"/>
        <v>10043.781000000001</v>
      </c>
      <c r="U129" s="57">
        <f t="shared" si="67"/>
        <v>9968.3889999999992</v>
      </c>
      <c r="V129" s="57">
        <f t="shared" si="67"/>
        <v>9720.2630000000008</v>
      </c>
      <c r="W129" s="57">
        <f t="shared" si="67"/>
        <v>10016.885999999999</v>
      </c>
      <c r="X129" s="57">
        <f t="shared" si="67"/>
        <v>10105.459999999999</v>
      </c>
      <c r="Y129" s="57">
        <f t="shared" si="67"/>
        <v>13556.732</v>
      </c>
      <c r="Z129" s="57">
        <f t="shared" si="67"/>
        <v>13693.775000000001</v>
      </c>
      <c r="AA129" s="57">
        <f t="shared" si="67"/>
        <v>18041.864000000001</v>
      </c>
      <c r="AB129" s="57">
        <f t="shared" si="67"/>
        <v>64867.341</v>
      </c>
      <c r="AC129" s="57">
        <f t="shared" si="67"/>
        <v>64783.055000000008</v>
      </c>
      <c r="AD129" s="57">
        <f t="shared" si="67"/>
        <v>64182.202000000005</v>
      </c>
      <c r="AE129" s="57">
        <f t="shared" si="67"/>
        <v>65281.827999999994</v>
      </c>
      <c r="AF129" s="57">
        <f t="shared" si="67"/>
        <v>65793.357000000004</v>
      </c>
      <c r="AG129" s="57">
        <f t="shared" si="67"/>
        <v>65855.054999999993</v>
      </c>
      <c r="AH129" s="57">
        <f t="shared" si="67"/>
        <v>65860.593999999997</v>
      </c>
      <c r="AI129" s="57">
        <f t="shared" si="67"/>
        <v>64710.624000000003</v>
      </c>
      <c r="AJ129" s="57">
        <f t="shared" si="67"/>
        <v>64217.194000000003</v>
      </c>
      <c r="AK129" s="57">
        <f t="shared" si="67"/>
        <v>64307.283000000003</v>
      </c>
      <c r="AL129" s="57">
        <f t="shared" si="67"/>
        <v>64294.103999999999</v>
      </c>
      <c r="AM129" s="57">
        <f t="shared" si="67"/>
        <v>62961.046000000002</v>
      </c>
      <c r="AN129" s="57">
        <f t="shared" si="67"/>
        <v>62568.987999999998</v>
      </c>
      <c r="AO129" s="57">
        <f t="shared" si="67"/>
        <v>62395.108</v>
      </c>
      <c r="AP129" s="57">
        <f t="shared" si="67"/>
        <v>62408.151000000005</v>
      </c>
      <c r="AQ129" s="57">
        <f>SUM(AQ130:AQ140)</f>
        <v>61848.986000000004</v>
      </c>
      <c r="AR129" s="57">
        <f>SUM(AR130:AR140)</f>
        <v>61767.084999999999</v>
      </c>
      <c r="AS129" s="19"/>
      <c r="AT129" s="57">
        <f t="shared" ref="AT129:BB129" si="68">SUM(AT130:AT140)</f>
        <v>1097.17</v>
      </c>
      <c r="AU129" s="57">
        <f t="shared" si="68"/>
        <v>3600.7200000000003</v>
      </c>
      <c r="AV129" s="57">
        <f t="shared" si="68"/>
        <v>10207.476000000001</v>
      </c>
      <c r="AW129" s="57">
        <f t="shared" si="68"/>
        <v>10016.885999999999</v>
      </c>
      <c r="AX129" s="57">
        <f t="shared" si="68"/>
        <v>18041.864000000001</v>
      </c>
      <c r="AY129" s="57">
        <f t="shared" si="68"/>
        <v>65281.827999999994</v>
      </c>
      <c r="AZ129" s="57">
        <f t="shared" si="68"/>
        <v>64710.624000000003</v>
      </c>
      <c r="BA129" s="57">
        <f t="shared" si="68"/>
        <v>62961.046000000002</v>
      </c>
      <c r="BB129" s="57">
        <f t="shared" si="68"/>
        <v>61848.986000000004</v>
      </c>
      <c r="BC129" s="37"/>
    </row>
    <row r="130" spans="1:55" outlineLevel="1">
      <c r="B130" s="18" t="s">
        <v>487</v>
      </c>
      <c r="C130" s="1" t="s">
        <v>390</v>
      </c>
      <c r="H130" s="53">
        <f>Português!H130</f>
        <v>317.63900000000001</v>
      </c>
      <c r="I130" s="53">
        <f>Português!I130</f>
        <v>405.6</v>
      </c>
      <c r="J130" s="53">
        <f>Português!J130</f>
        <v>464.69600000000003</v>
      </c>
      <c r="K130" s="53">
        <f>Português!K130</f>
        <v>539.31399999999996</v>
      </c>
      <c r="L130" s="53">
        <f>Português!L130</f>
        <v>582.755</v>
      </c>
      <c r="M130" s="53">
        <f>Português!M130</f>
        <v>2938.4</v>
      </c>
      <c r="N130" s="53">
        <f>Português!N130</f>
        <v>2784.76</v>
      </c>
      <c r="O130" s="53">
        <f>Português!O130</f>
        <v>2685.643</v>
      </c>
      <c r="P130" s="53">
        <f>Português!P130</f>
        <v>2981.2460000000001</v>
      </c>
      <c r="Q130" s="53">
        <f>Português!Q130</f>
        <v>2258.4349999999999</v>
      </c>
      <c r="R130" s="53">
        <f>Português!R130</f>
        <v>6924.4440000000004</v>
      </c>
      <c r="S130" s="53">
        <f>Português!S130</f>
        <v>2225.5630000000001</v>
      </c>
      <c r="T130" s="53">
        <f>Português!T130</f>
        <v>1916.9639999999999</v>
      </c>
      <c r="U130" s="53">
        <f>Português!U130</f>
        <v>1830.8430000000001</v>
      </c>
      <c r="V130" s="53">
        <f>Português!V130</f>
        <v>1592.1690000000001</v>
      </c>
      <c r="W130" s="53">
        <f>Português!W130</f>
        <v>1225.2819999999999</v>
      </c>
      <c r="X130" s="53">
        <f>Português!X130</f>
        <v>1213.739</v>
      </c>
      <c r="Y130" s="53">
        <f>Português!Y130</f>
        <v>2396.0039999999999</v>
      </c>
      <c r="Z130" s="53">
        <f>Português!Z130</f>
        <v>2155.3850000000002</v>
      </c>
      <c r="AA130" s="53">
        <f>Português!AA130</f>
        <v>5790.808</v>
      </c>
      <c r="AB130" s="53">
        <f>Português!AB130</f>
        <v>1279.951</v>
      </c>
      <c r="AC130" s="53">
        <f>Português!AC130</f>
        <v>1719.8989999999999</v>
      </c>
      <c r="AD130" s="53">
        <f>Português!AD130</f>
        <v>1046.4739999999999</v>
      </c>
      <c r="AE130" s="53">
        <f>Português!AE130</f>
        <v>1265</v>
      </c>
      <c r="AF130" s="53">
        <f>Português!AF130</f>
        <v>1152.1420000000001</v>
      </c>
      <c r="AG130" s="53">
        <f>Português!AG130</f>
        <v>1682.059</v>
      </c>
      <c r="AH130" s="53">
        <f>Português!AH130</f>
        <v>1704.759</v>
      </c>
      <c r="AI130" s="53">
        <f>Português!AI130</f>
        <v>886.27599999999995</v>
      </c>
      <c r="AJ130" s="53">
        <f>Português!AJ130</f>
        <v>814.16</v>
      </c>
      <c r="AK130" s="53">
        <f>Português!AK130</f>
        <v>553.33100000000002</v>
      </c>
      <c r="AL130" s="53">
        <f>Português!AL130</f>
        <v>523.06399999999996</v>
      </c>
      <c r="AM130" s="53">
        <f>Português!AM130</f>
        <v>480.62900000000002</v>
      </c>
      <c r="AN130" s="53">
        <f>Português!AN130</f>
        <v>472.72199999999998</v>
      </c>
      <c r="AO130" s="53">
        <f>Português!AO130</f>
        <v>294.84500000000003</v>
      </c>
      <c r="AP130" s="53">
        <f>Português!AP130</f>
        <v>299.43299999999999</v>
      </c>
      <c r="AQ130" s="53">
        <f>Português!AQ130</f>
        <v>321.28399999999999</v>
      </c>
      <c r="AR130" s="53">
        <f>Português!AR130</f>
        <v>332.28800000000001</v>
      </c>
      <c r="AS130" s="19"/>
      <c r="AT130" s="53">
        <f t="shared" ref="AT130:AT140" si="69">K130</f>
        <v>539.31399999999996</v>
      </c>
      <c r="AU130" s="53">
        <f t="shared" ref="AU130:AU140" si="70">O130</f>
        <v>2685.643</v>
      </c>
      <c r="AV130" s="53">
        <f t="shared" ref="AV130:AV140" si="71">S130</f>
        <v>2225.5630000000001</v>
      </c>
      <c r="AW130" s="53">
        <f t="shared" ref="AW130:AW140" si="72">W130</f>
        <v>1225.2819999999999</v>
      </c>
      <c r="AX130" s="55">
        <f t="shared" ref="AX130:AX140" si="73">AA130</f>
        <v>5790.808</v>
      </c>
      <c r="AY130" s="53">
        <f t="shared" ref="AY130:AY140" si="74">AE130</f>
        <v>1265</v>
      </c>
      <c r="AZ130" s="53">
        <f t="shared" ref="AZ130:AZ140" si="75">AI130</f>
        <v>886.27599999999995</v>
      </c>
      <c r="BA130" s="53">
        <f>AM130</f>
        <v>480.62900000000002</v>
      </c>
      <c r="BB130" s="53">
        <f t="shared" ref="BB130:BB140" si="76">AQ130</f>
        <v>321.28399999999999</v>
      </c>
      <c r="BC130" s="37"/>
    </row>
    <row r="131" spans="1:55" outlineLevel="1">
      <c r="B131" s="18" t="s">
        <v>488</v>
      </c>
      <c r="C131" s="1" t="s">
        <v>390</v>
      </c>
      <c r="H131" s="53">
        <f>Português!H131</f>
        <v>66.183999999999997</v>
      </c>
      <c r="I131" s="53">
        <f>Português!I131</f>
        <v>62.1</v>
      </c>
      <c r="J131" s="53">
        <f>Português!J131</f>
        <v>65.887</v>
      </c>
      <c r="K131" s="53">
        <f>Português!K131</f>
        <v>64.917000000000002</v>
      </c>
      <c r="L131" s="53">
        <f>Português!L131</f>
        <v>74.8</v>
      </c>
      <c r="M131" s="53">
        <f>Português!M131</f>
        <v>64.099999999999994</v>
      </c>
      <c r="N131" s="53">
        <f>Português!N131</f>
        <v>82.656000000000006</v>
      </c>
      <c r="O131" s="53">
        <f>Português!O131</f>
        <v>126.005</v>
      </c>
      <c r="P131" s="53">
        <f>Português!P131</f>
        <v>127.32899999999999</v>
      </c>
      <c r="Q131" s="53">
        <f>Português!Q131</f>
        <v>153.47300000000001</v>
      </c>
      <c r="R131" s="53">
        <f>Português!R131</f>
        <v>176.762</v>
      </c>
      <c r="S131" s="53">
        <f>Português!S131</f>
        <v>289.48899999999998</v>
      </c>
      <c r="T131" s="53">
        <f>Português!T131</f>
        <v>332.21100000000001</v>
      </c>
      <c r="U131" s="53">
        <f>Português!U131</f>
        <v>397.92700000000002</v>
      </c>
      <c r="V131" s="53">
        <f>Português!V131</f>
        <v>481.45499999999998</v>
      </c>
      <c r="W131" s="53">
        <f>Português!W131</f>
        <v>579.50900000000001</v>
      </c>
      <c r="X131" s="53">
        <f>Português!X131</f>
        <v>662.12099999999998</v>
      </c>
      <c r="Y131" s="53">
        <f>Português!Y131</f>
        <v>809.02200000000005</v>
      </c>
      <c r="Z131" s="53">
        <f>Português!Z131</f>
        <v>900.47799999999995</v>
      </c>
      <c r="AA131" s="53">
        <f>Português!AA131</f>
        <v>1034.4459999999999</v>
      </c>
      <c r="AB131" s="53">
        <f>Português!AB131</f>
        <v>1540.348</v>
      </c>
      <c r="AC131" s="53">
        <f>Português!AC131</f>
        <v>1784.1310000000001</v>
      </c>
      <c r="AD131" s="53">
        <f>Português!AD131</f>
        <v>2128.8119999999999</v>
      </c>
      <c r="AE131" s="53">
        <f>Português!AE131</f>
        <v>2504.8829999999998</v>
      </c>
      <c r="AF131" s="53">
        <f>Português!AF131</f>
        <v>2682.9589999999998</v>
      </c>
      <c r="AG131" s="53">
        <f>Português!AG131</f>
        <v>2966.4549999999999</v>
      </c>
      <c r="AH131" s="53">
        <f>Português!AH131</f>
        <v>3104.692</v>
      </c>
      <c r="AI131" s="53">
        <f>Português!AI131</f>
        <v>3222.4740000000002</v>
      </c>
      <c r="AJ131" s="53">
        <f>Português!AJ131</f>
        <v>3372.3330000000001</v>
      </c>
      <c r="AK131" s="53">
        <f>Português!AK131</f>
        <v>3512.779</v>
      </c>
      <c r="AL131" s="53">
        <f>Português!AL131</f>
        <v>3736.9120000000003</v>
      </c>
      <c r="AM131" s="53">
        <f>Português!AM131</f>
        <v>3614.3319999999999</v>
      </c>
      <c r="AN131" s="53">
        <f>Português!AN131</f>
        <v>3707.4319999999998</v>
      </c>
      <c r="AO131" s="53">
        <f>Português!AO131</f>
        <v>3910.248</v>
      </c>
      <c r="AP131" s="53">
        <f>Português!AP131</f>
        <v>4023.3560000000002</v>
      </c>
      <c r="AQ131" s="53">
        <f>Português!AQ131</f>
        <v>4159.9690000000001</v>
      </c>
      <c r="AR131" s="53">
        <f>Português!AR131</f>
        <v>4105.28</v>
      </c>
      <c r="AS131" s="19"/>
      <c r="AT131" s="53">
        <f t="shared" si="69"/>
        <v>64.917000000000002</v>
      </c>
      <c r="AU131" s="53">
        <f t="shared" si="70"/>
        <v>126.005</v>
      </c>
      <c r="AV131" s="53">
        <f t="shared" si="71"/>
        <v>289.48899999999998</v>
      </c>
      <c r="AW131" s="53">
        <f t="shared" si="72"/>
        <v>579.50900000000001</v>
      </c>
      <c r="AX131" s="53">
        <f t="shared" si="73"/>
        <v>1034.4459999999999</v>
      </c>
      <c r="AY131" s="53">
        <f t="shared" si="74"/>
        <v>2504.8829999999998</v>
      </c>
      <c r="AZ131" s="53">
        <f t="shared" si="75"/>
        <v>3222.4740000000002</v>
      </c>
      <c r="BA131" s="53">
        <f t="shared" ref="BA131:BA140" si="77">AM131</f>
        <v>3614.3319999999999</v>
      </c>
      <c r="BB131" s="53">
        <f t="shared" si="76"/>
        <v>4159.9690000000001</v>
      </c>
      <c r="BC131" s="37"/>
    </row>
    <row r="132" spans="1:55" s="13" customFormat="1" outlineLevel="1">
      <c r="B132" s="76" t="s">
        <v>489</v>
      </c>
      <c r="C132" s="13" t="s">
        <v>390</v>
      </c>
      <c r="H132" s="55">
        <f>Português!H132</f>
        <v>0</v>
      </c>
      <c r="I132" s="55">
        <f>Português!I132</f>
        <v>0</v>
      </c>
      <c r="J132" s="55">
        <f>Português!J132</f>
        <v>0</v>
      </c>
      <c r="K132" s="55">
        <f>Português!K132</f>
        <v>0</v>
      </c>
      <c r="L132" s="55">
        <f>Português!L132</f>
        <v>0</v>
      </c>
      <c r="M132" s="55">
        <f>Português!M132</f>
        <v>0</v>
      </c>
      <c r="N132" s="55">
        <f>Português!N132</f>
        <v>0</v>
      </c>
      <c r="O132" s="55">
        <f>Português!O132</f>
        <v>0</v>
      </c>
      <c r="P132" s="55">
        <f>Português!P132</f>
        <v>0</v>
      </c>
      <c r="Q132" s="55">
        <f>Português!Q132</f>
        <v>0</v>
      </c>
      <c r="R132" s="55">
        <f>Português!R132</f>
        <v>0</v>
      </c>
      <c r="S132" s="55">
        <f>Português!S132</f>
        <v>0</v>
      </c>
      <c r="T132" s="55">
        <f>Português!T132</f>
        <v>0</v>
      </c>
      <c r="U132" s="55">
        <f>Português!U132</f>
        <v>0</v>
      </c>
      <c r="V132" s="55">
        <f>Português!V132</f>
        <v>0</v>
      </c>
      <c r="W132" s="55">
        <f>Português!W132</f>
        <v>0</v>
      </c>
      <c r="X132" s="55">
        <f>Português!X132</f>
        <v>0</v>
      </c>
      <c r="Y132" s="55">
        <f>Português!Y132</f>
        <v>0</v>
      </c>
      <c r="Z132" s="55">
        <f>Português!Z132</f>
        <v>0</v>
      </c>
      <c r="AA132" s="55">
        <f>Português!AA132</f>
        <v>0</v>
      </c>
      <c r="AB132" s="55">
        <f>Português!AB132</f>
        <v>6.5289999999999999</v>
      </c>
      <c r="AC132" s="55">
        <f>Português!AC132</f>
        <v>0</v>
      </c>
      <c r="AD132" s="55">
        <f>Português!AD132</f>
        <v>0</v>
      </c>
      <c r="AE132" s="55">
        <f>Português!AE132</f>
        <v>0</v>
      </c>
      <c r="AF132" s="55">
        <f>Português!AF132</f>
        <v>0</v>
      </c>
      <c r="AG132" s="55">
        <f>Português!AG132</f>
        <v>0</v>
      </c>
      <c r="AH132" s="55">
        <f>Português!AH132</f>
        <v>0</v>
      </c>
      <c r="AI132" s="55">
        <f>Português!AI132</f>
        <v>0</v>
      </c>
      <c r="AJ132" s="55">
        <f>Português!AJ132</f>
        <v>0</v>
      </c>
      <c r="AK132" s="55">
        <f>Português!AK132</f>
        <v>0</v>
      </c>
      <c r="AL132" s="55">
        <f>Português!AL132</f>
        <v>0</v>
      </c>
      <c r="AM132" s="55">
        <f>Português!AM132</f>
        <v>0</v>
      </c>
      <c r="AN132" s="55">
        <f>Português!AN132</f>
        <v>0</v>
      </c>
      <c r="AO132" s="55">
        <f>Português!AO132</f>
        <v>0</v>
      </c>
      <c r="AP132" s="55">
        <f>Português!AP132</f>
        <v>0</v>
      </c>
      <c r="AQ132" s="55">
        <f>Português!AQ132</f>
        <v>0</v>
      </c>
      <c r="AR132" s="55">
        <f>Português!AR132</f>
        <v>0</v>
      </c>
      <c r="AS132" s="19"/>
      <c r="AT132" s="53">
        <f t="shared" si="69"/>
        <v>0</v>
      </c>
      <c r="AU132" s="53">
        <f t="shared" si="70"/>
        <v>0</v>
      </c>
      <c r="AV132" s="53">
        <f t="shared" si="71"/>
        <v>0</v>
      </c>
      <c r="AW132" s="53">
        <f t="shared" si="72"/>
        <v>0</v>
      </c>
      <c r="AX132" s="53">
        <f t="shared" si="73"/>
        <v>0</v>
      </c>
      <c r="AY132" s="53">
        <f t="shared" si="74"/>
        <v>0</v>
      </c>
      <c r="AZ132" s="53">
        <f t="shared" si="75"/>
        <v>0</v>
      </c>
      <c r="BA132" s="53">
        <f t="shared" si="77"/>
        <v>0</v>
      </c>
      <c r="BB132" s="53">
        <f t="shared" si="76"/>
        <v>0</v>
      </c>
      <c r="BC132" s="37"/>
    </row>
    <row r="133" spans="1:55" outlineLevel="1">
      <c r="B133" s="18" t="s">
        <v>490</v>
      </c>
      <c r="C133" s="1" t="s">
        <v>390</v>
      </c>
      <c r="H133" s="53">
        <f>Português!H133</f>
        <v>39.5</v>
      </c>
      <c r="I133" s="53">
        <f>Português!I133</f>
        <v>62.6</v>
      </c>
      <c r="J133" s="53">
        <f>Português!J133</f>
        <v>66.087000000000003</v>
      </c>
      <c r="K133" s="53">
        <f>Português!K133</f>
        <v>58.506999999999998</v>
      </c>
      <c r="L133" s="53">
        <f>Português!L133</f>
        <v>65.238</v>
      </c>
      <c r="M133" s="53">
        <f>Português!M133</f>
        <v>74.599999999999994</v>
      </c>
      <c r="N133" s="53">
        <f>Português!N133</f>
        <v>87.923000000000002</v>
      </c>
      <c r="O133" s="53">
        <f>Português!O133</f>
        <v>96.891000000000005</v>
      </c>
      <c r="P133" s="53">
        <f>Português!P133</f>
        <v>101.24</v>
      </c>
      <c r="Q133" s="53">
        <f>Português!Q133</f>
        <v>108.215</v>
      </c>
      <c r="R133" s="53">
        <f>Português!R133</f>
        <v>133.92099999999999</v>
      </c>
      <c r="S133" s="53">
        <f>Português!S133</f>
        <v>187.636</v>
      </c>
      <c r="T133" s="53">
        <f>Português!T133</f>
        <v>203.27500000000001</v>
      </c>
      <c r="U133" s="53">
        <f>Português!U133</f>
        <v>213.75299999999999</v>
      </c>
      <c r="V133" s="53">
        <f>Português!V133</f>
        <v>256.33999999999997</v>
      </c>
      <c r="W133" s="53">
        <f>Português!W133</f>
        <v>246.52799999999999</v>
      </c>
      <c r="X133" s="53">
        <f>Português!X133</f>
        <v>311.63900000000001</v>
      </c>
      <c r="Y133" s="53">
        <f>Português!Y133</f>
        <v>375.82</v>
      </c>
      <c r="Z133" s="53">
        <f>Português!Z133</f>
        <v>396.702</v>
      </c>
      <c r="AA133" s="53">
        <f>Português!AA133</f>
        <v>417.47800000000001</v>
      </c>
      <c r="AB133" s="53">
        <f>Português!AB133</f>
        <v>1601.211</v>
      </c>
      <c r="AC133" s="53">
        <f>Português!AC133</f>
        <v>1665.453</v>
      </c>
      <c r="AD133" s="53">
        <f>Português!AD133</f>
        <v>1726.9939999999999</v>
      </c>
      <c r="AE133" s="53">
        <f>Português!AE133</f>
        <v>1822.7670000000001</v>
      </c>
      <c r="AF133" s="53">
        <f>Português!AF133</f>
        <v>1912.039</v>
      </c>
      <c r="AG133" s="53">
        <f>Português!AG133</f>
        <v>2020.4760000000001</v>
      </c>
      <c r="AH133" s="53">
        <f>Português!AH133</f>
        <v>2145.857</v>
      </c>
      <c r="AI133" s="53">
        <f>Português!AI133</f>
        <v>2209.0509999999999</v>
      </c>
      <c r="AJ133" s="53">
        <f>Português!AJ133</f>
        <v>2366.6079999999997</v>
      </c>
      <c r="AK133" s="53">
        <f>Português!AK133</f>
        <v>2558.4229999999998</v>
      </c>
      <c r="AL133" s="53">
        <f>Português!AL133</f>
        <v>2768.9229999999998</v>
      </c>
      <c r="AM133" s="53">
        <f>Português!AM133</f>
        <v>1211.903</v>
      </c>
      <c r="AN133" s="53">
        <f>Português!AN133</f>
        <v>1345.1289999999999</v>
      </c>
      <c r="AO133" s="53">
        <f>Português!AO133</f>
        <v>1528.508</v>
      </c>
      <c r="AP133" s="53">
        <f>Português!AP133</f>
        <v>1612.1659999999999</v>
      </c>
      <c r="AQ133" s="53">
        <f>Português!AQ133</f>
        <v>1727.6559999999999</v>
      </c>
      <c r="AR133" s="53">
        <f>Português!AR133</f>
        <v>1860.923</v>
      </c>
      <c r="AS133" s="19"/>
      <c r="AT133" s="53">
        <f t="shared" si="69"/>
        <v>58.506999999999998</v>
      </c>
      <c r="AU133" s="53">
        <f t="shared" si="70"/>
        <v>96.891000000000005</v>
      </c>
      <c r="AV133" s="53">
        <f t="shared" si="71"/>
        <v>187.636</v>
      </c>
      <c r="AW133" s="53">
        <f t="shared" si="72"/>
        <v>246.52799999999999</v>
      </c>
      <c r="AX133" s="53">
        <f t="shared" si="73"/>
        <v>417.47800000000001</v>
      </c>
      <c r="AY133" s="53">
        <f t="shared" si="74"/>
        <v>1822.7670000000001</v>
      </c>
      <c r="AZ133" s="53">
        <f t="shared" si="75"/>
        <v>2209.0509999999999</v>
      </c>
      <c r="BA133" s="53">
        <f t="shared" si="77"/>
        <v>1211.903</v>
      </c>
      <c r="BB133" s="53">
        <f t="shared" si="76"/>
        <v>1727.6559999999999</v>
      </c>
      <c r="BC133" s="37"/>
    </row>
    <row r="134" spans="1:55" outlineLevel="1">
      <c r="B134" s="18" t="s">
        <v>483</v>
      </c>
      <c r="C134" s="1" t="s">
        <v>390</v>
      </c>
      <c r="H134" s="53">
        <f>Português!H134</f>
        <v>84.095319670149294</v>
      </c>
      <c r="I134" s="53">
        <f>Português!I134</f>
        <v>89.8</v>
      </c>
      <c r="J134" s="53">
        <f>Português!J134</f>
        <v>85.474999999999994</v>
      </c>
      <c r="K134" s="53">
        <f>Português!K134</f>
        <v>88.522999999999996</v>
      </c>
      <c r="L134" s="53">
        <f>Português!L134</f>
        <v>88.704999999999998</v>
      </c>
      <c r="M134" s="53">
        <f>Português!M134</f>
        <v>90.9</v>
      </c>
      <c r="N134" s="53">
        <f>Português!N134</f>
        <v>87.789000000000001</v>
      </c>
      <c r="O134" s="53">
        <f>Português!O134</f>
        <v>121.624</v>
      </c>
      <c r="P134" s="53">
        <f>Português!P134</f>
        <v>102.05500000000001</v>
      </c>
      <c r="Q134" s="53">
        <f>Português!Q134</f>
        <v>120.321</v>
      </c>
      <c r="R134" s="53">
        <f>Português!R134</f>
        <v>124.001</v>
      </c>
      <c r="S134" s="53">
        <f>Português!S134</f>
        <v>127.505</v>
      </c>
      <c r="T134" s="53">
        <f>Português!T134</f>
        <v>135.786</v>
      </c>
      <c r="U134" s="53">
        <f>Português!U134</f>
        <v>134.81899999999999</v>
      </c>
      <c r="V134" s="53">
        <f>Português!V134</f>
        <v>137.547</v>
      </c>
      <c r="W134" s="53">
        <f>Português!W134</f>
        <v>142.22900000000001</v>
      </c>
      <c r="X134" s="53">
        <f>Português!X134</f>
        <v>160.542</v>
      </c>
      <c r="Y134" s="53">
        <f>Português!Y134</f>
        <v>170.66900000000001</v>
      </c>
      <c r="Z134" s="53">
        <f>Português!Z134</f>
        <v>179.05600000000001</v>
      </c>
      <c r="AA134" s="53">
        <f>Português!AA134</f>
        <v>172.02500000000001</v>
      </c>
      <c r="AB134" s="53">
        <f>Português!AB134</f>
        <v>396.97699999999998</v>
      </c>
      <c r="AC134" s="53">
        <f>Português!AC134</f>
        <v>421.44099999999997</v>
      </c>
      <c r="AD134" s="53">
        <f>Português!AD134</f>
        <v>434.07299999999998</v>
      </c>
      <c r="AE134" s="53">
        <f>Português!AE134</f>
        <v>510.21199999999999</v>
      </c>
      <c r="AF134" s="53">
        <f>Português!AF134</f>
        <v>546.95100000000002</v>
      </c>
      <c r="AG134" s="53">
        <f>Português!AG134</f>
        <v>582.16300000000001</v>
      </c>
      <c r="AH134" s="53">
        <f>Português!AH134</f>
        <v>578.89200000000005</v>
      </c>
      <c r="AI134" s="53">
        <f>Português!AI134</f>
        <v>587.49299999999994</v>
      </c>
      <c r="AJ134" s="53">
        <f>Português!AJ134</f>
        <v>584.60500000000002</v>
      </c>
      <c r="AK134" s="53">
        <f>Português!AK134</f>
        <v>596.11500000000001</v>
      </c>
      <c r="AL134" s="53">
        <f>Português!AL134</f>
        <v>611.53599999999994</v>
      </c>
      <c r="AM134" s="53">
        <f>Português!AM134</f>
        <v>625.58500000000004</v>
      </c>
      <c r="AN134" s="53">
        <f>Português!AN134</f>
        <v>629.85199999999998</v>
      </c>
      <c r="AO134" s="53">
        <f>Português!AO134</f>
        <v>647.50599999999997</v>
      </c>
      <c r="AP134" s="53">
        <f>Português!AP134</f>
        <v>658.21100000000001</v>
      </c>
      <c r="AQ134" s="53">
        <f>Português!AQ134</f>
        <v>648.25599999999997</v>
      </c>
      <c r="AR134" s="53">
        <f>Português!AR134</f>
        <v>640.58799999999997</v>
      </c>
      <c r="AS134" s="19"/>
      <c r="AT134" s="53">
        <f t="shared" si="69"/>
        <v>88.522999999999996</v>
      </c>
      <c r="AU134" s="53">
        <f t="shared" si="70"/>
        <v>121.624</v>
      </c>
      <c r="AV134" s="53">
        <f t="shared" si="71"/>
        <v>127.505</v>
      </c>
      <c r="AW134" s="53">
        <f t="shared" si="72"/>
        <v>142.22900000000001</v>
      </c>
      <c r="AX134" s="53">
        <f t="shared" si="73"/>
        <v>172.02500000000001</v>
      </c>
      <c r="AY134" s="53">
        <f t="shared" si="74"/>
        <v>510.21199999999999</v>
      </c>
      <c r="AZ134" s="53">
        <f t="shared" si="75"/>
        <v>587.49299999999994</v>
      </c>
      <c r="BA134" s="53">
        <f t="shared" si="77"/>
        <v>625.58500000000004</v>
      </c>
      <c r="BB134" s="53">
        <f t="shared" si="76"/>
        <v>648.25599999999997</v>
      </c>
      <c r="BC134" s="37"/>
    </row>
    <row r="135" spans="1:55" outlineLevel="1">
      <c r="B135" s="18" t="s">
        <v>491</v>
      </c>
      <c r="C135" s="1" t="s">
        <v>390</v>
      </c>
      <c r="H135" s="53">
        <f>Português!H135</f>
        <v>2.214</v>
      </c>
      <c r="I135" s="53">
        <f>Português!I135</f>
        <v>3.2</v>
      </c>
      <c r="J135" s="53">
        <f>Português!J135</f>
        <v>3.3660000000000001</v>
      </c>
      <c r="K135" s="53">
        <f>Português!K135</f>
        <v>9.1820000000000004</v>
      </c>
      <c r="L135" s="53">
        <f>Português!L135</f>
        <v>9.0120000000000005</v>
      </c>
      <c r="M135" s="53">
        <f>Português!M135</f>
        <v>3.4</v>
      </c>
      <c r="N135" s="53">
        <f>Português!N135</f>
        <v>3.3359999999999999</v>
      </c>
      <c r="O135" s="53">
        <f>Português!O135</f>
        <v>3.3370000000000002</v>
      </c>
      <c r="P135" s="53">
        <f>Português!P135</f>
        <v>3.3319999999999999</v>
      </c>
      <c r="Q135" s="53">
        <f>Português!Q135</f>
        <v>3.3330000000000002</v>
      </c>
      <c r="R135" s="53">
        <f>Português!R135</f>
        <v>3.415</v>
      </c>
      <c r="S135" s="53">
        <f>Português!S135</f>
        <v>8.1349999999999998</v>
      </c>
      <c r="T135" s="53">
        <f>Português!T135</f>
        <v>3.5760000000000001</v>
      </c>
      <c r="U135" s="53">
        <f>Português!U135</f>
        <v>3.4289999999999998</v>
      </c>
      <c r="V135" s="53">
        <f>Português!V135</f>
        <v>3.427</v>
      </c>
      <c r="W135" s="53">
        <f>Português!W135</f>
        <v>3.448</v>
      </c>
      <c r="X135" s="53">
        <f>Português!X135</f>
        <v>3.4489999999999998</v>
      </c>
      <c r="Y135" s="53">
        <f>Português!Y135</f>
        <v>3.4609999999999999</v>
      </c>
      <c r="Z135" s="53">
        <f>Português!Z135</f>
        <v>3.5760000000000001</v>
      </c>
      <c r="AA135" s="53">
        <f>Português!AA135</f>
        <v>3.5249999999999999</v>
      </c>
      <c r="AB135" s="53">
        <f>Português!AB135</f>
        <v>3.67</v>
      </c>
      <c r="AC135" s="53">
        <f>Português!AC135</f>
        <v>3.5249999999999999</v>
      </c>
      <c r="AD135" s="53">
        <f>Português!AD135</f>
        <v>3.52</v>
      </c>
      <c r="AE135" s="53">
        <f>Português!AE135</f>
        <v>3.4980000000000002</v>
      </c>
      <c r="AF135" s="53">
        <f>Português!AF135</f>
        <v>3.4740000000000002</v>
      </c>
      <c r="AG135" s="53">
        <f>Português!AG135</f>
        <v>7.3279999999999994</v>
      </c>
      <c r="AH135" s="53">
        <f>Português!AH135</f>
        <v>3.4749999999999996</v>
      </c>
      <c r="AI135" s="53">
        <f>Português!AI135</f>
        <v>5.2190000000000003</v>
      </c>
      <c r="AJ135" s="53">
        <f>Português!AJ135</f>
        <v>3.1709999999999998</v>
      </c>
      <c r="AK135" s="53">
        <f>Português!AK135</f>
        <v>3.2890000000000001</v>
      </c>
      <c r="AL135" s="53">
        <f>Português!AL135</f>
        <v>3.2890000000000001</v>
      </c>
      <c r="AM135" s="53">
        <f>Português!AM135</f>
        <v>3.246</v>
      </c>
      <c r="AN135" s="53">
        <f>Português!AN135</f>
        <v>3.246</v>
      </c>
      <c r="AO135" s="53">
        <f>Português!AO135</f>
        <v>3.2519999999999998</v>
      </c>
      <c r="AP135" s="53">
        <f>Português!AP135</f>
        <v>1.99</v>
      </c>
      <c r="AQ135" s="53">
        <f>Português!AQ135</f>
        <v>1.9870000000000001</v>
      </c>
      <c r="AR135" s="53">
        <f>Português!AR135</f>
        <v>2.1509999999999998</v>
      </c>
      <c r="AS135" s="19"/>
      <c r="AT135" s="53">
        <f t="shared" si="69"/>
        <v>9.1820000000000004</v>
      </c>
      <c r="AU135" s="53">
        <f t="shared" si="70"/>
        <v>3.3370000000000002</v>
      </c>
      <c r="AV135" s="53">
        <f t="shared" si="71"/>
        <v>8.1349999999999998</v>
      </c>
      <c r="AW135" s="53">
        <f t="shared" si="72"/>
        <v>3.448</v>
      </c>
      <c r="AX135" s="53">
        <f t="shared" si="73"/>
        <v>3.5249999999999999</v>
      </c>
      <c r="AY135" s="53">
        <f t="shared" si="74"/>
        <v>3.4980000000000002</v>
      </c>
      <c r="AZ135" s="53">
        <f t="shared" si="75"/>
        <v>5.2190000000000003</v>
      </c>
      <c r="BA135" s="53">
        <f t="shared" si="77"/>
        <v>3.246</v>
      </c>
      <c r="BB135" s="53">
        <f t="shared" si="76"/>
        <v>1.9870000000000001</v>
      </c>
      <c r="BC135" s="37"/>
    </row>
    <row r="136" spans="1:55" outlineLevel="1">
      <c r="B136" s="18" t="s">
        <v>492</v>
      </c>
      <c r="C136" s="1" t="s">
        <v>390</v>
      </c>
      <c r="H136" s="53">
        <f>Português!H136</f>
        <v>0</v>
      </c>
      <c r="I136" s="53">
        <f>Português!I136</f>
        <v>0</v>
      </c>
      <c r="J136" s="53">
        <f>Português!J136</f>
        <v>0</v>
      </c>
      <c r="K136" s="53">
        <f>Português!K136</f>
        <v>0</v>
      </c>
      <c r="L136" s="53">
        <f>Português!L136</f>
        <v>0</v>
      </c>
      <c r="M136" s="53">
        <f>Português!M136</f>
        <v>0</v>
      </c>
      <c r="N136" s="53">
        <f>Português!N136</f>
        <v>0</v>
      </c>
      <c r="O136" s="53">
        <f>Português!O136</f>
        <v>0</v>
      </c>
      <c r="P136" s="53">
        <f>Português!P136</f>
        <v>0</v>
      </c>
      <c r="Q136" s="53">
        <f>Português!Q136</f>
        <v>0</v>
      </c>
      <c r="R136" s="53">
        <f>Português!R136</f>
        <v>0</v>
      </c>
      <c r="S136" s="53">
        <f>Português!S136</f>
        <v>2</v>
      </c>
      <c r="T136" s="53">
        <f>Português!T136</f>
        <v>8.8019999999999996</v>
      </c>
      <c r="U136" s="53">
        <f>Português!U136</f>
        <v>10.673</v>
      </c>
      <c r="V136" s="53">
        <f>Português!V136</f>
        <v>12.959</v>
      </c>
      <c r="W136" s="53">
        <f>Português!W136</f>
        <v>10.959</v>
      </c>
      <c r="X136" s="53">
        <f>Português!X136</f>
        <v>0</v>
      </c>
      <c r="Y136" s="53">
        <f>Português!Y136</f>
        <v>0</v>
      </c>
      <c r="Z136" s="53">
        <f>Português!Z136</f>
        <v>0</v>
      </c>
      <c r="AA136" s="53">
        <f>Português!AA136</f>
        <v>0</v>
      </c>
      <c r="AB136" s="53">
        <f>Português!AB136</f>
        <v>5.3999999999999999E-2</v>
      </c>
      <c r="AC136" s="53">
        <f>Português!AC136</f>
        <v>0.26600000000000001</v>
      </c>
      <c r="AD136" s="53">
        <f>Português!AD136</f>
        <v>8.1000000000000003E-2</v>
      </c>
      <c r="AE136" s="53">
        <f>Português!AE136</f>
        <v>0</v>
      </c>
      <c r="AF136" s="53">
        <f>Português!AF136</f>
        <v>3.73</v>
      </c>
      <c r="AG136" s="53">
        <f>Português!AG136</f>
        <v>0.221</v>
      </c>
      <c r="AH136" s="53">
        <f>Português!AH136</f>
        <v>0</v>
      </c>
      <c r="AI136" s="53">
        <f>Português!AI136</f>
        <v>0.77200000000000002</v>
      </c>
      <c r="AJ136" s="53">
        <f>Português!AJ136</f>
        <v>0</v>
      </c>
      <c r="AK136" s="53">
        <f>Português!AK136</f>
        <v>12.154</v>
      </c>
      <c r="AL136" s="53">
        <f>Português!AL136</f>
        <v>0</v>
      </c>
      <c r="AM136" s="53">
        <f>Português!AM136</f>
        <v>12.579000000000001</v>
      </c>
      <c r="AN136" s="53">
        <f>Português!AN136</f>
        <v>2.56</v>
      </c>
      <c r="AO136" s="53">
        <f>Português!AO136</f>
        <v>0</v>
      </c>
      <c r="AP136" s="53">
        <f>Português!AP136</f>
        <v>0</v>
      </c>
      <c r="AQ136" s="53">
        <f>Português!AQ136</f>
        <v>0</v>
      </c>
      <c r="AR136" s="53">
        <f>Português!AR136</f>
        <v>0</v>
      </c>
      <c r="AS136" s="19"/>
      <c r="AT136" s="53">
        <f t="shared" si="69"/>
        <v>0</v>
      </c>
      <c r="AU136" s="53">
        <f t="shared" si="70"/>
        <v>0</v>
      </c>
      <c r="AV136" s="53">
        <f t="shared" si="71"/>
        <v>2</v>
      </c>
      <c r="AW136" s="53">
        <f t="shared" si="72"/>
        <v>10.959</v>
      </c>
      <c r="AX136" s="53">
        <f t="shared" si="73"/>
        <v>0</v>
      </c>
      <c r="AY136" s="53">
        <f t="shared" si="74"/>
        <v>0</v>
      </c>
      <c r="AZ136" s="53">
        <f t="shared" si="75"/>
        <v>0.77200000000000002</v>
      </c>
      <c r="BA136" s="53">
        <f t="shared" si="77"/>
        <v>12.579000000000001</v>
      </c>
      <c r="BB136" s="53">
        <f t="shared" si="76"/>
        <v>0</v>
      </c>
      <c r="BC136" s="37"/>
    </row>
    <row r="137" spans="1:55" outlineLevel="1">
      <c r="B137" s="18" t="s">
        <v>484</v>
      </c>
      <c r="C137" s="1" t="s">
        <v>390</v>
      </c>
      <c r="H137" s="53">
        <f>Português!H137</f>
        <v>0.14699999999999999</v>
      </c>
      <c r="I137" s="53">
        <f>Português!I137</f>
        <v>0.1</v>
      </c>
      <c r="J137" s="53">
        <f>Português!J137</f>
        <v>0.152</v>
      </c>
      <c r="K137" s="53">
        <f>Português!K137</f>
        <v>0.14699999999999999</v>
      </c>
      <c r="L137" s="53">
        <f>Português!L137</f>
        <v>0.216</v>
      </c>
      <c r="M137" s="53">
        <f>Português!M137</f>
        <v>2.1</v>
      </c>
      <c r="N137" s="53">
        <f>Português!N137</f>
        <v>1.7989999999999999</v>
      </c>
      <c r="O137" s="53">
        <f>Português!O137</f>
        <v>37.597999999999999</v>
      </c>
      <c r="P137" s="53">
        <f>Português!P137</f>
        <v>38.454000000000001</v>
      </c>
      <c r="Q137" s="53">
        <f>Português!Q137</f>
        <v>38.372</v>
      </c>
      <c r="R137" s="53">
        <f>Português!R137</f>
        <v>38.741999999999997</v>
      </c>
      <c r="S137" s="53">
        <f>Português!S137</f>
        <v>45.881</v>
      </c>
      <c r="T137" s="53">
        <f>Português!T137</f>
        <v>45.887999999999998</v>
      </c>
      <c r="U137" s="53">
        <f>Português!U137</f>
        <v>45.823</v>
      </c>
      <c r="V137" s="53">
        <f>Português!V137</f>
        <v>44.665999999999997</v>
      </c>
      <c r="W137" s="53">
        <f>Português!W137</f>
        <v>45.837000000000003</v>
      </c>
      <c r="X137" s="53">
        <f>Português!X137</f>
        <v>46.853000000000002</v>
      </c>
      <c r="Y137" s="53">
        <f>Português!Y137</f>
        <v>59.28</v>
      </c>
      <c r="Z137" s="53">
        <f>Português!Z137</f>
        <v>40.119</v>
      </c>
      <c r="AA137" s="53">
        <f>Português!AA137</f>
        <v>56.137999999999998</v>
      </c>
      <c r="AB137" s="53">
        <f>Português!AB137</f>
        <v>867.84299999999996</v>
      </c>
      <c r="AC137" s="53">
        <f>Português!AC137</f>
        <v>134.83000000000001</v>
      </c>
      <c r="AD137" s="53">
        <f>Português!AD137</f>
        <v>136.411</v>
      </c>
      <c r="AE137" s="53">
        <f>Português!AE137</f>
        <v>113.62</v>
      </c>
      <c r="AF137" s="53">
        <f>Português!AF137</f>
        <v>116.82599999999999</v>
      </c>
      <c r="AG137" s="53">
        <f>Português!AG137</f>
        <v>124.39700000000001</v>
      </c>
      <c r="AH137" s="53">
        <f>Português!AH137</f>
        <v>114.083</v>
      </c>
      <c r="AI137" s="53">
        <f>Português!AI137</f>
        <v>77.268000000000001</v>
      </c>
      <c r="AJ137" s="53">
        <f>Português!AJ137</f>
        <v>74.759</v>
      </c>
      <c r="AK137" s="53">
        <f>Português!AK137</f>
        <v>81.373999999999995</v>
      </c>
      <c r="AL137" s="53">
        <f>Português!AL137</f>
        <v>124.119</v>
      </c>
      <c r="AM137" s="53">
        <f>Português!AM137</f>
        <v>96.027000000000001</v>
      </c>
      <c r="AN137" s="53">
        <f>Português!AN137</f>
        <v>87.834999999999994</v>
      </c>
      <c r="AO137" s="53">
        <f>Português!AO137</f>
        <v>81.516999999999996</v>
      </c>
      <c r="AP137" s="53">
        <f>Português!AP137</f>
        <v>153.989</v>
      </c>
      <c r="AQ137" s="53">
        <f>Português!AQ137</f>
        <v>163.125</v>
      </c>
      <c r="AR137" s="53">
        <f>Português!AR137</f>
        <v>181.108</v>
      </c>
      <c r="AS137" s="19"/>
      <c r="AT137" s="53">
        <f t="shared" si="69"/>
        <v>0.14699999999999999</v>
      </c>
      <c r="AU137" s="53">
        <f t="shared" si="70"/>
        <v>37.597999999999999</v>
      </c>
      <c r="AV137" s="53">
        <f t="shared" si="71"/>
        <v>45.881</v>
      </c>
      <c r="AW137" s="53">
        <f t="shared" si="72"/>
        <v>45.837000000000003</v>
      </c>
      <c r="AX137" s="53">
        <f t="shared" si="73"/>
        <v>56.137999999999998</v>
      </c>
      <c r="AY137" s="53">
        <f t="shared" si="74"/>
        <v>113.62</v>
      </c>
      <c r="AZ137" s="53">
        <f t="shared" si="75"/>
        <v>77.268000000000001</v>
      </c>
      <c r="BA137" s="53">
        <f t="shared" si="77"/>
        <v>96.027000000000001</v>
      </c>
      <c r="BB137" s="53">
        <f t="shared" si="76"/>
        <v>163.125</v>
      </c>
      <c r="BC137" s="37"/>
    </row>
    <row r="138" spans="1:55" outlineLevel="1">
      <c r="B138" s="18" t="s">
        <v>493</v>
      </c>
      <c r="C138" s="1" t="s">
        <v>390</v>
      </c>
      <c r="H138" s="53">
        <f>Português!H138</f>
        <v>0</v>
      </c>
      <c r="I138" s="53">
        <f>Português!I138</f>
        <v>0</v>
      </c>
      <c r="J138" s="53">
        <f>Português!J138</f>
        <v>0</v>
      </c>
      <c r="K138" s="53">
        <f>Português!K138</f>
        <v>0</v>
      </c>
      <c r="L138" s="53">
        <f>Português!L138</f>
        <v>0</v>
      </c>
      <c r="M138" s="53">
        <f>Português!M138</f>
        <v>0</v>
      </c>
      <c r="N138" s="53">
        <f>Português!N138</f>
        <v>0</v>
      </c>
      <c r="O138" s="53">
        <f>Português!O138</f>
        <v>0</v>
      </c>
      <c r="P138" s="53">
        <f>Português!P138</f>
        <v>0</v>
      </c>
      <c r="Q138" s="53">
        <f>Português!Q138</f>
        <v>0</v>
      </c>
      <c r="R138" s="53">
        <f>Português!R138</f>
        <v>0</v>
      </c>
      <c r="S138" s="53">
        <f>Português!S138</f>
        <v>0</v>
      </c>
      <c r="T138" s="53">
        <f>Português!T138</f>
        <v>0</v>
      </c>
      <c r="U138" s="53">
        <f>Português!U138</f>
        <v>0</v>
      </c>
      <c r="V138" s="53">
        <f>Português!V138</f>
        <v>0</v>
      </c>
      <c r="W138" s="53">
        <f>Português!W138</f>
        <v>0</v>
      </c>
      <c r="X138" s="53">
        <f>Português!X138</f>
        <v>0</v>
      </c>
      <c r="Y138" s="53">
        <f>Português!Y138</f>
        <v>0</v>
      </c>
      <c r="Z138" s="53">
        <f>Português!Z138</f>
        <v>0</v>
      </c>
      <c r="AA138" s="53">
        <f>Português!AA138</f>
        <v>0</v>
      </c>
      <c r="AB138" s="53">
        <f>Português!AB138</f>
        <v>7.452</v>
      </c>
      <c r="AC138" s="53">
        <f>Português!AC138</f>
        <v>8.0540000000000003</v>
      </c>
      <c r="AD138" s="53">
        <f>Português!AD138</f>
        <v>6.7859999999999996</v>
      </c>
      <c r="AE138" s="53">
        <f>Português!AE138</f>
        <v>6.367</v>
      </c>
      <c r="AF138" s="53">
        <f>Português!AF138</f>
        <v>6.3680000000000003</v>
      </c>
      <c r="AG138" s="53">
        <f>Português!AG138</f>
        <v>6.4139999999999997</v>
      </c>
      <c r="AH138" s="53">
        <f>Português!AH138</f>
        <v>6.4359999999999999</v>
      </c>
      <c r="AI138" s="53">
        <f>Português!AI138</f>
        <v>5.5179999999999998</v>
      </c>
      <c r="AJ138" s="53">
        <f>Português!AJ138</f>
        <v>7.7350000000000003</v>
      </c>
      <c r="AK138" s="53">
        <f>Português!AK138</f>
        <v>4.7279999999999998</v>
      </c>
      <c r="AL138" s="53">
        <f>Português!AL138</f>
        <v>4.9409999999999998</v>
      </c>
      <c r="AM138" s="53">
        <f>Português!AM138</f>
        <v>5.7960000000000003</v>
      </c>
      <c r="AN138" s="53">
        <f>Português!AN138</f>
        <v>5.952</v>
      </c>
      <c r="AO138" s="53">
        <f>Português!AO138</f>
        <v>5.952</v>
      </c>
      <c r="AP138" s="53">
        <f>Português!AP138</f>
        <v>5.9530000000000003</v>
      </c>
      <c r="AQ138" s="53">
        <f>Português!AQ138</f>
        <v>5.9530000000000003</v>
      </c>
      <c r="AR138" s="53">
        <f>Português!AR138</f>
        <v>5.9560000000000004</v>
      </c>
      <c r="AS138" s="19"/>
      <c r="AT138" s="53">
        <f t="shared" si="69"/>
        <v>0</v>
      </c>
      <c r="AU138" s="53">
        <f t="shared" si="70"/>
        <v>0</v>
      </c>
      <c r="AV138" s="53">
        <f t="shared" si="71"/>
        <v>0</v>
      </c>
      <c r="AW138" s="53">
        <f t="shared" si="72"/>
        <v>0</v>
      </c>
      <c r="AX138" s="53">
        <f t="shared" si="73"/>
        <v>0</v>
      </c>
      <c r="AY138" s="53">
        <f t="shared" si="74"/>
        <v>6.367</v>
      </c>
      <c r="AZ138" s="53">
        <f t="shared" si="75"/>
        <v>5.5179999999999998</v>
      </c>
      <c r="BA138" s="53">
        <f t="shared" si="77"/>
        <v>5.7960000000000003</v>
      </c>
      <c r="BB138" s="53">
        <f t="shared" si="76"/>
        <v>5.9530000000000003</v>
      </c>
      <c r="BC138" s="37"/>
    </row>
    <row r="139" spans="1:55" outlineLevel="1">
      <c r="B139" s="18" t="s">
        <v>494</v>
      </c>
      <c r="C139" s="1" t="s">
        <v>390</v>
      </c>
      <c r="H139" s="53">
        <f>Português!H139</f>
        <v>235.16</v>
      </c>
      <c r="I139" s="53">
        <f>Português!I139</f>
        <v>261.5</v>
      </c>
      <c r="J139" s="53">
        <f>Português!J139</f>
        <v>283.113</v>
      </c>
      <c r="K139" s="53">
        <f>Português!K139</f>
        <v>290.62200000000001</v>
      </c>
      <c r="L139" s="53">
        <f>Português!L139</f>
        <v>331.18599999999998</v>
      </c>
      <c r="M139" s="53">
        <f>Português!M139</f>
        <v>361.6</v>
      </c>
      <c r="N139" s="53">
        <f>Português!N139</f>
        <v>395.66800000000001</v>
      </c>
      <c r="O139" s="53">
        <f>Português!O139</f>
        <v>414.52800000000002</v>
      </c>
      <c r="P139" s="53">
        <f>Português!P139</f>
        <v>1256.855</v>
      </c>
      <c r="Q139" s="53">
        <f>Português!Q139</f>
        <v>1344.3030000000001</v>
      </c>
      <c r="R139" s="53">
        <f>Português!R139</f>
        <v>1382.0340000000001</v>
      </c>
      <c r="S139" s="53">
        <f>Português!S139</f>
        <v>1987.5550000000001</v>
      </c>
      <c r="T139" s="53">
        <f>Português!T139</f>
        <v>2107.1610000000001</v>
      </c>
      <c r="U139" s="53">
        <f>Português!U139</f>
        <v>2146.5169999999998</v>
      </c>
      <c r="V139" s="53">
        <f>Português!V139</f>
        <v>2195.0839999999998</v>
      </c>
      <c r="W139" s="53">
        <f>Português!W139</f>
        <v>2249.7150000000001</v>
      </c>
      <c r="X139" s="53">
        <f>Português!X139</f>
        <v>2280.511</v>
      </c>
      <c r="Y139" s="53">
        <f>Português!Y139</f>
        <v>2449.7289999999998</v>
      </c>
      <c r="Z139" s="53">
        <f>Português!Z139</f>
        <v>2603.5320000000002</v>
      </c>
      <c r="AA139" s="53">
        <f>Português!AA139</f>
        <v>3010.9349999999999</v>
      </c>
      <c r="AB139" s="53">
        <f>Português!AB139</f>
        <v>6699.366</v>
      </c>
      <c r="AC139" s="53">
        <f>Português!AC139</f>
        <v>6771.51</v>
      </c>
      <c r="AD139" s="53">
        <f>Português!AD139</f>
        <v>6789.1809999999996</v>
      </c>
      <c r="AE139" s="53">
        <f>Português!AE139</f>
        <v>7304.7349999999997</v>
      </c>
      <c r="AF139" s="53">
        <f>Português!AF139</f>
        <v>7330.7219999999998</v>
      </c>
      <c r="AG139" s="53">
        <f>Português!AG139</f>
        <v>6783.7430000000004</v>
      </c>
      <c r="AH139" s="53">
        <f>Português!AH139</f>
        <v>7020.067</v>
      </c>
      <c r="AI139" s="53">
        <f>Português!AI139</f>
        <v>6882.558</v>
      </c>
      <c r="AJ139" s="53">
        <f>Português!AJ139</f>
        <v>6501.0780000000004</v>
      </c>
      <c r="AK139" s="53">
        <f>Português!AK139</f>
        <v>6756.8770000000004</v>
      </c>
      <c r="AL139" s="53">
        <f>Português!AL139</f>
        <v>6605.8450000000003</v>
      </c>
      <c r="AM139" s="53">
        <f>Português!AM139</f>
        <v>7388.7920000000004</v>
      </c>
      <c r="AN139" s="53">
        <f>Português!AN139</f>
        <v>7085.2219999999998</v>
      </c>
      <c r="AO139" s="53">
        <f>Português!AO139</f>
        <v>7019.7879999999996</v>
      </c>
      <c r="AP139" s="53">
        <f>Português!AP139</f>
        <v>7132.393</v>
      </c>
      <c r="AQ139" s="53">
        <f>Português!AQ139</f>
        <v>6481.6859999999997</v>
      </c>
      <c r="AR139" s="53">
        <f>Português!AR139</f>
        <v>6501.049</v>
      </c>
      <c r="AS139" s="19"/>
      <c r="AT139" s="53">
        <f t="shared" si="69"/>
        <v>290.62200000000001</v>
      </c>
      <c r="AU139" s="53">
        <f t="shared" si="70"/>
        <v>414.52800000000002</v>
      </c>
      <c r="AV139" s="53">
        <f t="shared" si="71"/>
        <v>1987.5550000000001</v>
      </c>
      <c r="AW139" s="53">
        <f t="shared" si="72"/>
        <v>2249.7150000000001</v>
      </c>
      <c r="AX139" s="53">
        <f t="shared" si="73"/>
        <v>3010.9349999999999</v>
      </c>
      <c r="AY139" s="53">
        <f t="shared" si="74"/>
        <v>7304.7349999999997</v>
      </c>
      <c r="AZ139" s="53">
        <f t="shared" si="75"/>
        <v>6882.558</v>
      </c>
      <c r="BA139" s="53">
        <f t="shared" si="77"/>
        <v>7388.7920000000004</v>
      </c>
      <c r="BB139" s="53">
        <f t="shared" si="76"/>
        <v>6481.6859999999997</v>
      </c>
      <c r="BC139" s="37"/>
    </row>
    <row r="140" spans="1:55" outlineLevel="1">
      <c r="B140" s="18" t="s">
        <v>495</v>
      </c>
      <c r="C140" s="1" t="s">
        <v>390</v>
      </c>
      <c r="H140" s="53">
        <f>Português!H140</f>
        <v>20.907</v>
      </c>
      <c r="I140" s="53">
        <f>Português!I140</f>
        <v>22.9</v>
      </c>
      <c r="J140" s="53">
        <f>Português!J140</f>
        <v>42.34</v>
      </c>
      <c r="K140" s="53">
        <f>Português!K140</f>
        <v>45.957999999999998</v>
      </c>
      <c r="L140" s="53">
        <f>Português!L140</f>
        <v>48.662999999999997</v>
      </c>
      <c r="M140" s="53">
        <f>Português!M140</f>
        <v>85.2</v>
      </c>
      <c r="N140" s="53">
        <f>Português!N140</f>
        <v>95.549000000000007</v>
      </c>
      <c r="O140" s="53">
        <f>Português!O140</f>
        <v>115.09399999999999</v>
      </c>
      <c r="P140" s="53">
        <f>Português!P140</f>
        <v>140.92699999999999</v>
      </c>
      <c r="Q140" s="53">
        <f>Português!Q140</f>
        <v>135.232</v>
      </c>
      <c r="R140" s="53">
        <f>Português!R140</f>
        <v>178.566</v>
      </c>
      <c r="S140" s="53">
        <f>Português!S140</f>
        <v>5333.7120000000004</v>
      </c>
      <c r="T140" s="53">
        <f>Português!T140</f>
        <v>5290.1180000000004</v>
      </c>
      <c r="U140" s="53">
        <f>Português!U140</f>
        <v>5184.6049999999996</v>
      </c>
      <c r="V140" s="53">
        <f>Português!V140</f>
        <v>4996.616</v>
      </c>
      <c r="W140" s="53">
        <f>Português!W140</f>
        <v>5513.3789999999999</v>
      </c>
      <c r="X140" s="53">
        <f>Português!X140</f>
        <v>5426.6059999999998</v>
      </c>
      <c r="Y140" s="53">
        <f>Português!Y140</f>
        <v>7292.7470000000003</v>
      </c>
      <c r="Z140" s="53">
        <f>Português!Z140</f>
        <v>7414.9269999999997</v>
      </c>
      <c r="AA140" s="53">
        <f>Português!AA140</f>
        <v>7556.509</v>
      </c>
      <c r="AB140" s="53">
        <f>Português!AB140</f>
        <v>52463.94</v>
      </c>
      <c r="AC140" s="53">
        <f>Português!AC140</f>
        <v>52273.946000000004</v>
      </c>
      <c r="AD140" s="53">
        <f>Português!AD140</f>
        <v>51909.87</v>
      </c>
      <c r="AE140" s="53">
        <f>Português!AE140</f>
        <v>51750.745999999999</v>
      </c>
      <c r="AF140" s="53">
        <f>Português!AF140</f>
        <v>52038.146000000001</v>
      </c>
      <c r="AG140" s="53">
        <f>Português!AG140</f>
        <v>51681.798999999999</v>
      </c>
      <c r="AH140" s="53">
        <f>Português!AH140</f>
        <v>51182.332999999999</v>
      </c>
      <c r="AI140" s="53">
        <f>Português!AI140</f>
        <v>50833.995000000003</v>
      </c>
      <c r="AJ140" s="53">
        <f>Português!AJ140</f>
        <v>50492.745000000003</v>
      </c>
      <c r="AK140" s="53">
        <f>Português!AK140</f>
        <v>50228.213000000003</v>
      </c>
      <c r="AL140" s="53">
        <f>Português!AL140</f>
        <v>49915.474999999999</v>
      </c>
      <c r="AM140" s="53">
        <f>Português!AM140</f>
        <v>49522.156999999999</v>
      </c>
      <c r="AN140" s="53">
        <f>Português!AN140</f>
        <v>49229.038</v>
      </c>
      <c r="AO140" s="53">
        <f>Português!AO140</f>
        <v>48903.491999999998</v>
      </c>
      <c r="AP140" s="53">
        <f>Português!AP140</f>
        <v>48520.66</v>
      </c>
      <c r="AQ140" s="53">
        <f>Português!AQ140</f>
        <v>48339.07</v>
      </c>
      <c r="AR140" s="53">
        <f>Português!AR140</f>
        <v>48137.741999999998</v>
      </c>
      <c r="AS140" s="19"/>
      <c r="AT140" s="53">
        <f t="shared" si="69"/>
        <v>45.957999999999998</v>
      </c>
      <c r="AU140" s="53">
        <f t="shared" si="70"/>
        <v>115.09399999999999</v>
      </c>
      <c r="AV140" s="53">
        <f t="shared" si="71"/>
        <v>5333.7120000000004</v>
      </c>
      <c r="AW140" s="53">
        <f t="shared" si="72"/>
        <v>5513.3789999999999</v>
      </c>
      <c r="AX140" s="53">
        <f t="shared" si="73"/>
        <v>7556.509</v>
      </c>
      <c r="AY140" s="53">
        <f t="shared" si="74"/>
        <v>51750.745999999999</v>
      </c>
      <c r="AZ140" s="53">
        <f t="shared" si="75"/>
        <v>50833.995000000003</v>
      </c>
      <c r="BA140" s="53">
        <f t="shared" si="77"/>
        <v>49522.156999999999</v>
      </c>
      <c r="BB140" s="53">
        <f t="shared" si="76"/>
        <v>48339.07</v>
      </c>
      <c r="BC140" s="37"/>
    </row>
    <row r="141" spans="1:55" ht="13.5" outlineLevel="1">
      <c r="B141" s="10" t="s">
        <v>496</v>
      </c>
      <c r="C141" s="10" t="s">
        <v>390</v>
      </c>
      <c r="D141" s="109"/>
      <c r="E141" s="109"/>
      <c r="F141" s="109"/>
      <c r="G141" s="109"/>
      <c r="H141" s="57">
        <f t="shared" ref="H141:AL141" si="78">SUM(H142,H155,H167)</f>
        <v>1881.5553196701494</v>
      </c>
      <c r="I141" s="57">
        <f t="shared" si="78"/>
        <v>1950.5000000000005</v>
      </c>
      <c r="J141" s="57">
        <f t="shared" si="78"/>
        <v>2143.02</v>
      </c>
      <c r="K141" s="57">
        <f t="shared" si="78"/>
        <v>2336.1480000000001</v>
      </c>
      <c r="L141" s="57">
        <f t="shared" si="78"/>
        <v>2450.491</v>
      </c>
      <c r="M141" s="57">
        <f t="shared" si="78"/>
        <v>4758.8999999999996</v>
      </c>
      <c r="N141" s="57">
        <f t="shared" si="78"/>
        <v>4635.777</v>
      </c>
      <c r="O141" s="57">
        <f t="shared" si="78"/>
        <v>4876.6735352100004</v>
      </c>
      <c r="P141" s="57">
        <f t="shared" si="78"/>
        <v>5978.7510000000002</v>
      </c>
      <c r="Q141" s="57">
        <f t="shared" si="78"/>
        <v>6087.9419999999991</v>
      </c>
      <c r="R141" s="57">
        <f t="shared" si="78"/>
        <v>10896.093999999999</v>
      </c>
      <c r="S141" s="57">
        <f t="shared" si="78"/>
        <v>12425.23</v>
      </c>
      <c r="T141" s="57">
        <f t="shared" si="78"/>
        <v>12798.02</v>
      </c>
      <c r="U141" s="57">
        <f t="shared" si="78"/>
        <v>13248.764999999999</v>
      </c>
      <c r="V141" s="57">
        <f t="shared" si="78"/>
        <v>13152.760999999999</v>
      </c>
      <c r="W141" s="57">
        <f t="shared" si="78"/>
        <v>13518.976999999999</v>
      </c>
      <c r="X141" s="57">
        <f t="shared" si="78"/>
        <v>13794.698</v>
      </c>
      <c r="Y141" s="57">
        <f t="shared" si="78"/>
        <v>17305.813999999998</v>
      </c>
      <c r="Z141" s="57">
        <f t="shared" si="78"/>
        <v>17404.288</v>
      </c>
      <c r="AA141" s="57">
        <f t="shared" si="78"/>
        <v>21360.055</v>
      </c>
      <c r="AB141" s="57">
        <f t="shared" si="78"/>
        <v>72662.411000000007</v>
      </c>
      <c r="AC141" s="57">
        <f t="shared" si="78"/>
        <v>71950.628999999986</v>
      </c>
      <c r="AD141" s="57">
        <f t="shared" si="78"/>
        <v>71127.962</v>
      </c>
      <c r="AE141" s="57">
        <f t="shared" si="78"/>
        <v>73213.73</v>
      </c>
      <c r="AF141" s="57">
        <f t="shared" si="78"/>
        <v>73393.976999999984</v>
      </c>
      <c r="AG141" s="57">
        <f t="shared" si="78"/>
        <v>75034.387000000002</v>
      </c>
      <c r="AH141" s="57">
        <f t="shared" si="78"/>
        <v>74771.862999999998</v>
      </c>
      <c r="AI141" s="57">
        <f t="shared" si="78"/>
        <v>75146.370999999985</v>
      </c>
      <c r="AJ141" s="57">
        <f t="shared" si="78"/>
        <v>74660.250999999989</v>
      </c>
      <c r="AK141" s="57">
        <f t="shared" si="78"/>
        <v>75740.251999999993</v>
      </c>
      <c r="AL141" s="57">
        <f t="shared" si="78"/>
        <v>75251.782999999996</v>
      </c>
      <c r="AM141" s="57">
        <f t="shared" ref="AM141:AR141" si="79">SUM(AM142,AM155,AM167)</f>
        <v>75475.188999999984</v>
      </c>
      <c r="AN141" s="57">
        <f t="shared" si="79"/>
        <v>76306.421999999991</v>
      </c>
      <c r="AO141" s="57">
        <f t="shared" si="79"/>
        <v>76306.186999999991</v>
      </c>
      <c r="AP141" s="57">
        <f t="shared" si="79"/>
        <v>76403.558000000005</v>
      </c>
      <c r="AQ141" s="57">
        <f t="shared" si="79"/>
        <v>74101.673999999985</v>
      </c>
      <c r="AR141" s="57">
        <f t="shared" si="79"/>
        <v>74807.005999999994</v>
      </c>
      <c r="AS141" s="19"/>
      <c r="AT141" s="57">
        <f t="shared" ref="AT141:AY141" si="80">SUM(AT142,AT155,AT167)</f>
        <v>2336.1480000000001</v>
      </c>
      <c r="AU141" s="57">
        <f t="shared" si="80"/>
        <v>4876.6735352100004</v>
      </c>
      <c r="AV141" s="57">
        <f t="shared" si="80"/>
        <v>12425.23</v>
      </c>
      <c r="AW141" s="57">
        <f t="shared" si="80"/>
        <v>13518.976999999999</v>
      </c>
      <c r="AX141" s="57">
        <f t="shared" si="80"/>
        <v>21360.055</v>
      </c>
      <c r="AY141" s="57">
        <f t="shared" si="80"/>
        <v>73213.73</v>
      </c>
      <c r="AZ141" s="57">
        <f>SUM(AZ142,AZ155,AZ167)</f>
        <v>75146.370999999985</v>
      </c>
      <c r="BA141" s="57">
        <f>SUM(BA142,BA155,BA167)</f>
        <v>75475.188999999984</v>
      </c>
      <c r="BB141" s="57">
        <f>SUM(BB142,BB155,BB167)</f>
        <v>74101.673999999985</v>
      </c>
      <c r="BC141" s="37"/>
    </row>
    <row r="142" spans="1:55" ht="13.5" outlineLevel="1">
      <c r="B142" s="56" t="s">
        <v>497</v>
      </c>
      <c r="C142" s="10" t="s">
        <v>390</v>
      </c>
      <c r="D142" s="109"/>
      <c r="E142" s="109"/>
      <c r="F142" s="109"/>
      <c r="G142" s="109"/>
      <c r="H142" s="57">
        <f t="shared" ref="H142:AN142" si="81">SUM(H143:H154)</f>
        <v>899.38431967014947</v>
      </c>
      <c r="I142" s="57">
        <f t="shared" si="81"/>
        <v>814.50400000000036</v>
      </c>
      <c r="J142" s="57">
        <f t="shared" si="81"/>
        <v>862.5</v>
      </c>
      <c r="K142" s="57">
        <f t="shared" si="81"/>
        <v>1539.9960000000001</v>
      </c>
      <c r="L142" s="57">
        <f t="shared" si="81"/>
        <v>1451.5819999999999</v>
      </c>
      <c r="M142" s="57">
        <f t="shared" si="81"/>
        <v>1085.6000000000001</v>
      </c>
      <c r="N142" s="57">
        <f t="shared" si="81"/>
        <v>760.67199999999991</v>
      </c>
      <c r="O142" s="57">
        <f t="shared" si="81"/>
        <v>987.49600000000009</v>
      </c>
      <c r="P142" s="57">
        <f t="shared" si="81"/>
        <v>1088.827</v>
      </c>
      <c r="Q142" s="57">
        <f t="shared" si="81"/>
        <v>1024.576</v>
      </c>
      <c r="R142" s="57">
        <f t="shared" si="81"/>
        <v>1039.2040000000002</v>
      </c>
      <c r="S142" s="57">
        <f t="shared" si="81"/>
        <v>1745.4229999999998</v>
      </c>
      <c r="T142" s="57">
        <f t="shared" si="81"/>
        <v>1931.1559999999999</v>
      </c>
      <c r="U142" s="57">
        <f t="shared" si="81"/>
        <v>2111.0990000000002</v>
      </c>
      <c r="V142" s="57">
        <f t="shared" si="81"/>
        <v>1887.848</v>
      </c>
      <c r="W142" s="57">
        <f t="shared" si="81"/>
        <v>2120.6130000000003</v>
      </c>
      <c r="X142" s="57">
        <f t="shared" si="81"/>
        <v>2303.0039999999999</v>
      </c>
      <c r="Y142" s="57">
        <f t="shared" si="81"/>
        <v>2653.8039999999996</v>
      </c>
      <c r="Z142" s="57">
        <f t="shared" si="81"/>
        <v>3267.0990000000002</v>
      </c>
      <c r="AA142" s="57">
        <f t="shared" si="81"/>
        <v>3184.4519999999998</v>
      </c>
      <c r="AB142" s="57">
        <f t="shared" si="81"/>
        <v>7342.7209999999986</v>
      </c>
      <c r="AC142" s="57">
        <f t="shared" si="81"/>
        <v>6745.7860000000001</v>
      </c>
      <c r="AD142" s="57">
        <f t="shared" si="81"/>
        <v>6676.9649999999992</v>
      </c>
      <c r="AE142" s="57">
        <f t="shared" si="81"/>
        <v>7682.34</v>
      </c>
      <c r="AF142" s="57">
        <f t="shared" si="81"/>
        <v>8152.4069999999992</v>
      </c>
      <c r="AG142" s="57">
        <f t="shared" si="81"/>
        <v>7959.1209999999992</v>
      </c>
      <c r="AH142" s="57">
        <f t="shared" si="81"/>
        <v>8485.482</v>
      </c>
      <c r="AI142" s="57">
        <f t="shared" si="81"/>
        <v>8757.8309999999983</v>
      </c>
      <c r="AJ142" s="57">
        <f t="shared" si="81"/>
        <v>8021.6119999999983</v>
      </c>
      <c r="AK142" s="57">
        <f t="shared" si="81"/>
        <v>7984.9920000000002</v>
      </c>
      <c r="AL142" s="57">
        <f t="shared" si="81"/>
        <v>7444.8250000000007</v>
      </c>
      <c r="AM142" s="57">
        <f t="shared" si="81"/>
        <v>7162.9610000000011</v>
      </c>
      <c r="AN142" s="57">
        <f t="shared" si="81"/>
        <v>7761.4179999999997</v>
      </c>
      <c r="AO142" s="57">
        <f>SUM(AO143:AO154)</f>
        <v>7508.8</v>
      </c>
      <c r="AP142" s="57">
        <f>SUM(AP143:AP154)</f>
        <v>7594.7689999999993</v>
      </c>
      <c r="AQ142" s="57">
        <f>SUM(AQ143:AQ154)</f>
        <v>6975.6660000000011</v>
      </c>
      <c r="AR142" s="57">
        <f>SUM(AR143:AR154)</f>
        <v>7816.8279999999995</v>
      </c>
      <c r="AS142" s="19"/>
      <c r="AT142" s="57">
        <f t="shared" ref="AT142:AY142" si="82">SUM(AT143:AT154)</f>
        <v>1539.9960000000001</v>
      </c>
      <c r="AU142" s="57">
        <f t="shared" si="82"/>
        <v>987.49600000000009</v>
      </c>
      <c r="AV142" s="57">
        <f t="shared" si="82"/>
        <v>1745.4229999999998</v>
      </c>
      <c r="AW142" s="57">
        <f t="shared" si="82"/>
        <v>2120.6130000000003</v>
      </c>
      <c r="AX142" s="57">
        <f t="shared" si="82"/>
        <v>3184.4519999999998</v>
      </c>
      <c r="AY142" s="57">
        <f t="shared" si="82"/>
        <v>7682.34</v>
      </c>
      <c r="AZ142" s="57">
        <f>SUM(AZ143:AZ154)</f>
        <v>8757.8309999999983</v>
      </c>
      <c r="BA142" s="57">
        <f>SUM(BA143:BA154)</f>
        <v>7162.9610000000011</v>
      </c>
      <c r="BB142" s="57">
        <f>SUM(BB143:BB154)</f>
        <v>6975.6660000000011</v>
      </c>
      <c r="BC142" s="37"/>
    </row>
    <row r="143" spans="1:55" outlineLevel="1">
      <c r="A143" s="1"/>
      <c r="B143" s="18" t="s">
        <v>498</v>
      </c>
      <c r="C143" s="1" t="s">
        <v>390</v>
      </c>
      <c r="H143" s="53">
        <f>Português!H143</f>
        <v>0</v>
      </c>
      <c r="I143" s="53">
        <f>Português!I143</f>
        <v>0</v>
      </c>
      <c r="J143" s="53">
        <f>Português!J143</f>
        <v>0</v>
      </c>
      <c r="K143" s="53">
        <f>Português!K143</f>
        <v>0</v>
      </c>
      <c r="L143" s="53">
        <f>Português!L143</f>
        <v>0</v>
      </c>
      <c r="M143" s="53">
        <f>Português!M143</f>
        <v>6.1</v>
      </c>
      <c r="N143" s="53">
        <f>Português!N143</f>
        <v>4.1130000000000004</v>
      </c>
      <c r="O143" s="53">
        <f>Português!O143</f>
        <v>0</v>
      </c>
      <c r="P143" s="53">
        <f>Português!P143</f>
        <v>0</v>
      </c>
      <c r="Q143" s="53">
        <f>Português!Q143</f>
        <v>0</v>
      </c>
      <c r="R143" s="53">
        <f>Português!R143</f>
        <v>21.006</v>
      </c>
      <c r="S143" s="53">
        <f>Português!S143</f>
        <v>75.037999999999997</v>
      </c>
      <c r="T143" s="53">
        <f>Português!T143</f>
        <v>42.23</v>
      </c>
      <c r="U143" s="53">
        <f>Português!U143</f>
        <v>56.963999999999999</v>
      </c>
      <c r="V143" s="53">
        <f>Português!V143</f>
        <v>30.100999999999999</v>
      </c>
      <c r="W143" s="53">
        <f>Português!W143</f>
        <v>42.914999999999999</v>
      </c>
      <c r="X143" s="53">
        <f>Português!X143</f>
        <v>40.722000000000001</v>
      </c>
      <c r="Y143" s="53">
        <f>Português!Y143</f>
        <v>93.563000000000002</v>
      </c>
      <c r="Z143" s="53">
        <f>Português!Z143</f>
        <v>649.85199999999998</v>
      </c>
      <c r="AA143" s="53">
        <f>Português!AA143</f>
        <v>713.25</v>
      </c>
      <c r="AB143" s="53">
        <f>Português!AB143</f>
        <v>1310.664</v>
      </c>
      <c r="AC143" s="53">
        <f>Português!AC143</f>
        <v>1268.9639999999999</v>
      </c>
      <c r="AD143" s="53">
        <f>Português!AD143</f>
        <v>1191.721</v>
      </c>
      <c r="AE143" s="53">
        <f>Português!AE143</f>
        <v>1726.508</v>
      </c>
      <c r="AF143" s="53">
        <f>Português!AF143</f>
        <v>2172.2959999999998</v>
      </c>
      <c r="AG143" s="53">
        <f>Português!AG143</f>
        <v>1929.62</v>
      </c>
      <c r="AH143" s="53">
        <f>Português!AH143</f>
        <v>2182.4839999999999</v>
      </c>
      <c r="AI143" s="53">
        <f>Português!AI143</f>
        <v>2109.9409999999998</v>
      </c>
      <c r="AJ143" s="53">
        <f>Português!AJ143</f>
        <v>1480.8140000000001</v>
      </c>
      <c r="AK143" s="53">
        <f>Português!AK143</f>
        <v>1274.3409999999999</v>
      </c>
      <c r="AL143" s="53">
        <f>Português!AL143</f>
        <v>602.56200000000001</v>
      </c>
      <c r="AM143" s="53">
        <f>Português!AM143</f>
        <v>950.84299999999996</v>
      </c>
      <c r="AN143" s="53">
        <f>Português!AN143</f>
        <v>1326.681</v>
      </c>
      <c r="AO143" s="53">
        <f>Português!AO143</f>
        <v>1013.942</v>
      </c>
      <c r="AP143" s="53">
        <f>Português!AP143</f>
        <v>1420.318</v>
      </c>
      <c r="AQ143" s="53">
        <f>Português!AQ143</f>
        <v>847.16899999999998</v>
      </c>
      <c r="AR143" s="53">
        <f>Português!AR143</f>
        <v>1271.672</v>
      </c>
      <c r="AS143" s="19"/>
      <c r="AT143" s="53">
        <f t="shared" ref="AT143:AT154" si="83">K143</f>
        <v>0</v>
      </c>
      <c r="AU143" s="53">
        <f t="shared" ref="AU143:AU151" si="84">O143</f>
        <v>0</v>
      </c>
      <c r="AV143" s="53">
        <f t="shared" ref="AV143:AV151" si="85">S143</f>
        <v>75.037999999999997</v>
      </c>
      <c r="AW143" s="53">
        <f t="shared" ref="AW143:AW151" si="86">W143</f>
        <v>42.914999999999999</v>
      </c>
      <c r="AX143" s="53">
        <f t="shared" ref="AX143:AX151" si="87">AA143</f>
        <v>713.25</v>
      </c>
      <c r="AY143" s="53">
        <f t="shared" ref="AY143:AY154" si="88">AE143</f>
        <v>1726.508</v>
      </c>
      <c r="AZ143" s="53">
        <f t="shared" ref="AZ143:AZ154" si="89">AI143</f>
        <v>2109.9409999999998</v>
      </c>
      <c r="BA143" s="53">
        <f t="shared" ref="BA143:BA175" si="90">AM143</f>
        <v>950.84299999999996</v>
      </c>
      <c r="BB143" s="53">
        <f t="shared" ref="BB143:BB154" si="91">AQ143</f>
        <v>847.16899999999998</v>
      </c>
      <c r="BC143" s="37"/>
    </row>
    <row r="144" spans="1:55" outlineLevel="1">
      <c r="B144" s="18" t="s">
        <v>499</v>
      </c>
      <c r="C144" s="1" t="s">
        <v>390</v>
      </c>
      <c r="H144" s="53">
        <f>Português!H144</f>
        <v>40.052</v>
      </c>
      <c r="I144" s="53">
        <f>Português!I144</f>
        <v>47.3</v>
      </c>
      <c r="J144" s="53">
        <f>Português!J144</f>
        <v>50.887</v>
      </c>
      <c r="K144" s="53">
        <f>Português!K144</f>
        <v>56.139000000000003</v>
      </c>
      <c r="L144" s="53">
        <f>Português!L144</f>
        <v>61.625999999999998</v>
      </c>
      <c r="M144" s="53">
        <f>Português!M144</f>
        <v>63.5</v>
      </c>
      <c r="N144" s="53">
        <f>Português!N144</f>
        <v>58.343000000000004</v>
      </c>
      <c r="O144" s="53">
        <f>Português!O144</f>
        <v>61.381</v>
      </c>
      <c r="P144" s="53">
        <f>Português!P144</f>
        <v>62.505000000000003</v>
      </c>
      <c r="Q144" s="53">
        <f>Português!Q144</f>
        <v>45.302</v>
      </c>
      <c r="R144" s="53">
        <f>Português!R144</f>
        <v>40.198</v>
      </c>
      <c r="S144" s="53">
        <f>Português!S144</f>
        <v>95.031999999999996</v>
      </c>
      <c r="T144" s="53">
        <f>Português!T144</f>
        <v>112.512</v>
      </c>
      <c r="U144" s="53">
        <f>Português!U144</f>
        <v>115.91500000000001</v>
      </c>
      <c r="V144" s="53">
        <f>Português!V144</f>
        <v>116.367</v>
      </c>
      <c r="W144" s="53">
        <f>Português!W144</f>
        <v>120.828</v>
      </c>
      <c r="X144" s="53">
        <f>Português!X144</f>
        <v>182.70699999999999</v>
      </c>
      <c r="Y144" s="53">
        <f>Português!Y144</f>
        <v>186.792</v>
      </c>
      <c r="Z144" s="53">
        <f>Português!Z144</f>
        <v>177.61500000000001</v>
      </c>
      <c r="AA144" s="53">
        <f>Português!AA144</f>
        <v>173.441</v>
      </c>
      <c r="AB144" s="53">
        <f>Português!AB144</f>
        <v>372.41300000000001</v>
      </c>
      <c r="AC144" s="53">
        <f>Português!AC144</f>
        <v>414.68099999999998</v>
      </c>
      <c r="AD144" s="53">
        <f>Português!AD144</f>
        <v>352.39</v>
      </c>
      <c r="AE144" s="53">
        <f>Português!AE144</f>
        <v>414.70299999999997</v>
      </c>
      <c r="AF144" s="53">
        <f>Português!AF144</f>
        <v>350.70699999999999</v>
      </c>
      <c r="AG144" s="53">
        <f>Português!AG144</f>
        <v>340.35500000000002</v>
      </c>
      <c r="AH144" s="53">
        <f>Português!AH144</f>
        <v>357.96199999999999</v>
      </c>
      <c r="AI144" s="53">
        <f>Português!AI144</f>
        <v>293.79499999999996</v>
      </c>
      <c r="AJ144" s="53">
        <f>Português!AJ144</f>
        <v>279.45</v>
      </c>
      <c r="AK144" s="53">
        <f>Português!AK144</f>
        <v>281.63400000000001</v>
      </c>
      <c r="AL144" s="53">
        <f>Português!AL144</f>
        <v>238.24699999999999</v>
      </c>
      <c r="AM144" s="53">
        <f>Português!AM144</f>
        <v>294.41699999999997</v>
      </c>
      <c r="AN144" s="53">
        <f>Português!AN144</f>
        <v>307.08999999999997</v>
      </c>
      <c r="AO144" s="53">
        <f>Português!AO144</f>
        <v>293.44499999999999</v>
      </c>
      <c r="AP144" s="53">
        <f>Português!AP144</f>
        <v>257.24099999999999</v>
      </c>
      <c r="AQ144" s="53">
        <f>Português!AQ144</f>
        <v>251.96600000000001</v>
      </c>
      <c r="AR144" s="53">
        <f>Português!AR144</f>
        <v>310.36099999999999</v>
      </c>
      <c r="AS144" s="19"/>
      <c r="AT144" s="53">
        <f t="shared" si="83"/>
        <v>56.139000000000003</v>
      </c>
      <c r="AU144" s="53">
        <f t="shared" si="84"/>
        <v>61.381</v>
      </c>
      <c r="AV144" s="53">
        <f t="shared" si="85"/>
        <v>95.031999999999996</v>
      </c>
      <c r="AW144" s="53">
        <f t="shared" si="86"/>
        <v>120.828</v>
      </c>
      <c r="AX144" s="53">
        <f t="shared" si="87"/>
        <v>173.441</v>
      </c>
      <c r="AY144" s="53">
        <f t="shared" si="88"/>
        <v>414.70299999999997</v>
      </c>
      <c r="AZ144" s="53">
        <f t="shared" si="89"/>
        <v>293.79499999999996</v>
      </c>
      <c r="BA144" s="53">
        <f t="shared" si="90"/>
        <v>294.41699999999997</v>
      </c>
      <c r="BB144" s="53">
        <f t="shared" si="91"/>
        <v>251.96600000000001</v>
      </c>
      <c r="BC144" s="37"/>
    </row>
    <row r="145" spans="1:55" outlineLevel="1">
      <c r="B145" s="18" t="s">
        <v>500</v>
      </c>
      <c r="C145" s="1" t="s">
        <v>390</v>
      </c>
      <c r="H145" s="53">
        <f>Português!H145</f>
        <v>314.81299999999999</v>
      </c>
      <c r="I145" s="53">
        <f>Português!I145</f>
        <v>334.7</v>
      </c>
      <c r="J145" s="53">
        <f>Português!J145</f>
        <v>356.41</v>
      </c>
      <c r="K145" s="53">
        <f>Português!K145</f>
        <v>359.47</v>
      </c>
      <c r="L145" s="53">
        <f>Português!L145</f>
        <v>350.41999999999996</v>
      </c>
      <c r="M145" s="53">
        <f>Português!M145</f>
        <v>374.5</v>
      </c>
      <c r="N145" s="53">
        <f>Português!N145</f>
        <v>399.83</v>
      </c>
      <c r="O145" s="53">
        <f>Português!O145</f>
        <v>408.125</v>
      </c>
      <c r="P145" s="53">
        <f>Português!P145</f>
        <v>414.30200000000002</v>
      </c>
      <c r="Q145" s="53">
        <f>Português!Q145</f>
        <v>417.99700000000001</v>
      </c>
      <c r="R145" s="53">
        <f>Português!R145</f>
        <v>512.18100000000004</v>
      </c>
      <c r="S145" s="53">
        <f>Português!S145</f>
        <v>858.14300000000003</v>
      </c>
      <c r="T145" s="53">
        <f>Português!T145</f>
        <v>990.78399999999999</v>
      </c>
      <c r="U145" s="53">
        <f>Português!U145</f>
        <v>984.57899999999995</v>
      </c>
      <c r="V145" s="53">
        <f>Português!V145</f>
        <v>1009.31</v>
      </c>
      <c r="W145" s="53">
        <f>Português!W145</f>
        <v>1129.1089999999999</v>
      </c>
      <c r="X145" s="53">
        <f>Português!X145</f>
        <v>1209.8889999999999</v>
      </c>
      <c r="Y145" s="53">
        <f>Português!Y145</f>
        <v>1491.077</v>
      </c>
      <c r="Z145" s="53">
        <f>Português!Z145</f>
        <v>1600.836</v>
      </c>
      <c r="AA145" s="53">
        <f>Português!AA145</f>
        <v>1549.059</v>
      </c>
      <c r="AB145" s="53">
        <f>Português!AB145</f>
        <v>3358.1590000000001</v>
      </c>
      <c r="AC145" s="53">
        <f>Português!AC145</f>
        <v>3380.6190000000001</v>
      </c>
      <c r="AD145" s="53">
        <f>Português!AD145</f>
        <v>3358.8069999999998</v>
      </c>
      <c r="AE145" s="53">
        <f>Português!AE145</f>
        <v>3636.7950000000001</v>
      </c>
      <c r="AF145" s="53">
        <f>Português!AF145</f>
        <v>3735.5619999999999</v>
      </c>
      <c r="AG145" s="53">
        <f>Português!AG145</f>
        <v>3863.567</v>
      </c>
      <c r="AH145" s="53">
        <f>Português!AH145</f>
        <v>3910.194</v>
      </c>
      <c r="AI145" s="53">
        <f>Português!AI145</f>
        <v>4154.1719999999996</v>
      </c>
      <c r="AJ145" s="53">
        <f>Português!AJ145</f>
        <v>3919.431</v>
      </c>
      <c r="AK145" s="53">
        <f>Português!AK145</f>
        <v>3876.0440000000003</v>
      </c>
      <c r="AL145" s="53">
        <f>Português!AL145</f>
        <v>3998.614</v>
      </c>
      <c r="AM145" s="53">
        <f>Português!AM145</f>
        <v>3319.165</v>
      </c>
      <c r="AN145" s="53">
        <f>Português!AN145</f>
        <v>3598.7669999999998</v>
      </c>
      <c r="AO145" s="53">
        <f>Português!AO145</f>
        <v>3676.8249999999998</v>
      </c>
      <c r="AP145" s="53">
        <f>Português!AP145</f>
        <v>3460.1419999999998</v>
      </c>
      <c r="AQ145" s="53">
        <f>Português!AQ145</f>
        <v>3599.174</v>
      </c>
      <c r="AR145" s="53">
        <f>Português!AR145</f>
        <v>3623.4430000000002</v>
      </c>
      <c r="AS145" s="19"/>
      <c r="AT145" s="53">
        <f t="shared" si="83"/>
        <v>359.47</v>
      </c>
      <c r="AU145" s="53">
        <f t="shared" si="84"/>
        <v>408.125</v>
      </c>
      <c r="AV145" s="53">
        <f t="shared" si="85"/>
        <v>858.14300000000003</v>
      </c>
      <c r="AW145" s="53">
        <f t="shared" si="86"/>
        <v>1129.1089999999999</v>
      </c>
      <c r="AX145" s="53">
        <f t="shared" si="87"/>
        <v>1549.059</v>
      </c>
      <c r="AY145" s="53">
        <f t="shared" si="88"/>
        <v>3636.7950000000001</v>
      </c>
      <c r="AZ145" s="53">
        <f t="shared" si="89"/>
        <v>4154.1719999999996</v>
      </c>
      <c r="BA145" s="53">
        <f t="shared" si="90"/>
        <v>3319.165</v>
      </c>
      <c r="BB145" s="53">
        <f t="shared" si="91"/>
        <v>3599.174</v>
      </c>
      <c r="BC145" s="37"/>
    </row>
    <row r="146" spans="1:55" outlineLevel="1">
      <c r="B146" s="18" t="s">
        <v>501</v>
      </c>
      <c r="C146" s="1" t="s">
        <v>390</v>
      </c>
      <c r="H146" s="53">
        <f>Português!H146</f>
        <v>54.494999999999997</v>
      </c>
      <c r="I146" s="53">
        <f>Português!I146</f>
        <v>58.7</v>
      </c>
      <c r="J146" s="53">
        <f>Português!J146</f>
        <v>54.283000000000001</v>
      </c>
      <c r="K146" s="53">
        <f>Português!K146</f>
        <v>55.155999999999999</v>
      </c>
      <c r="L146" s="53">
        <f>Português!L146</f>
        <v>54.723999999999997</v>
      </c>
      <c r="M146" s="53">
        <f>Português!M146</f>
        <v>62.3</v>
      </c>
      <c r="N146" s="53">
        <f>Português!N146</f>
        <v>60.304000000000002</v>
      </c>
      <c r="O146" s="53">
        <f>Português!O146</f>
        <v>65.180999999999997</v>
      </c>
      <c r="P146" s="53">
        <f>Português!P146</f>
        <v>62.664000000000001</v>
      </c>
      <c r="Q146" s="53">
        <f>Português!Q146</f>
        <v>66.268000000000001</v>
      </c>
      <c r="R146" s="53">
        <f>Português!R146</f>
        <v>2.0750000000000002</v>
      </c>
      <c r="S146" s="53">
        <f>Português!S146</f>
        <v>8.8079999999999998</v>
      </c>
      <c r="T146" s="53">
        <f>Português!T146</f>
        <v>5.7290000000000001</v>
      </c>
      <c r="U146" s="53">
        <f>Português!U146</f>
        <v>7.2119999999999997</v>
      </c>
      <c r="V146" s="53">
        <f>Português!V146</f>
        <v>3.5379999999999998</v>
      </c>
      <c r="W146" s="53">
        <f>Português!W146</f>
        <v>5.0460000000000003</v>
      </c>
      <c r="X146" s="53">
        <f>Português!X146</f>
        <v>10.993</v>
      </c>
      <c r="Y146" s="53">
        <f>Português!Y146</f>
        <v>17.106999999999999</v>
      </c>
      <c r="Z146" s="53">
        <f>Português!Z146</f>
        <v>22.571999999999999</v>
      </c>
      <c r="AA146" s="53">
        <f>Português!AA146</f>
        <v>11.83</v>
      </c>
      <c r="AB146" s="53">
        <f>Português!AB146</f>
        <v>14.907999999999999</v>
      </c>
      <c r="AC146" s="53">
        <f>Português!AC146</f>
        <v>13.688000000000001</v>
      </c>
      <c r="AD146" s="53">
        <f>Português!AD146</f>
        <v>14.847</v>
      </c>
      <c r="AE146" s="53">
        <f>Português!AE146</f>
        <v>13.24</v>
      </c>
      <c r="AF146" s="53">
        <f>Português!AF146</f>
        <v>15.787000000000001</v>
      </c>
      <c r="AG146" s="53">
        <f>Português!AG146</f>
        <v>41.228000000000002</v>
      </c>
      <c r="AH146" s="53">
        <f>Português!AH146</f>
        <v>92.144999999999996</v>
      </c>
      <c r="AI146" s="53">
        <f>Português!AI146</f>
        <v>58.037999999999997</v>
      </c>
      <c r="AJ146" s="53">
        <f>Português!AJ146</f>
        <v>59.698999999999998</v>
      </c>
      <c r="AK146" s="53">
        <f>Português!AK146</f>
        <v>68.930999999999997</v>
      </c>
      <c r="AL146" s="53">
        <f>Português!AL146</f>
        <v>67.472999999999999</v>
      </c>
      <c r="AM146" s="53">
        <f>Português!AM146</f>
        <v>99.57</v>
      </c>
      <c r="AN146" s="53">
        <f>Português!AN146</f>
        <v>56.082000000000001</v>
      </c>
      <c r="AO146" s="53">
        <f>Português!AO146</f>
        <v>54.067999999999998</v>
      </c>
      <c r="AP146" s="53">
        <f>Português!AP146</f>
        <v>62.548000000000002</v>
      </c>
      <c r="AQ146" s="53">
        <f>Português!AQ146</f>
        <v>56.841999999999999</v>
      </c>
      <c r="AR146" s="53">
        <f>Português!AR146</f>
        <v>67.188000000000002</v>
      </c>
      <c r="AS146" s="19"/>
      <c r="AT146" s="53">
        <f t="shared" si="83"/>
        <v>55.155999999999999</v>
      </c>
      <c r="AU146" s="53">
        <f t="shared" si="84"/>
        <v>65.180999999999997</v>
      </c>
      <c r="AV146" s="53">
        <f t="shared" si="85"/>
        <v>8.8079999999999998</v>
      </c>
      <c r="AW146" s="53">
        <f t="shared" si="86"/>
        <v>5.0460000000000003</v>
      </c>
      <c r="AX146" s="53">
        <f t="shared" si="87"/>
        <v>11.83</v>
      </c>
      <c r="AY146" s="53">
        <f t="shared" si="88"/>
        <v>13.24</v>
      </c>
      <c r="AZ146" s="53">
        <f t="shared" si="89"/>
        <v>58.037999999999997</v>
      </c>
      <c r="BA146" s="53">
        <f t="shared" si="90"/>
        <v>99.57</v>
      </c>
      <c r="BB146" s="53">
        <f t="shared" si="91"/>
        <v>56.841999999999999</v>
      </c>
      <c r="BC146" s="37"/>
    </row>
    <row r="147" spans="1:55" outlineLevel="1">
      <c r="B147" s="18" t="s">
        <v>502</v>
      </c>
      <c r="C147" s="1" t="s">
        <v>390</v>
      </c>
      <c r="H147" s="53">
        <f>Português!H147</f>
        <v>71.882000000000005</v>
      </c>
      <c r="I147" s="53">
        <f>Português!I147</f>
        <v>84.8</v>
      </c>
      <c r="J147" s="53">
        <f>Português!J147</f>
        <v>99.662999999999997</v>
      </c>
      <c r="K147" s="53">
        <f>Português!K147</f>
        <v>96.197999999999993</v>
      </c>
      <c r="L147" s="53">
        <f>Português!L147</f>
        <v>88.738</v>
      </c>
      <c r="M147" s="53">
        <f>Português!M147</f>
        <v>105.4</v>
      </c>
      <c r="N147" s="53">
        <f>Português!N147</f>
        <v>118.083</v>
      </c>
      <c r="O147" s="53">
        <f>Português!O147</f>
        <v>112.947</v>
      </c>
      <c r="P147" s="53">
        <f>Português!P147</f>
        <v>110.321</v>
      </c>
      <c r="Q147" s="53">
        <f>Português!Q147</f>
        <v>125.661</v>
      </c>
      <c r="R147" s="53">
        <f>Português!R147</f>
        <v>142.70500000000001</v>
      </c>
      <c r="S147" s="53">
        <f>Português!S147</f>
        <v>172.47399999999999</v>
      </c>
      <c r="T147" s="53">
        <f>Português!T147</f>
        <v>189.44399999999999</v>
      </c>
      <c r="U147" s="53">
        <f>Português!U147</f>
        <v>218.37299999999999</v>
      </c>
      <c r="V147" s="53">
        <f>Português!V147</f>
        <v>235.72399999999999</v>
      </c>
      <c r="W147" s="53">
        <f>Português!W147</f>
        <v>195.441</v>
      </c>
      <c r="X147" s="53">
        <f>Português!X147</f>
        <v>230.77799999999999</v>
      </c>
      <c r="Y147" s="53">
        <f>Português!Y147</f>
        <v>282.07799999999997</v>
      </c>
      <c r="Z147" s="53">
        <f>Português!Z147</f>
        <v>323.26900000000001</v>
      </c>
      <c r="AA147" s="53">
        <f>Português!AA147</f>
        <v>270.56099999999998</v>
      </c>
      <c r="AB147" s="53">
        <f>Português!AB147</f>
        <v>600.26300000000003</v>
      </c>
      <c r="AC147" s="53">
        <f>Português!AC147</f>
        <v>656.87800000000004</v>
      </c>
      <c r="AD147" s="53">
        <f>Português!AD147</f>
        <v>765.55200000000002</v>
      </c>
      <c r="AE147" s="53">
        <f>Português!AE147</f>
        <v>647.75300000000004</v>
      </c>
      <c r="AF147" s="53">
        <f>Português!AF147</f>
        <v>681.40599999999995</v>
      </c>
      <c r="AG147" s="53">
        <f>Português!AG147</f>
        <v>730.79600000000005</v>
      </c>
      <c r="AH147" s="53">
        <f>Português!AH147</f>
        <v>844.41200000000003</v>
      </c>
      <c r="AI147" s="53">
        <f>Português!AI147</f>
        <v>657.64</v>
      </c>
      <c r="AJ147" s="53">
        <f>Português!AJ147</f>
        <v>718.8</v>
      </c>
      <c r="AK147" s="53">
        <f>Português!AK147</f>
        <v>909.28899999999999</v>
      </c>
      <c r="AL147" s="53">
        <f>Português!AL147</f>
        <v>1001.872</v>
      </c>
      <c r="AM147" s="53">
        <f>Português!AM147</f>
        <v>832.81799999999998</v>
      </c>
      <c r="AN147" s="53">
        <f>Português!AN147</f>
        <v>826.97</v>
      </c>
      <c r="AO147" s="53">
        <f>Português!AO147</f>
        <v>935.41700000000003</v>
      </c>
      <c r="AP147" s="53">
        <f>Português!AP147</f>
        <v>964.35599999999999</v>
      </c>
      <c r="AQ147" s="53">
        <f>Português!AQ147</f>
        <v>766.17600000000004</v>
      </c>
      <c r="AR147" s="53">
        <f>Português!AR147</f>
        <v>897.76599999999996</v>
      </c>
      <c r="AS147" s="19"/>
      <c r="AT147" s="53">
        <f t="shared" si="83"/>
        <v>96.197999999999993</v>
      </c>
      <c r="AU147" s="53">
        <f t="shared" si="84"/>
        <v>112.947</v>
      </c>
      <c r="AV147" s="53">
        <f t="shared" si="85"/>
        <v>172.47399999999999</v>
      </c>
      <c r="AW147" s="53">
        <f t="shared" si="86"/>
        <v>195.441</v>
      </c>
      <c r="AX147" s="53">
        <f t="shared" si="87"/>
        <v>270.56099999999998</v>
      </c>
      <c r="AY147" s="53">
        <f t="shared" si="88"/>
        <v>647.75300000000004</v>
      </c>
      <c r="AZ147" s="53">
        <f t="shared" si="89"/>
        <v>657.64</v>
      </c>
      <c r="BA147" s="53">
        <f t="shared" si="90"/>
        <v>832.81799999999998</v>
      </c>
      <c r="BB147" s="53">
        <f t="shared" si="91"/>
        <v>766.17600000000004</v>
      </c>
      <c r="BC147" s="37"/>
    </row>
    <row r="148" spans="1:55" outlineLevel="1">
      <c r="B148" s="18" t="s">
        <v>503</v>
      </c>
      <c r="C148" s="1" t="s">
        <v>390</v>
      </c>
      <c r="H148" s="53">
        <f>Português!H148</f>
        <v>35.229999999999997</v>
      </c>
      <c r="I148" s="53">
        <f>Português!I148</f>
        <v>35.5</v>
      </c>
      <c r="J148" s="53">
        <f>Português!J148</f>
        <v>53.506999999999998</v>
      </c>
      <c r="K148" s="53">
        <f>Português!K148</f>
        <v>59.249000000000002</v>
      </c>
      <c r="L148" s="53">
        <f>Português!L148</f>
        <v>45.847999999999999</v>
      </c>
      <c r="M148" s="53">
        <f>Português!M148</f>
        <v>50.8</v>
      </c>
      <c r="N148" s="53">
        <f>Português!N148</f>
        <v>58.235999999999997</v>
      </c>
      <c r="O148" s="53">
        <f>Português!O148</f>
        <v>55.89</v>
      </c>
      <c r="P148" s="53">
        <f>Português!P148</f>
        <v>63.350999999999999</v>
      </c>
      <c r="Q148" s="53">
        <f>Português!Q148</f>
        <v>74.397999999999996</v>
      </c>
      <c r="R148" s="53">
        <f>Português!R148</f>
        <v>69.331000000000003</v>
      </c>
      <c r="S148" s="53">
        <f>Português!S148</f>
        <v>152.43199999999999</v>
      </c>
      <c r="T148" s="53">
        <f>Português!T148</f>
        <v>119.286</v>
      </c>
      <c r="U148" s="53">
        <f>Português!U148</f>
        <v>234.333</v>
      </c>
      <c r="V148" s="53">
        <f>Português!V148</f>
        <v>178.52500000000001</v>
      </c>
      <c r="W148" s="53">
        <f>Português!W148</f>
        <v>159.73599999999999</v>
      </c>
      <c r="X148" s="53">
        <f>Português!X148</f>
        <v>127.093</v>
      </c>
      <c r="Y148" s="53">
        <f>Português!Y148</f>
        <v>202.45699999999999</v>
      </c>
      <c r="Z148" s="53">
        <f>Português!Z148</f>
        <v>197.565</v>
      </c>
      <c r="AA148" s="53">
        <f>Português!AA148</f>
        <v>207.33199999999999</v>
      </c>
      <c r="AB148" s="53">
        <f>Português!AB148</f>
        <v>946.48099999999999</v>
      </c>
      <c r="AC148" s="53">
        <f>Português!AC148</f>
        <v>399.49799999999999</v>
      </c>
      <c r="AD148" s="53">
        <f>Português!AD148</f>
        <v>415.02699999999999</v>
      </c>
      <c r="AE148" s="53">
        <f>Português!AE148</f>
        <v>436.35</v>
      </c>
      <c r="AF148" s="53">
        <f>Português!AF148</f>
        <v>423.32299999999998</v>
      </c>
      <c r="AG148" s="53">
        <f>Português!AG148</f>
        <v>435.89800000000002</v>
      </c>
      <c r="AH148" s="53">
        <f>Português!AH148</f>
        <v>489.12</v>
      </c>
      <c r="AI148" s="53">
        <f>Português!AI148</f>
        <v>543.33899999999994</v>
      </c>
      <c r="AJ148" s="53">
        <f>Português!AJ148</f>
        <v>532.12900000000002</v>
      </c>
      <c r="AK148" s="53">
        <f>Português!AK148</f>
        <v>474.84000000000003</v>
      </c>
      <c r="AL148" s="53">
        <f>Português!AL148</f>
        <v>472.322</v>
      </c>
      <c r="AM148" s="53">
        <f>Português!AM148</f>
        <v>506.63</v>
      </c>
      <c r="AN148" s="53">
        <f>Português!AN148</f>
        <v>596.58399999999995</v>
      </c>
      <c r="AO148" s="53">
        <f>Português!AO148</f>
        <v>459.91300000000001</v>
      </c>
      <c r="AP148" s="53">
        <f>Português!AP148</f>
        <v>384.089</v>
      </c>
      <c r="AQ148" s="53">
        <f>Português!AQ148</f>
        <v>407.60300000000001</v>
      </c>
      <c r="AR148" s="53">
        <f>Português!AR148</f>
        <v>473.87099999999998</v>
      </c>
      <c r="AS148" s="19"/>
      <c r="AT148" s="53">
        <f t="shared" si="83"/>
        <v>59.249000000000002</v>
      </c>
      <c r="AU148" s="53">
        <f t="shared" si="84"/>
        <v>55.89</v>
      </c>
      <c r="AV148" s="53">
        <f t="shared" si="85"/>
        <v>152.43199999999999</v>
      </c>
      <c r="AW148" s="53">
        <f t="shared" si="86"/>
        <v>159.73599999999999</v>
      </c>
      <c r="AX148" s="53">
        <f t="shared" si="87"/>
        <v>207.33199999999999</v>
      </c>
      <c r="AY148" s="53">
        <f t="shared" si="88"/>
        <v>436.35</v>
      </c>
      <c r="AZ148" s="53">
        <f t="shared" si="89"/>
        <v>543.33899999999994</v>
      </c>
      <c r="BA148" s="53">
        <f t="shared" si="90"/>
        <v>506.63</v>
      </c>
      <c r="BB148" s="53">
        <f t="shared" si="91"/>
        <v>407.60300000000001</v>
      </c>
      <c r="BC148" s="37"/>
    </row>
    <row r="149" spans="1:55" outlineLevel="1">
      <c r="B149" s="18" t="s">
        <v>504</v>
      </c>
      <c r="C149" s="1" t="s">
        <v>390</v>
      </c>
      <c r="H149" s="53">
        <f>Português!H149</f>
        <v>67.759</v>
      </c>
      <c r="I149" s="53">
        <f>Português!I149</f>
        <v>50.2</v>
      </c>
      <c r="J149" s="53">
        <f>Português!J149</f>
        <v>48.152999999999999</v>
      </c>
      <c r="K149" s="53">
        <f>Português!K149</f>
        <v>54.478999999999999</v>
      </c>
      <c r="L149" s="53">
        <f>Português!L149</f>
        <v>69.415000000000006</v>
      </c>
      <c r="M149" s="53">
        <f>Português!M149</f>
        <v>43.7</v>
      </c>
      <c r="N149" s="53">
        <f>Português!N149</f>
        <v>34.963000000000001</v>
      </c>
      <c r="O149" s="53">
        <f>Português!O149</f>
        <v>33.86</v>
      </c>
      <c r="P149" s="53">
        <f>Português!P149</f>
        <v>90.162999999999997</v>
      </c>
      <c r="Q149" s="53">
        <f>Português!Q149</f>
        <v>90.375</v>
      </c>
      <c r="R149" s="53">
        <f>Português!R149</f>
        <v>73.744</v>
      </c>
      <c r="S149" s="53">
        <f>Português!S149</f>
        <v>61.981999999999999</v>
      </c>
      <c r="T149" s="53">
        <f>Português!T149</f>
        <v>111.64700000000001</v>
      </c>
      <c r="U149" s="53">
        <f>Português!U149</f>
        <v>187.82400000000001</v>
      </c>
      <c r="V149" s="53">
        <f>Português!V149</f>
        <v>133.88900000000001</v>
      </c>
      <c r="W149" s="53">
        <f>Português!W149</f>
        <v>85.141000000000005</v>
      </c>
      <c r="X149" s="53">
        <f>Português!X149</f>
        <v>101.286</v>
      </c>
      <c r="Y149" s="53">
        <f>Português!Y149</f>
        <v>100.13800000000001</v>
      </c>
      <c r="Z149" s="53">
        <f>Português!Z149</f>
        <v>93.608000000000004</v>
      </c>
      <c r="AA149" s="53">
        <f>Português!AA149</f>
        <v>58.645000000000003</v>
      </c>
      <c r="AB149" s="53">
        <f>Português!AB149</f>
        <v>88.159000000000006</v>
      </c>
      <c r="AC149" s="53">
        <f>Português!AC149</f>
        <v>75.712000000000003</v>
      </c>
      <c r="AD149" s="53">
        <f>Português!AD149</f>
        <v>61.329000000000001</v>
      </c>
      <c r="AE149" s="53">
        <f>Português!AE149</f>
        <v>31.797999999999998</v>
      </c>
      <c r="AF149" s="53">
        <f>Português!AF149</f>
        <v>69.616</v>
      </c>
      <c r="AG149" s="53">
        <f>Português!AG149</f>
        <v>98.864999999999995</v>
      </c>
      <c r="AH149" s="53">
        <f>Português!AH149</f>
        <v>60.316000000000003</v>
      </c>
      <c r="AI149" s="53">
        <f>Português!AI149</f>
        <v>28.260999999999999</v>
      </c>
      <c r="AJ149" s="53">
        <f>Português!AJ149</f>
        <v>41.430999999999997</v>
      </c>
      <c r="AK149" s="53">
        <f>Português!AK149</f>
        <v>60.569000000000003</v>
      </c>
      <c r="AL149" s="53">
        <f>Português!AL149</f>
        <v>151.65199999999999</v>
      </c>
      <c r="AM149" s="53">
        <f>Português!AM149</f>
        <v>30.3</v>
      </c>
      <c r="AN149" s="53">
        <f>Português!AN149</f>
        <v>86.659000000000006</v>
      </c>
      <c r="AO149" s="53">
        <f>Português!AO149</f>
        <v>130.68600000000001</v>
      </c>
      <c r="AP149" s="53">
        <f>Português!AP149</f>
        <v>54.94</v>
      </c>
      <c r="AQ149" s="53">
        <f>Português!AQ149</f>
        <v>31.067</v>
      </c>
      <c r="AR149" s="53">
        <f>Português!AR149</f>
        <v>32.329000000000001</v>
      </c>
      <c r="AS149" s="19"/>
      <c r="AT149" s="53">
        <f t="shared" si="83"/>
        <v>54.478999999999999</v>
      </c>
      <c r="AU149" s="53">
        <f t="shared" si="84"/>
        <v>33.86</v>
      </c>
      <c r="AV149" s="53">
        <f t="shared" si="85"/>
        <v>61.981999999999999</v>
      </c>
      <c r="AW149" s="53">
        <f t="shared" si="86"/>
        <v>85.141000000000005</v>
      </c>
      <c r="AX149" s="53">
        <f t="shared" si="87"/>
        <v>58.645000000000003</v>
      </c>
      <c r="AY149" s="53">
        <f t="shared" si="88"/>
        <v>31.797999999999998</v>
      </c>
      <c r="AZ149" s="53">
        <f t="shared" si="89"/>
        <v>28.260999999999999</v>
      </c>
      <c r="BA149" s="53">
        <f t="shared" si="90"/>
        <v>30.3</v>
      </c>
      <c r="BB149" s="53">
        <f t="shared" si="91"/>
        <v>31.067</v>
      </c>
      <c r="BC149" s="37"/>
    </row>
    <row r="150" spans="1:55" outlineLevel="1">
      <c r="B150" s="18" t="s">
        <v>505</v>
      </c>
      <c r="C150" s="1" t="s">
        <v>390</v>
      </c>
      <c r="H150" s="53">
        <f>Português!H150</f>
        <v>302.94900000000001</v>
      </c>
      <c r="I150" s="53">
        <f>Português!I150</f>
        <v>191.5</v>
      </c>
      <c r="J150" s="53">
        <f>Português!J150</f>
        <v>178.97</v>
      </c>
      <c r="K150" s="53">
        <f>Português!K150</f>
        <v>836.33799999999997</v>
      </c>
      <c r="L150" s="53">
        <f>Português!L150</f>
        <v>766.21900000000005</v>
      </c>
      <c r="M150" s="53">
        <f>Português!M150</f>
        <v>367.3</v>
      </c>
      <c r="N150" s="53">
        <f>Português!N150</f>
        <v>14.563000000000001</v>
      </c>
      <c r="O150" s="53">
        <f>Português!O150</f>
        <v>184.51300000000001</v>
      </c>
      <c r="P150" s="53">
        <f>Português!P150</f>
        <v>184.51300000000001</v>
      </c>
      <c r="Q150" s="53">
        <f>Português!Q150</f>
        <v>104.556</v>
      </c>
      <c r="R150" s="53">
        <f>Português!R150</f>
        <v>102.104</v>
      </c>
      <c r="S150" s="53">
        <f>Português!S150</f>
        <v>220.02</v>
      </c>
      <c r="T150" s="53">
        <f>Português!T150</f>
        <v>220.02</v>
      </c>
      <c r="U150" s="53">
        <f>Português!U150</f>
        <v>220.02</v>
      </c>
      <c r="V150" s="53">
        <f>Português!V150</f>
        <v>111.10599999999999</v>
      </c>
      <c r="W150" s="53">
        <f>Português!W150</f>
        <v>201.441</v>
      </c>
      <c r="X150" s="53">
        <f>Português!X150</f>
        <v>201.441</v>
      </c>
      <c r="Y150" s="53">
        <f>Português!Y150</f>
        <v>75.174000000000007</v>
      </c>
      <c r="Z150" s="53">
        <f>Português!Z150</f>
        <v>53.225999999999999</v>
      </c>
      <c r="AA150" s="53">
        <f>Português!AA150</f>
        <v>31.859000000000002</v>
      </c>
      <c r="AB150" s="53">
        <f>Português!AB150</f>
        <v>16.207999999999998</v>
      </c>
      <c r="AC150" s="53">
        <f>Português!AC150</f>
        <v>16.010999999999999</v>
      </c>
      <c r="AD150" s="53">
        <f>Português!AD150</f>
        <v>13.260999999999999</v>
      </c>
      <c r="AE150" s="53">
        <f>Português!AE150</f>
        <v>13.603999999999999</v>
      </c>
      <c r="AF150" s="53">
        <f>Português!AF150</f>
        <v>13.603999999999999</v>
      </c>
      <c r="AG150" s="53">
        <f>Português!AG150</f>
        <v>13.603999999999999</v>
      </c>
      <c r="AH150" s="53">
        <f>Português!AH150</f>
        <v>13.603999999999999</v>
      </c>
      <c r="AI150" s="53">
        <f>Português!AI150</f>
        <v>0.60500000000000043</v>
      </c>
      <c r="AJ150" s="53">
        <f>Português!AJ150</f>
        <v>0.60500000000000043</v>
      </c>
      <c r="AK150" s="53">
        <f>Português!AK150</f>
        <v>0.60500000000000043</v>
      </c>
      <c r="AL150" s="53">
        <f>Português!AL150</f>
        <v>0.60500000000000043</v>
      </c>
      <c r="AM150" s="53">
        <f>Português!AM150</f>
        <v>0.60499999999999998</v>
      </c>
      <c r="AN150" s="53">
        <f>Português!AN150</f>
        <v>0.60499999999999998</v>
      </c>
      <c r="AO150" s="53">
        <f>Português!AO150</f>
        <v>0.59799999999999998</v>
      </c>
      <c r="AP150" s="53">
        <f>Português!AP150</f>
        <v>0.59799999999999998</v>
      </c>
      <c r="AQ150" s="53">
        <f>Português!AQ150</f>
        <v>0.59799999999999998</v>
      </c>
      <c r="AR150" s="53">
        <f>Português!AR150</f>
        <v>0.753</v>
      </c>
      <c r="AS150" s="19"/>
      <c r="AT150" s="53">
        <f t="shared" si="83"/>
        <v>836.33799999999997</v>
      </c>
      <c r="AU150" s="53">
        <f t="shared" si="84"/>
        <v>184.51300000000001</v>
      </c>
      <c r="AV150" s="53">
        <f t="shared" si="85"/>
        <v>220.02</v>
      </c>
      <c r="AW150" s="53">
        <f t="shared" si="86"/>
        <v>201.441</v>
      </c>
      <c r="AX150" s="53">
        <f t="shared" si="87"/>
        <v>31.859000000000002</v>
      </c>
      <c r="AY150" s="53">
        <f t="shared" si="88"/>
        <v>13.603999999999999</v>
      </c>
      <c r="AZ150" s="53">
        <f t="shared" si="89"/>
        <v>0.60500000000000043</v>
      </c>
      <c r="BA150" s="53">
        <f t="shared" si="90"/>
        <v>0.60499999999999998</v>
      </c>
      <c r="BB150" s="53">
        <f t="shared" si="91"/>
        <v>0.59799999999999998</v>
      </c>
      <c r="BC150" s="37"/>
    </row>
    <row r="151" spans="1:55" outlineLevel="1">
      <c r="B151" s="18" t="s">
        <v>506</v>
      </c>
      <c r="C151" s="1" t="s">
        <v>390</v>
      </c>
      <c r="H151" s="53">
        <f>Português!H151</f>
        <v>0</v>
      </c>
      <c r="I151" s="53">
        <f>Português!I151</f>
        <v>0</v>
      </c>
      <c r="J151" s="53">
        <f>Português!J151</f>
        <v>0</v>
      </c>
      <c r="K151" s="53">
        <f>Português!K151</f>
        <v>0</v>
      </c>
      <c r="L151" s="53">
        <f>Português!L151</f>
        <v>0</v>
      </c>
      <c r="M151" s="53">
        <f>Português!M151</f>
        <v>0</v>
      </c>
      <c r="N151" s="53">
        <f>Português!N151</f>
        <v>0</v>
      </c>
      <c r="O151" s="53">
        <f>Português!O151</f>
        <v>0</v>
      </c>
      <c r="P151" s="53">
        <f>Português!P151</f>
        <v>28.744</v>
      </c>
      <c r="Q151" s="53">
        <f>Português!Q151</f>
        <v>31.068999999999999</v>
      </c>
      <c r="R151" s="53">
        <f>Português!R151</f>
        <v>32.206000000000003</v>
      </c>
      <c r="S151" s="53">
        <f>Português!S151</f>
        <v>36.866</v>
      </c>
      <c r="T151" s="53">
        <f>Português!T151</f>
        <v>36.487000000000002</v>
      </c>
      <c r="U151" s="53">
        <f>Português!U151</f>
        <v>36.200000000000003</v>
      </c>
      <c r="V151" s="53">
        <f>Português!V151</f>
        <v>35.570999999999998</v>
      </c>
      <c r="W151" s="53">
        <f>Português!W151</f>
        <v>42.95</v>
      </c>
      <c r="X151" s="53">
        <f>Português!X151</f>
        <v>39.564</v>
      </c>
      <c r="Y151" s="53">
        <f>Português!Y151</f>
        <v>41.634</v>
      </c>
      <c r="Z151" s="53">
        <f>Português!Z151</f>
        <v>53.911999999999999</v>
      </c>
      <c r="AA151" s="53">
        <f>Português!AA151</f>
        <v>57.034999999999997</v>
      </c>
      <c r="AB151" s="53">
        <f>Português!AB151</f>
        <v>116.232</v>
      </c>
      <c r="AC151" s="53">
        <f>Português!AC151</f>
        <v>117.718</v>
      </c>
      <c r="AD151" s="53">
        <f>Português!AD151</f>
        <v>116.36499999999999</v>
      </c>
      <c r="AE151" s="53">
        <f>Português!AE151</f>
        <v>351.286</v>
      </c>
      <c r="AF151" s="53">
        <f>Português!AF151</f>
        <v>132.017</v>
      </c>
      <c r="AG151" s="53">
        <f>Português!AG151</f>
        <v>136.54300000000001</v>
      </c>
      <c r="AH151" s="53">
        <f>Português!AH151</f>
        <v>151.43199999999999</v>
      </c>
      <c r="AI151" s="53">
        <f>Português!AI151</f>
        <v>475.17899999999997</v>
      </c>
      <c r="AJ151" s="53">
        <f>Português!AJ151</f>
        <v>443.44499999999999</v>
      </c>
      <c r="AK151" s="53">
        <f>Português!AK151</f>
        <v>480.61599999999999</v>
      </c>
      <c r="AL151" s="53">
        <f>Português!AL151</f>
        <v>481.185</v>
      </c>
      <c r="AM151" s="53">
        <f>Português!AM151</f>
        <v>522.70699999999999</v>
      </c>
      <c r="AN151" s="53">
        <f>Português!AN151</f>
        <v>550.29300000000001</v>
      </c>
      <c r="AO151" s="53">
        <f>Português!AO151</f>
        <v>548.23500000000001</v>
      </c>
      <c r="AP151" s="53">
        <f>Português!AP151</f>
        <v>555.41399999999999</v>
      </c>
      <c r="AQ151" s="53">
        <f>Português!AQ151</f>
        <v>566.81399999999996</v>
      </c>
      <c r="AR151" s="53">
        <f>Português!AR151</f>
        <v>573.56200000000001</v>
      </c>
      <c r="AS151" s="19"/>
      <c r="AT151" s="53">
        <f t="shared" si="83"/>
        <v>0</v>
      </c>
      <c r="AU151" s="53">
        <f t="shared" si="84"/>
        <v>0</v>
      </c>
      <c r="AV151" s="53">
        <f t="shared" si="85"/>
        <v>36.866</v>
      </c>
      <c r="AW151" s="53">
        <f t="shared" si="86"/>
        <v>42.95</v>
      </c>
      <c r="AX151" s="53">
        <f t="shared" si="87"/>
        <v>57.034999999999997</v>
      </c>
      <c r="AY151" s="53">
        <f t="shared" si="88"/>
        <v>351.286</v>
      </c>
      <c r="AZ151" s="53">
        <f t="shared" si="89"/>
        <v>475.17899999999997</v>
      </c>
      <c r="BA151" s="53">
        <f t="shared" si="90"/>
        <v>522.70699999999999</v>
      </c>
      <c r="BB151" s="53">
        <f t="shared" si="91"/>
        <v>566.81399999999996</v>
      </c>
      <c r="BC151" s="37"/>
    </row>
    <row r="152" spans="1:55" outlineLevel="1">
      <c r="B152" s="18" t="s">
        <v>481</v>
      </c>
      <c r="C152" s="1" t="s">
        <v>390</v>
      </c>
      <c r="H152" s="53">
        <f>Português!H152</f>
        <v>0</v>
      </c>
      <c r="I152" s="53">
        <f>Português!I152</f>
        <v>0</v>
      </c>
      <c r="J152" s="53">
        <f>Português!J152</f>
        <v>0</v>
      </c>
      <c r="K152" s="53">
        <f>Português!K152</f>
        <v>0</v>
      </c>
      <c r="L152" s="53">
        <f>Português!L152</f>
        <v>0</v>
      </c>
      <c r="M152" s="53">
        <f>Português!M152</f>
        <v>0</v>
      </c>
      <c r="N152" s="53">
        <f>Português!N152</f>
        <v>0</v>
      </c>
      <c r="O152" s="53">
        <f>Português!O152</f>
        <v>0</v>
      </c>
      <c r="P152" s="53">
        <f>Português!P152</f>
        <v>0</v>
      </c>
      <c r="Q152" s="53">
        <f>Português!Q152</f>
        <v>0</v>
      </c>
      <c r="R152" s="53">
        <f>Português!R152</f>
        <v>0</v>
      </c>
      <c r="S152" s="53">
        <f>Português!S152</f>
        <v>0</v>
      </c>
      <c r="T152" s="53">
        <f>Português!T152</f>
        <v>0</v>
      </c>
      <c r="U152" s="53">
        <f>Português!U152</f>
        <v>0</v>
      </c>
      <c r="V152" s="53">
        <f>Português!V152</f>
        <v>0</v>
      </c>
      <c r="W152" s="53">
        <f>Português!W152</f>
        <v>0</v>
      </c>
      <c r="X152" s="53">
        <f>Português!X152</f>
        <v>0</v>
      </c>
      <c r="Y152" s="53">
        <f>Português!Y152</f>
        <v>0</v>
      </c>
      <c r="Z152" s="53">
        <f>Português!Z152</f>
        <v>0</v>
      </c>
      <c r="AA152" s="53">
        <f>Português!AA152</f>
        <v>0</v>
      </c>
      <c r="AB152" s="53">
        <f>Português!AB152</f>
        <v>0</v>
      </c>
      <c r="AC152" s="53">
        <f>Português!AC152</f>
        <v>12.081</v>
      </c>
      <c r="AD152" s="53">
        <f>Português!AD152</f>
        <v>0</v>
      </c>
      <c r="AE152" s="53">
        <f>Português!AE152</f>
        <v>18.468</v>
      </c>
      <c r="AF152" s="53">
        <f>Português!AF152</f>
        <v>37.579000000000001</v>
      </c>
      <c r="AG152" s="53">
        <f>Português!AG152</f>
        <v>0</v>
      </c>
      <c r="AH152" s="53">
        <f>Português!AH152</f>
        <v>0</v>
      </c>
      <c r="AI152" s="53">
        <f>Português!AI152</f>
        <v>25.088000000000001</v>
      </c>
      <c r="AJ152" s="53">
        <f>Português!AJ152</f>
        <v>59.189</v>
      </c>
      <c r="AK152" s="53">
        <f>Português!AK152</f>
        <v>114.898</v>
      </c>
      <c r="AL152" s="53">
        <f>Português!AL152</f>
        <v>123.569</v>
      </c>
      <c r="AM152" s="53">
        <f>Português!AM152</f>
        <v>201.22900000000001</v>
      </c>
      <c r="AN152" s="53">
        <f>Português!AN152</f>
        <v>201.63499999999999</v>
      </c>
      <c r="AO152" s="53">
        <f>Português!AO152</f>
        <v>183.636</v>
      </c>
      <c r="AP152" s="53">
        <f>Português!AP152</f>
        <v>226.01400000000001</v>
      </c>
      <c r="AQ152" s="53">
        <f>Português!AQ152</f>
        <v>234.60599999999999</v>
      </c>
      <c r="AR152" s="53">
        <f>Português!AR152</f>
        <v>247.34700000000001</v>
      </c>
      <c r="AS152" s="19"/>
      <c r="AT152" s="53">
        <f t="shared" si="83"/>
        <v>0</v>
      </c>
      <c r="AU152" s="53">
        <f>L152</f>
        <v>0</v>
      </c>
      <c r="AV152" s="53">
        <f>M152</f>
        <v>0</v>
      </c>
      <c r="AW152" s="53">
        <f>N152</f>
        <v>0</v>
      </c>
      <c r="AX152" s="53">
        <f>O152</f>
        <v>0</v>
      </c>
      <c r="AY152" s="53">
        <f t="shared" si="88"/>
        <v>18.468</v>
      </c>
      <c r="AZ152" s="53">
        <f t="shared" si="89"/>
        <v>25.088000000000001</v>
      </c>
      <c r="BA152" s="53">
        <f t="shared" si="90"/>
        <v>201.22900000000001</v>
      </c>
      <c r="BB152" s="53">
        <f t="shared" si="91"/>
        <v>234.60599999999999</v>
      </c>
      <c r="BC152" s="37"/>
    </row>
    <row r="153" spans="1:55" outlineLevel="1">
      <c r="B153" s="76" t="s">
        <v>507</v>
      </c>
      <c r="C153" s="13" t="s">
        <v>390</v>
      </c>
      <c r="D153" s="13"/>
      <c r="E153" s="13"/>
      <c r="F153" s="13"/>
      <c r="G153" s="13"/>
      <c r="H153" s="55">
        <f>Português!H153</f>
        <v>0</v>
      </c>
      <c r="I153" s="55">
        <f>Português!I153</f>
        <v>0</v>
      </c>
      <c r="J153" s="55">
        <f>Português!J153</f>
        <v>0</v>
      </c>
      <c r="K153" s="55">
        <f>Português!K153</f>
        <v>0</v>
      </c>
      <c r="L153" s="55">
        <f>Português!L153</f>
        <v>0</v>
      </c>
      <c r="M153" s="55">
        <f>Português!M153</f>
        <v>0</v>
      </c>
      <c r="N153" s="55">
        <f>Português!N153</f>
        <v>0</v>
      </c>
      <c r="O153" s="55">
        <f>Português!O153</f>
        <v>42.656999999999996</v>
      </c>
      <c r="P153" s="55">
        <f>Português!P153</f>
        <v>42.656999999999996</v>
      </c>
      <c r="Q153" s="55">
        <f>Português!Q153</f>
        <v>42.667000000000002</v>
      </c>
      <c r="R153" s="55">
        <f>Português!R153</f>
        <v>4.0380000000000003</v>
      </c>
      <c r="S153" s="55">
        <f>Português!S153</f>
        <v>4.04</v>
      </c>
      <c r="T153" s="55">
        <f>Português!T153</f>
        <v>4.1870000000000003</v>
      </c>
      <c r="U153" s="55">
        <f>Português!U153</f>
        <v>4.0679999999999996</v>
      </c>
      <c r="V153" s="55">
        <f>Português!V153</f>
        <v>3.9929999999999999</v>
      </c>
      <c r="W153" s="55">
        <f>Português!W153</f>
        <v>3.996</v>
      </c>
      <c r="X153" s="55">
        <f>Português!X153</f>
        <v>3.9969999999999999</v>
      </c>
      <c r="Y153" s="55">
        <f>Português!Y153</f>
        <v>4.008</v>
      </c>
      <c r="Z153" s="55">
        <f>Português!Z153</f>
        <v>3.9969999999999999</v>
      </c>
      <c r="AA153" s="55">
        <f>Português!AA153</f>
        <v>13.208</v>
      </c>
      <c r="AB153" s="55">
        <f>Português!AB153</f>
        <v>3.9980000000000002</v>
      </c>
      <c r="AC153" s="55">
        <f>Português!AC153</f>
        <v>3.9980000000000002</v>
      </c>
      <c r="AD153" s="55">
        <f>Português!AD153</f>
        <v>3.996</v>
      </c>
      <c r="AE153" s="55">
        <f>Português!AE153</f>
        <v>3.9980000000000002</v>
      </c>
      <c r="AF153" s="55">
        <f>Português!AF153</f>
        <v>3.9989999999999997</v>
      </c>
      <c r="AG153" s="55">
        <f>Português!AG153</f>
        <v>3.9989999999999997</v>
      </c>
      <c r="AH153" s="55">
        <f>Português!AH153</f>
        <v>4.0010000000000003</v>
      </c>
      <c r="AI153" s="55">
        <f>Português!AI153</f>
        <v>5.7370000000000001</v>
      </c>
      <c r="AJ153" s="55">
        <f>Português!AJ153</f>
        <v>3.96</v>
      </c>
      <c r="AK153" s="55">
        <f>Português!AK153</f>
        <v>4.0179999999999998</v>
      </c>
      <c r="AL153" s="55">
        <f>Português!AL153</f>
        <v>3.9740000000000002</v>
      </c>
      <c r="AM153" s="55">
        <f>Português!AM153</f>
        <v>3.9969999999999999</v>
      </c>
      <c r="AN153" s="55">
        <f>Português!AN153</f>
        <v>3.9609999999999999</v>
      </c>
      <c r="AO153" s="55">
        <f>Português!AO153</f>
        <v>3.9609999999999999</v>
      </c>
      <c r="AP153" s="55">
        <f>Português!AP153</f>
        <v>3.9609999999999999</v>
      </c>
      <c r="AQ153" s="55">
        <f>Português!AQ153</f>
        <v>3.9620000000000002</v>
      </c>
      <c r="AR153" s="55">
        <f>Português!AR153</f>
        <v>1.6020000000000001</v>
      </c>
      <c r="AS153" s="19"/>
      <c r="AT153" s="53">
        <f t="shared" si="83"/>
        <v>0</v>
      </c>
      <c r="AU153" s="53">
        <f>O153</f>
        <v>42.656999999999996</v>
      </c>
      <c r="AV153" s="53">
        <f>S153</f>
        <v>4.04</v>
      </c>
      <c r="AW153" s="53">
        <f>W153</f>
        <v>3.996</v>
      </c>
      <c r="AX153" s="53">
        <f>AA153</f>
        <v>13.208</v>
      </c>
      <c r="AY153" s="53">
        <f t="shared" si="88"/>
        <v>3.9980000000000002</v>
      </c>
      <c r="AZ153" s="53">
        <f t="shared" si="89"/>
        <v>5.7370000000000001</v>
      </c>
      <c r="BA153" s="53">
        <f t="shared" si="90"/>
        <v>3.9969999999999999</v>
      </c>
      <c r="BB153" s="53">
        <f t="shared" si="91"/>
        <v>3.9620000000000002</v>
      </c>
      <c r="BC153" s="37"/>
    </row>
    <row r="154" spans="1:55" outlineLevel="1">
      <c r="B154" s="76" t="s">
        <v>508</v>
      </c>
      <c r="C154" s="13" t="s">
        <v>390</v>
      </c>
      <c r="D154" s="13"/>
      <c r="E154" s="13"/>
      <c r="F154" s="13"/>
      <c r="G154" s="13"/>
      <c r="H154" s="55">
        <f>Português!H154</f>
        <v>12.204319670149362</v>
      </c>
      <c r="I154" s="55">
        <f>Português!I154</f>
        <v>11.804000000000361</v>
      </c>
      <c r="J154" s="55">
        <f>Português!J154</f>
        <v>20.626999999999999</v>
      </c>
      <c r="K154" s="55">
        <f>Português!K154</f>
        <v>22.966999999999999</v>
      </c>
      <c r="L154" s="55">
        <f>Português!L154</f>
        <v>14.592000000000001</v>
      </c>
      <c r="M154" s="55">
        <f>Português!M154</f>
        <v>12</v>
      </c>
      <c r="N154" s="55">
        <f>Português!N154</f>
        <v>12.237</v>
      </c>
      <c r="O154" s="55">
        <f>Português!O154</f>
        <v>22.942</v>
      </c>
      <c r="P154" s="55">
        <f>Português!P154</f>
        <v>29.606999999999999</v>
      </c>
      <c r="Q154" s="55">
        <f>Português!Q154</f>
        <v>26.283000000000001</v>
      </c>
      <c r="R154" s="55">
        <f>Português!R154</f>
        <v>39.616</v>
      </c>
      <c r="S154" s="55">
        <f>Português!S154</f>
        <v>60.588000000000001</v>
      </c>
      <c r="T154" s="55">
        <f>Português!T154</f>
        <v>98.83</v>
      </c>
      <c r="U154" s="55">
        <f>Português!U154</f>
        <v>45.610999999999997</v>
      </c>
      <c r="V154" s="55">
        <f>Português!V154</f>
        <v>29.724</v>
      </c>
      <c r="W154" s="55">
        <f>Português!W154</f>
        <v>134.01</v>
      </c>
      <c r="X154" s="55">
        <f>Português!X154</f>
        <v>154.53399999999999</v>
      </c>
      <c r="Y154" s="55">
        <f>Português!Y154</f>
        <v>159.77600000000001</v>
      </c>
      <c r="Z154" s="55">
        <f>Português!Z154</f>
        <v>90.647000000000006</v>
      </c>
      <c r="AA154" s="55">
        <f>Português!AA154</f>
        <v>98.231999999999999</v>
      </c>
      <c r="AB154" s="55">
        <f>Português!AB154</f>
        <v>515.23599999999999</v>
      </c>
      <c r="AC154" s="55">
        <f>Português!AC154</f>
        <v>385.93799999999999</v>
      </c>
      <c r="AD154" s="55">
        <f>Português!AD154</f>
        <v>383.67</v>
      </c>
      <c r="AE154" s="55">
        <f>Português!AE154</f>
        <v>387.83699999999999</v>
      </c>
      <c r="AF154" s="55">
        <f>Português!AF154</f>
        <v>516.51099999999997</v>
      </c>
      <c r="AG154" s="55">
        <f>Português!AG154</f>
        <v>364.64600000000002</v>
      </c>
      <c r="AH154" s="55">
        <f>Português!AH154</f>
        <v>379.81200000000001</v>
      </c>
      <c r="AI154" s="55">
        <f>Português!AI154</f>
        <v>406.036</v>
      </c>
      <c r="AJ154" s="55">
        <f>Português!AJ154</f>
        <v>482.65899999999999</v>
      </c>
      <c r="AK154" s="55">
        <f>Português!AK154</f>
        <v>439.20699999999999</v>
      </c>
      <c r="AL154" s="55">
        <f>Português!AL154</f>
        <v>302.75</v>
      </c>
      <c r="AM154" s="55">
        <f>Português!AM154</f>
        <v>400.68</v>
      </c>
      <c r="AN154" s="55">
        <f>Português!AN154</f>
        <v>206.09100000000001</v>
      </c>
      <c r="AO154" s="55">
        <f>Português!AO154</f>
        <v>208.07400000000001</v>
      </c>
      <c r="AP154" s="55">
        <f>Português!AP154</f>
        <v>205.148</v>
      </c>
      <c r="AQ154" s="55">
        <f>Português!AQ154</f>
        <v>209.68899999999999</v>
      </c>
      <c r="AR154" s="55">
        <f>Português!AR154</f>
        <v>316.93400000000003</v>
      </c>
      <c r="AS154" s="19"/>
      <c r="AT154" s="53">
        <f t="shared" si="83"/>
        <v>22.966999999999999</v>
      </c>
      <c r="AU154" s="53">
        <f>O154</f>
        <v>22.942</v>
      </c>
      <c r="AV154" s="53">
        <f>S154</f>
        <v>60.588000000000001</v>
      </c>
      <c r="AW154" s="53">
        <f>W154</f>
        <v>134.01</v>
      </c>
      <c r="AX154" s="53">
        <f>AA154</f>
        <v>98.231999999999999</v>
      </c>
      <c r="AY154" s="53">
        <f t="shared" si="88"/>
        <v>387.83699999999999</v>
      </c>
      <c r="AZ154" s="53">
        <f t="shared" si="89"/>
        <v>406.036</v>
      </c>
      <c r="BA154" s="53">
        <f t="shared" si="90"/>
        <v>400.68</v>
      </c>
      <c r="BB154" s="53">
        <f t="shared" si="91"/>
        <v>209.68899999999999</v>
      </c>
      <c r="BC154" s="37"/>
    </row>
    <row r="155" spans="1:55" ht="13.5" outlineLevel="1">
      <c r="B155" s="56" t="s">
        <v>509</v>
      </c>
      <c r="C155" s="10" t="s">
        <v>390</v>
      </c>
      <c r="D155" s="109"/>
      <c r="E155" s="109"/>
      <c r="F155" s="109"/>
      <c r="G155" s="109"/>
      <c r="H155" s="57">
        <f t="shared" ref="H155:AA155" si="92">SUM(H156:H166)</f>
        <v>317.83499999999998</v>
      </c>
      <c r="I155" s="57">
        <f t="shared" si="92"/>
        <v>322.5</v>
      </c>
      <c r="J155" s="57">
        <f t="shared" si="92"/>
        <v>320.11499999999995</v>
      </c>
      <c r="K155" s="57">
        <f t="shared" si="92"/>
        <v>324.14900000000006</v>
      </c>
      <c r="L155" s="57">
        <f t="shared" si="92"/>
        <v>313.25400000000002</v>
      </c>
      <c r="M155" s="57">
        <f t="shared" si="92"/>
        <v>307.8</v>
      </c>
      <c r="N155" s="57">
        <f t="shared" si="92"/>
        <v>319.25399999999996</v>
      </c>
      <c r="O155" s="57">
        <f t="shared" si="92"/>
        <v>283.32253521000001</v>
      </c>
      <c r="P155" s="57">
        <f t="shared" si="92"/>
        <v>1069.6750000000002</v>
      </c>
      <c r="Q155" s="57">
        <f t="shared" si="92"/>
        <v>1134.183</v>
      </c>
      <c r="R155" s="57">
        <f t="shared" si="92"/>
        <v>3149.357</v>
      </c>
      <c r="S155" s="57">
        <f t="shared" si="92"/>
        <v>3417.922</v>
      </c>
      <c r="T155" s="57">
        <f t="shared" si="92"/>
        <v>3440.4270000000006</v>
      </c>
      <c r="U155" s="57">
        <f t="shared" si="92"/>
        <v>3432.3040000000001</v>
      </c>
      <c r="V155" s="57">
        <f t="shared" si="92"/>
        <v>3422.4720000000002</v>
      </c>
      <c r="W155" s="57">
        <f t="shared" si="92"/>
        <v>3567.377</v>
      </c>
      <c r="X155" s="57">
        <f t="shared" si="92"/>
        <v>3508.8780000000002</v>
      </c>
      <c r="Y155" s="57">
        <f t="shared" si="92"/>
        <v>3986.6009999999997</v>
      </c>
      <c r="Z155" s="57">
        <f t="shared" si="92"/>
        <v>3517.268</v>
      </c>
      <c r="AA155" s="57">
        <f t="shared" si="92"/>
        <v>7602.6089999999986</v>
      </c>
      <c r="AB155" s="57">
        <f t="shared" ref="AB155:AP155" si="93">SUM(AB156:AB166)</f>
        <v>16171.920000000002</v>
      </c>
      <c r="AC155" s="57">
        <f t="shared" si="93"/>
        <v>16296.686999999998</v>
      </c>
      <c r="AD155" s="57">
        <f t="shared" si="93"/>
        <v>15393.376</v>
      </c>
      <c r="AE155" s="57">
        <f t="shared" si="93"/>
        <v>16774.679</v>
      </c>
      <c r="AF155" s="57">
        <f t="shared" si="93"/>
        <v>16777.271999999997</v>
      </c>
      <c r="AG155" s="57">
        <f t="shared" si="93"/>
        <v>17734.543000000001</v>
      </c>
      <c r="AH155" s="57">
        <f t="shared" si="93"/>
        <v>17163.303</v>
      </c>
      <c r="AI155" s="57">
        <f t="shared" si="93"/>
        <v>17574.975999999999</v>
      </c>
      <c r="AJ155" s="57">
        <f t="shared" si="93"/>
        <v>17886.867999999999</v>
      </c>
      <c r="AK155" s="57">
        <f t="shared" si="93"/>
        <v>18950.088999999996</v>
      </c>
      <c r="AL155" s="57">
        <f t="shared" si="93"/>
        <v>19058.378999999997</v>
      </c>
      <c r="AM155" s="57">
        <f t="shared" si="93"/>
        <v>19585.017</v>
      </c>
      <c r="AN155" s="57">
        <f t="shared" si="93"/>
        <v>19760.384000000002</v>
      </c>
      <c r="AO155" s="57">
        <f t="shared" si="93"/>
        <v>20177.199000000001</v>
      </c>
      <c r="AP155" s="57">
        <f t="shared" si="93"/>
        <v>20256.400000000005</v>
      </c>
      <c r="AQ155" s="57">
        <f>SUM(AQ156:AQ166)</f>
        <v>18920.883999999998</v>
      </c>
      <c r="AR155" s="57">
        <f>SUM(AR156:AR166)</f>
        <v>18935.198000000004</v>
      </c>
      <c r="AS155" s="19"/>
      <c r="AT155" s="57">
        <f t="shared" ref="AT155:AY155" si="94">SUM(AT156:AT166)</f>
        <v>324.14900000000006</v>
      </c>
      <c r="AU155" s="57">
        <f t="shared" si="94"/>
        <v>283.32253521000001</v>
      </c>
      <c r="AV155" s="57">
        <f t="shared" si="94"/>
        <v>3417.922</v>
      </c>
      <c r="AW155" s="57">
        <f t="shared" si="94"/>
        <v>3567.377</v>
      </c>
      <c r="AX155" s="57">
        <f t="shared" si="94"/>
        <v>7602.6089999999986</v>
      </c>
      <c r="AY155" s="57">
        <f t="shared" si="94"/>
        <v>16774.679</v>
      </c>
      <c r="AZ155" s="57">
        <f>SUM(AZ156:AZ166)</f>
        <v>17574.975999999999</v>
      </c>
      <c r="BA155" s="57">
        <f>SUM(BA156:BA166)</f>
        <v>19585.017</v>
      </c>
      <c r="BB155" s="57">
        <f>SUM(BB156:BB166)</f>
        <v>18920.883999999998</v>
      </c>
      <c r="BC155" s="37"/>
    </row>
    <row r="156" spans="1:55" outlineLevel="1">
      <c r="A156" s="1"/>
      <c r="B156" s="18" t="s">
        <v>498</v>
      </c>
      <c r="C156" s="1" t="s">
        <v>390</v>
      </c>
      <c r="H156" s="53">
        <f>Português!H156</f>
        <v>0</v>
      </c>
      <c r="I156" s="53">
        <f>Português!I156</f>
        <v>0</v>
      </c>
      <c r="J156" s="53">
        <f>Português!J156</f>
        <v>0</v>
      </c>
      <c r="K156" s="53">
        <f>Português!K156</f>
        <v>0</v>
      </c>
      <c r="L156" s="53">
        <f>Português!L156</f>
        <v>0</v>
      </c>
      <c r="M156" s="53">
        <f>Português!M156</f>
        <v>0</v>
      </c>
      <c r="N156" s="53">
        <f>Português!N156</f>
        <v>0</v>
      </c>
      <c r="O156" s="53">
        <f>Português!O156</f>
        <v>0</v>
      </c>
      <c r="P156" s="53">
        <f>Português!P156</f>
        <v>0</v>
      </c>
      <c r="Q156" s="53">
        <f>Português!Q156</f>
        <v>0</v>
      </c>
      <c r="R156" s="53">
        <f>Português!R156</f>
        <v>1996.7449999999999</v>
      </c>
      <c r="S156" s="53">
        <f>Português!S156</f>
        <v>2036.9549999999999</v>
      </c>
      <c r="T156" s="53">
        <f>Português!T156</f>
        <v>2029.64</v>
      </c>
      <c r="U156" s="53">
        <f>Português!U156</f>
        <v>2030.61</v>
      </c>
      <c r="V156" s="53">
        <f>Português!V156</f>
        <v>2031.86</v>
      </c>
      <c r="W156" s="53">
        <f>Português!W156</f>
        <v>2034.3119999999999</v>
      </c>
      <c r="X156" s="53">
        <f>Português!X156</f>
        <v>2001.989</v>
      </c>
      <c r="Y156" s="53">
        <f>Português!Y156</f>
        <v>2001.059</v>
      </c>
      <c r="Z156" s="53">
        <f>Português!Z156</f>
        <v>1412.231</v>
      </c>
      <c r="AA156" s="53">
        <f>Português!AA156</f>
        <v>4882.6809999999996</v>
      </c>
      <c r="AB156" s="53">
        <f>Português!AB156</f>
        <v>9487.8790000000008</v>
      </c>
      <c r="AC156" s="53">
        <f>Português!AC156</f>
        <v>10232.263999999999</v>
      </c>
      <c r="AD156" s="53">
        <f>Português!AD156</f>
        <v>9630.5059999999994</v>
      </c>
      <c r="AE156" s="53">
        <f>Português!AE156</f>
        <v>9991.1730000000007</v>
      </c>
      <c r="AF156" s="53">
        <f>Português!AF156</f>
        <v>9658.226999999999</v>
      </c>
      <c r="AG156" s="53">
        <f>Português!AG156</f>
        <v>9654.4609999999993</v>
      </c>
      <c r="AH156" s="53">
        <f>Português!AH156</f>
        <v>8715.7369999999992</v>
      </c>
      <c r="AI156" s="53">
        <f>Português!AI156</f>
        <v>9416.473</v>
      </c>
      <c r="AJ156" s="53">
        <f>Português!AJ156</f>
        <v>9453.0450000000001</v>
      </c>
      <c r="AK156" s="53">
        <f>Português!AK156</f>
        <v>10486.984</v>
      </c>
      <c r="AL156" s="53">
        <f>Português!AL156</f>
        <v>10470.156999999999</v>
      </c>
      <c r="AM156" s="53">
        <f>Português!AM156</f>
        <v>11803.848</v>
      </c>
      <c r="AN156" s="53">
        <f>Português!AN156</f>
        <v>11817.732</v>
      </c>
      <c r="AO156" s="53">
        <f>Português!AO156</f>
        <v>12060.873</v>
      </c>
      <c r="AP156" s="53">
        <f>Português!AP156</f>
        <v>11943.842000000001</v>
      </c>
      <c r="AQ156" s="53">
        <f>Português!AQ156</f>
        <v>12021.050999999999</v>
      </c>
      <c r="AR156" s="53">
        <f>Português!AR156</f>
        <v>12032.26</v>
      </c>
      <c r="AS156" s="19"/>
      <c r="AT156" s="53">
        <f t="shared" ref="AT156:AT166" si="95">K156</f>
        <v>0</v>
      </c>
      <c r="AU156" s="53">
        <f t="shared" ref="AU156:AU166" si="96">O156</f>
        <v>0</v>
      </c>
      <c r="AV156" s="53">
        <f t="shared" ref="AV156:AV166" si="97">S156</f>
        <v>2036.9549999999999</v>
      </c>
      <c r="AW156" s="53">
        <f t="shared" ref="AW156:AW166" si="98">W156</f>
        <v>2034.3119999999999</v>
      </c>
      <c r="AX156" s="53">
        <f t="shared" ref="AX156:AX166" si="99">AA156</f>
        <v>4882.6809999999996</v>
      </c>
      <c r="AY156" s="53">
        <f t="shared" ref="AY156:AY166" si="100">AE156</f>
        <v>9991.1730000000007</v>
      </c>
      <c r="AZ156" s="53">
        <f t="shared" ref="AZ156:AZ166" si="101">AI156</f>
        <v>9416.473</v>
      </c>
      <c r="BA156" s="53">
        <f t="shared" si="90"/>
        <v>11803.848</v>
      </c>
      <c r="BB156" s="53">
        <f t="shared" ref="BB156:BB166" si="102">AQ156</f>
        <v>12021.050999999999</v>
      </c>
      <c r="BC156" s="37"/>
    </row>
    <row r="157" spans="1:55" outlineLevel="1">
      <c r="B157" s="18" t="s">
        <v>503</v>
      </c>
      <c r="C157" s="1" t="s">
        <v>390</v>
      </c>
      <c r="H157" s="53">
        <f>Português!H157</f>
        <v>26.149000000000001</v>
      </c>
      <c r="I157" s="53">
        <f>Português!I157</f>
        <v>22.1</v>
      </c>
      <c r="J157" s="53">
        <f>Português!J157</f>
        <v>22.263000000000002</v>
      </c>
      <c r="K157" s="53">
        <f>Português!K157</f>
        <v>21.652999999999999</v>
      </c>
      <c r="L157" s="53">
        <f>Português!L157</f>
        <v>11.257999999999999</v>
      </c>
      <c r="M157" s="53">
        <f>Português!M157</f>
        <v>11.9</v>
      </c>
      <c r="N157" s="53">
        <f>Português!N157</f>
        <v>11.935</v>
      </c>
      <c r="O157" s="53">
        <f>Português!O157</f>
        <v>11.966535209999998</v>
      </c>
      <c r="P157" s="53">
        <f>Português!P157</f>
        <v>11.97</v>
      </c>
      <c r="Q157" s="53">
        <f>Português!Q157</f>
        <v>12.021000000000001</v>
      </c>
      <c r="R157" s="53">
        <f>Português!R157</f>
        <v>12.073</v>
      </c>
      <c r="S157" s="53">
        <f>Português!S157</f>
        <v>26.146000000000001</v>
      </c>
      <c r="T157" s="53">
        <f>Português!T157</f>
        <v>24.145</v>
      </c>
      <c r="U157" s="53">
        <f>Português!U157</f>
        <v>23.956</v>
      </c>
      <c r="V157" s="53">
        <f>Português!V157</f>
        <v>23.751999999999999</v>
      </c>
      <c r="W157" s="53">
        <f>Português!W157</f>
        <v>23.132999999999999</v>
      </c>
      <c r="X157" s="53">
        <f>Português!X157</f>
        <v>18.425000000000001</v>
      </c>
      <c r="Y157" s="53">
        <f>Português!Y157</f>
        <v>98.611000000000004</v>
      </c>
      <c r="Z157" s="53">
        <f>Português!Z157</f>
        <v>88.893000000000001</v>
      </c>
      <c r="AA157" s="53">
        <f>Português!AA157</f>
        <v>123.181</v>
      </c>
      <c r="AB157" s="53">
        <f>Português!AB157</f>
        <v>181.16900000000001</v>
      </c>
      <c r="AC157" s="53">
        <f>Português!AC157</f>
        <v>174.209</v>
      </c>
      <c r="AD157" s="53">
        <f>Português!AD157</f>
        <v>168.19</v>
      </c>
      <c r="AE157" s="53">
        <f>Português!AE157</f>
        <v>157.07599999999999</v>
      </c>
      <c r="AF157" s="53">
        <f>Português!AF157</f>
        <v>146.38</v>
      </c>
      <c r="AG157" s="53">
        <f>Português!AG157</f>
        <v>135.15199999999999</v>
      </c>
      <c r="AH157" s="53">
        <f>Português!AH157</f>
        <v>126.898</v>
      </c>
      <c r="AI157" s="53">
        <f>Português!AI157</f>
        <v>161.39400000000001</v>
      </c>
      <c r="AJ157" s="53">
        <f>Português!AJ157</f>
        <v>153.226</v>
      </c>
      <c r="AK157" s="53">
        <f>Português!AK157</f>
        <v>141.911</v>
      </c>
      <c r="AL157" s="53">
        <f>Português!AL157</f>
        <v>133.185</v>
      </c>
      <c r="AM157" s="53">
        <f>Português!AM157</f>
        <v>124.004</v>
      </c>
      <c r="AN157" s="53">
        <f>Português!AN157</f>
        <v>115.279</v>
      </c>
      <c r="AO157" s="53">
        <f>Português!AO157</f>
        <v>105.87</v>
      </c>
      <c r="AP157" s="53">
        <f>Português!AP157</f>
        <v>98.218000000000004</v>
      </c>
      <c r="AQ157" s="53">
        <f>Português!AQ157</f>
        <v>91.727000000000004</v>
      </c>
      <c r="AR157" s="53">
        <f>Português!AR157</f>
        <v>84.216999999999999</v>
      </c>
      <c r="AS157" s="19"/>
      <c r="AT157" s="53">
        <f t="shared" si="95"/>
        <v>21.652999999999999</v>
      </c>
      <c r="AU157" s="53">
        <f t="shared" si="96"/>
        <v>11.966535209999998</v>
      </c>
      <c r="AV157" s="53">
        <f t="shared" si="97"/>
        <v>26.146000000000001</v>
      </c>
      <c r="AW157" s="53">
        <f t="shared" si="98"/>
        <v>23.132999999999999</v>
      </c>
      <c r="AX157" s="53">
        <f t="shared" si="99"/>
        <v>123.181</v>
      </c>
      <c r="AY157" s="53">
        <f t="shared" si="100"/>
        <v>157.07599999999999</v>
      </c>
      <c r="AZ157" s="53">
        <f t="shared" si="101"/>
        <v>161.39400000000001</v>
      </c>
      <c r="BA157" s="53">
        <f t="shared" si="90"/>
        <v>124.004</v>
      </c>
      <c r="BB157" s="53">
        <f t="shared" si="102"/>
        <v>91.727000000000004</v>
      </c>
      <c r="BC157" s="37"/>
    </row>
    <row r="158" spans="1:55" outlineLevel="1">
      <c r="B158" s="18" t="s">
        <v>510</v>
      </c>
      <c r="C158" s="1" t="s">
        <v>390</v>
      </c>
      <c r="H158" s="53">
        <f>Português!H158</f>
        <v>0</v>
      </c>
      <c r="I158" s="53">
        <f>Português!I158</f>
        <v>0</v>
      </c>
      <c r="J158" s="53">
        <f>Português!J158</f>
        <v>0</v>
      </c>
      <c r="K158" s="53">
        <f>Português!K158</f>
        <v>0</v>
      </c>
      <c r="L158" s="53">
        <f>Português!L158</f>
        <v>0</v>
      </c>
      <c r="M158" s="53">
        <f>Português!M158</f>
        <v>0</v>
      </c>
      <c r="N158" s="53">
        <f>Português!N158</f>
        <v>0</v>
      </c>
      <c r="O158" s="53">
        <f>Português!O158</f>
        <v>0</v>
      </c>
      <c r="P158" s="53">
        <f>Português!P158</f>
        <v>0</v>
      </c>
      <c r="Q158" s="53">
        <f>Português!Q158</f>
        <v>0</v>
      </c>
      <c r="R158" s="53">
        <f>Português!R158</f>
        <v>0</v>
      </c>
      <c r="S158" s="53">
        <f>Português!S158</f>
        <v>0</v>
      </c>
      <c r="T158" s="53">
        <f>Português!T158</f>
        <v>0</v>
      </c>
      <c r="U158" s="53">
        <f>Português!U158</f>
        <v>0</v>
      </c>
      <c r="V158" s="53">
        <f>Português!V158</f>
        <v>0</v>
      </c>
      <c r="W158" s="53">
        <f>Português!W158</f>
        <v>1.788</v>
      </c>
      <c r="X158" s="53">
        <f>Português!X158</f>
        <v>2.6</v>
      </c>
      <c r="Y158" s="53">
        <f>Português!Y158</f>
        <v>7.0620000000000003</v>
      </c>
      <c r="Z158" s="53">
        <f>Português!Z158</f>
        <v>8.8079999999999998</v>
      </c>
      <c r="AA158" s="53">
        <f>Português!AA158</f>
        <v>25.911000000000001</v>
      </c>
      <c r="AB158" s="53">
        <f>Português!AB158</f>
        <v>859.21699999999998</v>
      </c>
      <c r="AC158" s="53">
        <f>Português!AC158</f>
        <v>801.84500000000003</v>
      </c>
      <c r="AD158" s="53">
        <f>Português!AD158</f>
        <v>820.46699999999998</v>
      </c>
      <c r="AE158" s="53">
        <f>Português!AE158</f>
        <v>871.48</v>
      </c>
      <c r="AF158" s="53">
        <f>Português!AF158</f>
        <v>890.85</v>
      </c>
      <c r="AG158" s="53">
        <f>Português!AG158</f>
        <v>922.87900000000002</v>
      </c>
      <c r="AH158" s="53">
        <f>Português!AH158</f>
        <v>921.75300000000004</v>
      </c>
      <c r="AI158" s="53">
        <f>Português!AI158</f>
        <v>1195.4259999999999</v>
      </c>
      <c r="AJ158" s="53">
        <f>Português!AJ158</f>
        <v>1626.6499999999999</v>
      </c>
      <c r="AK158" s="53">
        <f>Português!AK158</f>
        <v>1673.799</v>
      </c>
      <c r="AL158" s="53">
        <f>Português!AL158</f>
        <v>1727.2829999999999</v>
      </c>
      <c r="AM158" s="53">
        <f>Português!AM158</f>
        <v>42.518999999999998</v>
      </c>
      <c r="AN158" s="53">
        <f>Português!AN158</f>
        <v>90.893000000000001</v>
      </c>
      <c r="AO158" s="53">
        <f>Português!AO158</f>
        <v>417.22300000000001</v>
      </c>
      <c r="AP158" s="53">
        <f>Português!AP158</f>
        <v>572.71299999999997</v>
      </c>
      <c r="AQ158" s="53">
        <f>Português!AQ158</f>
        <v>396.48700000000002</v>
      </c>
      <c r="AR158" s="53">
        <f>Português!AR158</f>
        <v>416.654</v>
      </c>
      <c r="AS158" s="19"/>
      <c r="AT158" s="53">
        <f t="shared" si="95"/>
        <v>0</v>
      </c>
      <c r="AU158" s="53">
        <f t="shared" si="96"/>
        <v>0</v>
      </c>
      <c r="AV158" s="53">
        <f t="shared" si="97"/>
        <v>0</v>
      </c>
      <c r="AW158" s="53">
        <f t="shared" si="98"/>
        <v>1.788</v>
      </c>
      <c r="AX158" s="53">
        <f t="shared" si="99"/>
        <v>25.911000000000001</v>
      </c>
      <c r="AY158" s="53">
        <f t="shared" si="100"/>
        <v>871.48</v>
      </c>
      <c r="AZ158" s="53">
        <f t="shared" si="101"/>
        <v>1195.4259999999999</v>
      </c>
      <c r="BA158" s="53">
        <f t="shared" si="90"/>
        <v>42.518999999999998</v>
      </c>
      <c r="BB158" s="53">
        <f t="shared" si="102"/>
        <v>396.48700000000002</v>
      </c>
      <c r="BC158" s="37"/>
    </row>
    <row r="159" spans="1:55" outlineLevel="1">
      <c r="B159" s="18" t="s">
        <v>506</v>
      </c>
      <c r="C159" s="1" t="s">
        <v>390</v>
      </c>
      <c r="H159" s="53">
        <f>Português!H159</f>
        <v>0</v>
      </c>
      <c r="I159" s="53">
        <f>Português!I159</f>
        <v>0</v>
      </c>
      <c r="J159" s="53">
        <f>Português!J159</f>
        <v>0</v>
      </c>
      <c r="K159" s="53">
        <f>Português!K159</f>
        <v>0</v>
      </c>
      <c r="L159" s="53">
        <f>Português!L159</f>
        <v>0</v>
      </c>
      <c r="M159" s="53">
        <f>Português!M159</f>
        <v>0</v>
      </c>
      <c r="N159" s="53">
        <f>Português!N159</f>
        <v>0</v>
      </c>
      <c r="O159" s="53">
        <f>Português!O159</f>
        <v>0</v>
      </c>
      <c r="P159" s="53">
        <f>Português!P159</f>
        <v>778.11</v>
      </c>
      <c r="Q159" s="53">
        <f>Português!Q159</f>
        <v>831.97</v>
      </c>
      <c r="R159" s="53">
        <f>Português!R159</f>
        <v>834.85199999999998</v>
      </c>
      <c r="S159" s="53">
        <f>Português!S159</f>
        <v>921.94500000000005</v>
      </c>
      <c r="T159" s="53">
        <f>Português!T159</f>
        <v>908.04700000000003</v>
      </c>
      <c r="U159" s="53">
        <f>Português!U159</f>
        <v>894.15</v>
      </c>
      <c r="V159" s="53">
        <f>Português!V159</f>
        <v>882.18499999999995</v>
      </c>
      <c r="W159" s="53">
        <f>Português!W159</f>
        <v>965.29300000000001</v>
      </c>
      <c r="X159" s="53">
        <f>Português!X159</f>
        <v>940.08399999999995</v>
      </c>
      <c r="Y159" s="53">
        <f>Português!Y159</f>
        <v>939.72199999999998</v>
      </c>
      <c r="Z159" s="53">
        <f>Português!Z159</f>
        <v>1023.793</v>
      </c>
      <c r="AA159" s="53">
        <f>Português!AA159</f>
        <v>1076.5899999999999</v>
      </c>
      <c r="AB159" s="53">
        <f>Português!AB159</f>
        <v>1846.9090000000001</v>
      </c>
      <c r="AC159" s="53">
        <f>Português!AC159</f>
        <v>1860.7840000000001</v>
      </c>
      <c r="AD159" s="53">
        <f>Português!AD159</f>
        <v>1893.81</v>
      </c>
      <c r="AE159" s="53">
        <f>Português!AE159</f>
        <v>1998.758</v>
      </c>
      <c r="AF159" s="53">
        <f>Português!AF159</f>
        <v>2208.8209999999999</v>
      </c>
      <c r="AG159" s="53">
        <f>Português!AG159</f>
        <v>2947.5120000000002</v>
      </c>
      <c r="AH159" s="53">
        <f>Português!AH159</f>
        <v>3191.6619999999998</v>
      </c>
      <c r="AI159" s="53">
        <f>Português!AI159</f>
        <v>2862.83</v>
      </c>
      <c r="AJ159" s="53">
        <f>Português!AJ159</f>
        <v>2580.1880000000001</v>
      </c>
      <c r="AK159" s="53">
        <f>Português!AK159</f>
        <v>2842.607</v>
      </c>
      <c r="AL159" s="53">
        <f>Português!AL159</f>
        <v>2719.6469999999999</v>
      </c>
      <c r="AM159" s="53">
        <f>Português!AM159</f>
        <v>3242.2849999999999</v>
      </c>
      <c r="AN159" s="53">
        <f>Português!AN159</f>
        <v>3087.4340000000002</v>
      </c>
      <c r="AO159" s="53">
        <f>Português!AO159</f>
        <v>3014.7190000000001</v>
      </c>
      <c r="AP159" s="53">
        <f>Português!AP159</f>
        <v>3075.002</v>
      </c>
      <c r="AQ159" s="53">
        <f>Português!AQ159</f>
        <v>2019.08</v>
      </c>
      <c r="AR159" s="53">
        <f>Português!AR159</f>
        <v>2064.31</v>
      </c>
      <c r="AS159" s="19"/>
      <c r="AT159" s="53">
        <f t="shared" si="95"/>
        <v>0</v>
      </c>
      <c r="AU159" s="53">
        <f t="shared" si="96"/>
        <v>0</v>
      </c>
      <c r="AV159" s="53">
        <f t="shared" si="97"/>
        <v>921.94500000000005</v>
      </c>
      <c r="AW159" s="53">
        <f t="shared" si="98"/>
        <v>965.29300000000001</v>
      </c>
      <c r="AX159" s="53">
        <f t="shared" si="99"/>
        <v>1076.5899999999999</v>
      </c>
      <c r="AY159" s="53">
        <f t="shared" si="100"/>
        <v>1998.758</v>
      </c>
      <c r="AZ159" s="53">
        <f t="shared" si="101"/>
        <v>2862.83</v>
      </c>
      <c r="BA159" s="53">
        <f t="shared" si="90"/>
        <v>3242.2849999999999</v>
      </c>
      <c r="BB159" s="53">
        <f t="shared" si="102"/>
        <v>2019.08</v>
      </c>
      <c r="BC159" s="37"/>
    </row>
    <row r="160" spans="1:55" outlineLevel="1">
      <c r="B160" s="18" t="s">
        <v>511</v>
      </c>
      <c r="C160" s="1" t="s">
        <v>390</v>
      </c>
      <c r="H160" s="53">
        <f>Português!H160</f>
        <v>0</v>
      </c>
      <c r="I160" s="53">
        <f>Português!I160</f>
        <v>0</v>
      </c>
      <c r="J160" s="53">
        <f>Português!J160</f>
        <v>0</v>
      </c>
      <c r="K160" s="53">
        <f>Português!K160</f>
        <v>0</v>
      </c>
      <c r="L160" s="53">
        <f>Português!L160</f>
        <v>0</v>
      </c>
      <c r="M160" s="53">
        <f>Português!M160</f>
        <v>0</v>
      </c>
      <c r="N160" s="53">
        <f>Português!N160</f>
        <v>0</v>
      </c>
      <c r="O160" s="53">
        <f>Português!O160</f>
        <v>0</v>
      </c>
      <c r="P160" s="53">
        <f>Português!P160</f>
        <v>0</v>
      </c>
      <c r="Q160" s="53">
        <f>Português!Q160</f>
        <v>0</v>
      </c>
      <c r="R160" s="53">
        <f>Português!R160</f>
        <v>0</v>
      </c>
      <c r="S160" s="53">
        <f>Português!S160</f>
        <v>0</v>
      </c>
      <c r="T160" s="53">
        <f>Português!T160</f>
        <v>0</v>
      </c>
      <c r="U160" s="53">
        <f>Português!U160</f>
        <v>0</v>
      </c>
      <c r="V160" s="53">
        <f>Português!V160</f>
        <v>0</v>
      </c>
      <c r="W160" s="53">
        <f>Português!W160</f>
        <v>39.537999999999997</v>
      </c>
      <c r="X160" s="53">
        <f>Português!X160</f>
        <v>73.13</v>
      </c>
      <c r="Y160" s="53">
        <f>Português!Y160</f>
        <v>100.098</v>
      </c>
      <c r="Z160" s="53">
        <f>Português!Z160</f>
        <v>120.875</v>
      </c>
      <c r="AA160" s="53">
        <f>Português!AA160</f>
        <v>166.05199999999999</v>
      </c>
      <c r="AB160" s="53">
        <f>Português!AB160</f>
        <v>551.26</v>
      </c>
      <c r="AC160" s="53">
        <f>Português!AC160</f>
        <v>643.72799999999995</v>
      </c>
      <c r="AD160" s="53">
        <f>Português!AD160</f>
        <v>719.15200000000004</v>
      </c>
      <c r="AE160" s="53">
        <f>Português!AE160</f>
        <v>808.303</v>
      </c>
      <c r="AF160" s="53">
        <f>Português!AF160</f>
        <v>925.077</v>
      </c>
      <c r="AG160" s="53">
        <f>Português!AG160</f>
        <v>1028.039</v>
      </c>
      <c r="AH160" s="53">
        <f>Português!AH160</f>
        <v>1146.2339999999999</v>
      </c>
      <c r="AI160" s="53">
        <f>Português!AI160</f>
        <v>1039.3229999999999</v>
      </c>
      <c r="AJ160" s="53">
        <f>Português!AJ160</f>
        <v>1154.184</v>
      </c>
      <c r="AK160" s="53">
        <f>Português!AK160</f>
        <v>1269.0450000000001</v>
      </c>
      <c r="AL160" s="53">
        <f>Português!AL160</f>
        <v>1383.0219999999999</v>
      </c>
      <c r="AM160" s="53">
        <f>Português!AM160</f>
        <v>1720.992</v>
      </c>
      <c r="AN160" s="53">
        <f>Português!AN160</f>
        <v>1825.222</v>
      </c>
      <c r="AO160" s="53">
        <f>Português!AO160</f>
        <v>1929.5119999999999</v>
      </c>
      <c r="AP160" s="53">
        <f>Português!AP160</f>
        <v>2011.7940000000001</v>
      </c>
      <c r="AQ160" s="53">
        <f>Português!AQ160</f>
        <v>2086.511</v>
      </c>
      <c r="AR160" s="53">
        <f>Português!AR160</f>
        <v>2152.6550000000002</v>
      </c>
      <c r="AS160" s="19"/>
      <c r="AT160" s="53">
        <f t="shared" si="95"/>
        <v>0</v>
      </c>
      <c r="AU160" s="53">
        <f t="shared" si="96"/>
        <v>0</v>
      </c>
      <c r="AV160" s="53">
        <f t="shared" si="97"/>
        <v>0</v>
      </c>
      <c r="AW160" s="53">
        <f t="shared" si="98"/>
        <v>39.537999999999997</v>
      </c>
      <c r="AX160" s="53">
        <f t="shared" si="99"/>
        <v>166.05199999999999</v>
      </c>
      <c r="AY160" s="53">
        <f t="shared" si="100"/>
        <v>808.303</v>
      </c>
      <c r="AZ160" s="53">
        <f t="shared" si="101"/>
        <v>1039.3229999999999</v>
      </c>
      <c r="BA160" s="53">
        <f t="shared" si="90"/>
        <v>1720.992</v>
      </c>
      <c r="BB160" s="53">
        <f t="shared" si="102"/>
        <v>2086.511</v>
      </c>
      <c r="BC160" s="37"/>
    </row>
    <row r="161" spans="2:55" outlineLevel="1">
      <c r="B161" s="18" t="s">
        <v>512</v>
      </c>
      <c r="C161" s="1" t="s">
        <v>390</v>
      </c>
      <c r="H161" s="53">
        <f>Português!H161</f>
        <v>236.733</v>
      </c>
      <c r="I161" s="53">
        <f>Português!I161</f>
        <v>239</v>
      </c>
      <c r="J161" s="53">
        <f>Português!J161</f>
        <v>241.57</v>
      </c>
      <c r="K161" s="53">
        <f>Português!K161</f>
        <v>248.78399999999999</v>
      </c>
      <c r="L161" s="53">
        <f>Português!L161</f>
        <v>248.69800000000001</v>
      </c>
      <c r="M161" s="53">
        <f>Português!M161</f>
        <v>245.5</v>
      </c>
      <c r="N161" s="53">
        <f>Português!N161</f>
        <v>256.17899999999997</v>
      </c>
      <c r="O161" s="53">
        <f>Português!O161</f>
        <v>263.44099999999997</v>
      </c>
      <c r="P161" s="53">
        <f>Português!P161</f>
        <v>272.29000000000002</v>
      </c>
      <c r="Q161" s="53">
        <f>Português!Q161</f>
        <v>283.49599999999998</v>
      </c>
      <c r="R161" s="53">
        <f>Português!R161</f>
        <v>293.14699999999999</v>
      </c>
      <c r="S161" s="53">
        <f>Português!S161</f>
        <v>388.65800000000002</v>
      </c>
      <c r="T161" s="53">
        <f>Português!T161</f>
        <v>388.96</v>
      </c>
      <c r="U161" s="53">
        <f>Português!U161</f>
        <v>388.30900000000003</v>
      </c>
      <c r="V161" s="53">
        <f>Português!V161</f>
        <v>389.55599999999998</v>
      </c>
      <c r="W161" s="53">
        <f>Português!W161</f>
        <v>401.94900000000001</v>
      </c>
      <c r="X161" s="53">
        <f>Português!X161</f>
        <v>396.51400000000001</v>
      </c>
      <c r="Y161" s="53">
        <f>Português!Y161</f>
        <v>407.61399999999998</v>
      </c>
      <c r="Z161" s="53">
        <f>Português!Z161</f>
        <v>407.745</v>
      </c>
      <c r="AA161" s="53">
        <f>Português!AA161</f>
        <v>428.791</v>
      </c>
      <c r="AB161" s="53">
        <f>Português!AB161</f>
        <v>1259.8869999999999</v>
      </c>
      <c r="AC161" s="53">
        <f>Português!AC161</f>
        <v>1269.979</v>
      </c>
      <c r="AD161" s="53">
        <f>Português!AD161</f>
        <v>1288.4680000000001</v>
      </c>
      <c r="AE161" s="53">
        <f>Português!AE161</f>
        <v>1360.9739999999999</v>
      </c>
      <c r="AF161" s="53">
        <f>Português!AF161</f>
        <v>1450.2049999999999</v>
      </c>
      <c r="AG161" s="53">
        <f>Português!AG161</f>
        <v>1471.277</v>
      </c>
      <c r="AH161" s="53">
        <f>Português!AH161</f>
        <v>1386.9780000000001</v>
      </c>
      <c r="AI161" s="53">
        <f>Português!AI161</f>
        <v>1303.3130000000001</v>
      </c>
      <c r="AJ161" s="53">
        <f>Português!AJ161</f>
        <v>1320.299</v>
      </c>
      <c r="AK161" s="53">
        <f>Português!AK161</f>
        <v>1350.93</v>
      </c>
      <c r="AL161" s="53">
        <f>Português!AL161</f>
        <v>1519.7820000000002</v>
      </c>
      <c r="AM161" s="53">
        <f>Português!AM161</f>
        <v>1418.568</v>
      </c>
      <c r="AN161" s="53">
        <f>Português!AN161</f>
        <v>1553.9839999999999</v>
      </c>
      <c r="AO161" s="53">
        <f>Português!AO161</f>
        <v>1575.4690000000001</v>
      </c>
      <c r="AP161" s="53">
        <f>Português!AP161</f>
        <v>1658.498</v>
      </c>
      <c r="AQ161" s="53">
        <f>Português!AQ161</f>
        <v>1714.85</v>
      </c>
      <c r="AR161" s="53">
        <f>Português!AR161</f>
        <v>1772.452</v>
      </c>
      <c r="AS161" s="19"/>
      <c r="AT161" s="53">
        <f t="shared" si="95"/>
        <v>248.78399999999999</v>
      </c>
      <c r="AU161" s="53">
        <f t="shared" si="96"/>
        <v>263.44099999999997</v>
      </c>
      <c r="AV161" s="53">
        <f t="shared" si="97"/>
        <v>388.65800000000002</v>
      </c>
      <c r="AW161" s="53">
        <f t="shared" si="98"/>
        <v>401.94900000000001</v>
      </c>
      <c r="AX161" s="53">
        <f t="shared" si="99"/>
        <v>428.791</v>
      </c>
      <c r="AY161" s="53">
        <f t="shared" si="100"/>
        <v>1360.9739999999999</v>
      </c>
      <c r="AZ161" s="53">
        <f t="shared" si="101"/>
        <v>1303.3130000000001</v>
      </c>
      <c r="BA161" s="53">
        <f t="shared" si="90"/>
        <v>1418.568</v>
      </c>
      <c r="BB161" s="53">
        <f t="shared" si="102"/>
        <v>1714.85</v>
      </c>
      <c r="BC161" s="37"/>
    </row>
    <row r="162" spans="2:55" outlineLevel="1">
      <c r="B162" s="18" t="s">
        <v>507</v>
      </c>
      <c r="C162" s="1" t="s">
        <v>390</v>
      </c>
      <c r="H162" s="53">
        <f>Português!H162</f>
        <v>35.298999999999999</v>
      </c>
      <c r="I162" s="53">
        <f>Português!I162</f>
        <v>47.4</v>
      </c>
      <c r="J162" s="53">
        <f>Português!J162</f>
        <v>47.720999999999997</v>
      </c>
      <c r="K162" s="53">
        <f>Português!K162</f>
        <v>48.015999999999998</v>
      </c>
      <c r="L162" s="53">
        <f>Português!L162</f>
        <v>48.311999999999998</v>
      </c>
      <c r="M162" s="53">
        <f>Português!M162</f>
        <v>42.6</v>
      </c>
      <c r="N162" s="53">
        <f>Português!N162</f>
        <v>42.616</v>
      </c>
      <c r="O162" s="53">
        <f>Português!O162</f>
        <v>0</v>
      </c>
      <c r="P162" s="53">
        <f>Português!P162</f>
        <v>0</v>
      </c>
      <c r="Q162" s="53">
        <f>Português!Q162</f>
        <v>0</v>
      </c>
      <c r="R162" s="53">
        <f>Português!R162</f>
        <v>0</v>
      </c>
      <c r="S162" s="53">
        <f>Português!S162</f>
        <v>0</v>
      </c>
      <c r="T162" s="53">
        <f>Português!T162</f>
        <v>0</v>
      </c>
      <c r="U162" s="53">
        <f>Português!U162</f>
        <v>0</v>
      </c>
      <c r="V162" s="53">
        <f>Português!V162</f>
        <v>0</v>
      </c>
      <c r="W162" s="53">
        <f>Português!W162</f>
        <v>0</v>
      </c>
      <c r="X162" s="53">
        <f>Português!X162</f>
        <v>0</v>
      </c>
      <c r="Y162" s="53">
        <f>Português!Y162</f>
        <v>0</v>
      </c>
      <c r="Z162" s="53">
        <f>Português!Z162</f>
        <v>0</v>
      </c>
      <c r="AA162" s="53">
        <f>Português!AA162</f>
        <v>0</v>
      </c>
      <c r="AB162" s="53">
        <f>Português!AB162</f>
        <v>0</v>
      </c>
      <c r="AC162" s="53">
        <f>Português!AC162</f>
        <v>0</v>
      </c>
      <c r="AD162" s="53">
        <f>Português!AD162</f>
        <v>0</v>
      </c>
      <c r="AE162" s="53">
        <f>Português!AE162</f>
        <v>0</v>
      </c>
      <c r="AF162" s="53">
        <f>Português!AF162</f>
        <v>0</v>
      </c>
      <c r="AG162" s="53">
        <f>Português!AG162</f>
        <v>0</v>
      </c>
      <c r="AH162" s="53">
        <f>Português!AH162</f>
        <v>0</v>
      </c>
      <c r="AI162" s="53">
        <f>Português!AI162</f>
        <v>0</v>
      </c>
      <c r="AJ162" s="53">
        <f>Português!AJ162</f>
        <v>0</v>
      </c>
      <c r="AK162" s="53">
        <f>Português!AK162</f>
        <v>0</v>
      </c>
      <c r="AL162" s="53">
        <f>Português!AL162</f>
        <v>0</v>
      </c>
      <c r="AM162" s="53">
        <f>Português!AM162</f>
        <v>0</v>
      </c>
      <c r="AN162" s="53">
        <f>Português!AN162</f>
        <v>0</v>
      </c>
      <c r="AO162" s="53">
        <f>Português!AO162</f>
        <v>0</v>
      </c>
      <c r="AP162" s="53">
        <f>Português!AP162</f>
        <v>0</v>
      </c>
      <c r="AQ162" s="53">
        <f>Português!AQ162</f>
        <v>0</v>
      </c>
      <c r="AR162" s="53">
        <f>Português!AR162</f>
        <v>0</v>
      </c>
      <c r="AS162" s="19"/>
      <c r="AT162" s="53">
        <f t="shared" si="95"/>
        <v>48.015999999999998</v>
      </c>
      <c r="AU162" s="53">
        <f t="shared" si="96"/>
        <v>0</v>
      </c>
      <c r="AV162" s="53">
        <f t="shared" si="97"/>
        <v>0</v>
      </c>
      <c r="AW162" s="53">
        <f t="shared" si="98"/>
        <v>0</v>
      </c>
      <c r="AX162" s="53">
        <f t="shared" si="99"/>
        <v>0</v>
      </c>
      <c r="AY162" s="53">
        <f t="shared" si="100"/>
        <v>0</v>
      </c>
      <c r="AZ162" s="53">
        <f t="shared" si="101"/>
        <v>0</v>
      </c>
      <c r="BA162" s="53">
        <f t="shared" si="90"/>
        <v>0</v>
      </c>
      <c r="BB162" s="53">
        <f t="shared" si="102"/>
        <v>0</v>
      </c>
      <c r="BC162" s="37"/>
    </row>
    <row r="163" spans="2:55" outlineLevel="1">
      <c r="B163" s="18" t="s">
        <v>513</v>
      </c>
      <c r="C163" s="1" t="s">
        <v>390</v>
      </c>
      <c r="H163" s="53">
        <f>Português!H163</f>
        <v>0</v>
      </c>
      <c r="I163" s="53">
        <f>Português!I163</f>
        <v>0</v>
      </c>
      <c r="J163" s="53">
        <f>Português!J163</f>
        <v>0</v>
      </c>
      <c r="K163" s="53">
        <f>Português!K163</f>
        <v>0</v>
      </c>
      <c r="L163" s="53">
        <f>Português!L163</f>
        <v>0</v>
      </c>
      <c r="M163" s="53">
        <f>Português!M163</f>
        <v>0</v>
      </c>
      <c r="N163" s="53">
        <f>Português!N163</f>
        <v>0</v>
      </c>
      <c r="O163" s="53">
        <f>Português!O163</f>
        <v>0</v>
      </c>
      <c r="P163" s="53">
        <f>Português!P163</f>
        <v>0</v>
      </c>
      <c r="Q163" s="53">
        <f>Português!Q163</f>
        <v>0</v>
      </c>
      <c r="R163" s="53">
        <f>Português!R163</f>
        <v>0</v>
      </c>
      <c r="S163" s="53">
        <f>Português!S163</f>
        <v>0</v>
      </c>
      <c r="T163" s="53">
        <f>Português!T163</f>
        <v>0</v>
      </c>
      <c r="U163" s="53">
        <f>Português!U163</f>
        <v>0</v>
      </c>
      <c r="V163" s="53">
        <f>Português!V163</f>
        <v>0</v>
      </c>
      <c r="W163" s="53">
        <f>Português!W163</f>
        <v>0</v>
      </c>
      <c r="X163" s="53">
        <f>Português!X163</f>
        <v>0</v>
      </c>
      <c r="Y163" s="53">
        <f>Português!Y163</f>
        <v>0</v>
      </c>
      <c r="Z163" s="53">
        <f>Português!Z163</f>
        <v>0</v>
      </c>
      <c r="AA163" s="53">
        <f>Português!AA163</f>
        <v>0</v>
      </c>
      <c r="AB163" s="53">
        <f>Português!AB163</f>
        <v>0</v>
      </c>
      <c r="AC163" s="53">
        <f>Português!AC163</f>
        <v>0</v>
      </c>
      <c r="AD163" s="53">
        <f>Português!AD163</f>
        <v>0</v>
      </c>
      <c r="AE163" s="53">
        <f>Português!AE163</f>
        <v>0</v>
      </c>
      <c r="AF163" s="53">
        <f>Português!AF163</f>
        <v>0</v>
      </c>
      <c r="AG163" s="53">
        <f>Português!AG163</f>
        <v>0</v>
      </c>
      <c r="AH163" s="53">
        <f>Português!AH163</f>
        <v>0</v>
      </c>
      <c r="AI163" s="53">
        <f>Português!AI163</f>
        <v>0</v>
      </c>
      <c r="AJ163" s="53">
        <f>Português!AJ163</f>
        <v>0</v>
      </c>
      <c r="AK163" s="53">
        <f>Português!AK163</f>
        <v>0</v>
      </c>
      <c r="AL163" s="53">
        <f>Português!AL163</f>
        <v>0</v>
      </c>
      <c r="AM163" s="53">
        <f>Português!AM163</f>
        <v>0</v>
      </c>
      <c r="AN163" s="53">
        <f>Português!AN163</f>
        <v>0</v>
      </c>
      <c r="AO163" s="53">
        <f>Português!AO163</f>
        <v>0</v>
      </c>
      <c r="AP163" s="53">
        <f>Português!AP163</f>
        <v>0</v>
      </c>
      <c r="AQ163" s="53">
        <f>Português!AQ163</f>
        <v>0</v>
      </c>
      <c r="AR163" s="53">
        <f>Português!AR163</f>
        <v>0</v>
      </c>
      <c r="AS163" s="19"/>
      <c r="AT163" s="53">
        <f t="shared" si="95"/>
        <v>0</v>
      </c>
      <c r="AU163" s="53">
        <f t="shared" si="96"/>
        <v>0</v>
      </c>
      <c r="AV163" s="53">
        <f t="shared" si="97"/>
        <v>0</v>
      </c>
      <c r="AW163" s="53">
        <f t="shared" si="98"/>
        <v>0</v>
      </c>
      <c r="AX163" s="53">
        <f t="shared" si="99"/>
        <v>0</v>
      </c>
      <c r="AY163" s="53">
        <f t="shared" si="100"/>
        <v>0</v>
      </c>
      <c r="AZ163" s="53">
        <f t="shared" si="101"/>
        <v>0</v>
      </c>
      <c r="BA163" s="53">
        <f t="shared" si="90"/>
        <v>0</v>
      </c>
      <c r="BB163" s="53">
        <f t="shared" si="102"/>
        <v>0</v>
      </c>
      <c r="BC163" s="37"/>
    </row>
    <row r="164" spans="2:55" outlineLevel="1">
      <c r="B164" s="18" t="s">
        <v>514</v>
      </c>
      <c r="C164" s="1" t="s">
        <v>390</v>
      </c>
      <c r="H164" s="53">
        <f>Português!H164</f>
        <v>11.831</v>
      </c>
      <c r="I164" s="53">
        <f>Português!I164</f>
        <v>0</v>
      </c>
      <c r="J164" s="53">
        <f>Português!J164</f>
        <v>0</v>
      </c>
      <c r="K164" s="53">
        <f>Português!K164</f>
        <v>0</v>
      </c>
      <c r="L164" s="53">
        <f>Português!L164</f>
        <v>0</v>
      </c>
      <c r="M164" s="53">
        <f>Português!M164</f>
        <v>0</v>
      </c>
      <c r="N164" s="53">
        <f>Português!N164</f>
        <v>0</v>
      </c>
      <c r="O164" s="53">
        <f>Português!O164</f>
        <v>0</v>
      </c>
      <c r="P164" s="53">
        <f>Português!P164</f>
        <v>0</v>
      </c>
      <c r="Q164" s="53">
        <f>Português!Q164</f>
        <v>0</v>
      </c>
      <c r="R164" s="53">
        <f>Português!R164</f>
        <v>0</v>
      </c>
      <c r="S164" s="53">
        <f>Português!S164</f>
        <v>0</v>
      </c>
      <c r="T164" s="53">
        <f>Português!T164</f>
        <v>0</v>
      </c>
      <c r="U164" s="53">
        <f>Português!U164</f>
        <v>0</v>
      </c>
      <c r="V164" s="53">
        <f>Português!V164</f>
        <v>0</v>
      </c>
      <c r="W164" s="53">
        <f>Português!W164</f>
        <v>0</v>
      </c>
      <c r="X164" s="53">
        <f>Português!X164</f>
        <v>0</v>
      </c>
      <c r="Y164" s="53">
        <f>Português!Y164</f>
        <v>0</v>
      </c>
      <c r="Z164" s="53">
        <f>Português!Z164</f>
        <v>0</v>
      </c>
      <c r="AA164" s="53">
        <f>Português!AA164</f>
        <v>0</v>
      </c>
      <c r="AB164" s="53">
        <f>Português!AB164</f>
        <v>0</v>
      </c>
      <c r="AC164" s="53">
        <f>Português!AC164</f>
        <v>0</v>
      </c>
      <c r="AD164" s="53">
        <f>Português!AD164</f>
        <v>0</v>
      </c>
      <c r="AE164" s="53">
        <f>Português!AE164</f>
        <v>0</v>
      </c>
      <c r="AF164" s="53">
        <f>Português!AF164</f>
        <v>0</v>
      </c>
      <c r="AG164" s="53">
        <f>Português!AG164</f>
        <v>0</v>
      </c>
      <c r="AH164" s="53">
        <f>Português!AH164</f>
        <v>0</v>
      </c>
      <c r="AI164" s="53">
        <f>Português!AI164</f>
        <v>0</v>
      </c>
      <c r="AJ164" s="53">
        <f>Português!AJ164</f>
        <v>0</v>
      </c>
      <c r="AK164" s="53">
        <f>Português!AK164</f>
        <v>0</v>
      </c>
      <c r="AL164" s="53">
        <f>Português!AL164</f>
        <v>0</v>
      </c>
      <c r="AM164" s="53">
        <f>Português!AM164</f>
        <v>0</v>
      </c>
      <c r="AN164" s="53">
        <f>Português!AN164</f>
        <v>0</v>
      </c>
      <c r="AO164" s="53">
        <f>Português!AO164</f>
        <v>0</v>
      </c>
      <c r="AP164" s="53">
        <f>Português!AP164</f>
        <v>0</v>
      </c>
      <c r="AQ164" s="53">
        <f>Português!AQ164</f>
        <v>0</v>
      </c>
      <c r="AR164" s="53">
        <f>Português!AR164</f>
        <v>0</v>
      </c>
      <c r="AS164" s="19"/>
      <c r="AT164" s="53">
        <f t="shared" si="95"/>
        <v>0</v>
      </c>
      <c r="AU164" s="53">
        <f t="shared" si="96"/>
        <v>0</v>
      </c>
      <c r="AV164" s="53">
        <f t="shared" si="97"/>
        <v>0</v>
      </c>
      <c r="AW164" s="53">
        <f t="shared" si="98"/>
        <v>0</v>
      </c>
      <c r="AX164" s="53">
        <f t="shared" si="99"/>
        <v>0</v>
      </c>
      <c r="AY164" s="53">
        <f t="shared" si="100"/>
        <v>0</v>
      </c>
      <c r="AZ164" s="53">
        <f t="shared" si="101"/>
        <v>0</v>
      </c>
      <c r="BA164" s="53">
        <f t="shared" si="90"/>
        <v>0</v>
      </c>
      <c r="BB164" s="53">
        <f t="shared" si="102"/>
        <v>0</v>
      </c>
      <c r="BC164" s="37"/>
    </row>
    <row r="165" spans="2:55" outlineLevel="1">
      <c r="B165" s="18" t="s">
        <v>481</v>
      </c>
      <c r="C165" s="1" t="s">
        <v>390</v>
      </c>
      <c r="H165" s="53">
        <f>Português!H165</f>
        <v>0</v>
      </c>
      <c r="I165" s="53">
        <f>Português!I165</f>
        <v>0</v>
      </c>
      <c r="J165" s="53">
        <f>Português!J165</f>
        <v>0</v>
      </c>
      <c r="K165" s="53">
        <f>Português!K165</f>
        <v>0</v>
      </c>
      <c r="L165" s="53">
        <f>Português!L165</f>
        <v>0</v>
      </c>
      <c r="M165" s="53">
        <f>Português!M165</f>
        <v>0</v>
      </c>
      <c r="N165" s="53">
        <f>Português!N165</f>
        <v>0</v>
      </c>
      <c r="O165" s="53">
        <f>Português!O165</f>
        <v>0</v>
      </c>
      <c r="P165" s="53">
        <f>Português!P165</f>
        <v>0</v>
      </c>
      <c r="Q165" s="53">
        <f>Português!Q165</f>
        <v>0</v>
      </c>
      <c r="R165" s="53">
        <f>Português!R165</f>
        <v>0</v>
      </c>
      <c r="S165" s="53">
        <f>Português!S165</f>
        <v>0</v>
      </c>
      <c r="T165" s="53">
        <f>Português!T165</f>
        <v>0</v>
      </c>
      <c r="U165" s="53">
        <f>Português!U165</f>
        <v>0</v>
      </c>
      <c r="V165" s="53">
        <f>Português!V165</f>
        <v>0</v>
      </c>
      <c r="W165" s="53">
        <f>Português!W165</f>
        <v>0</v>
      </c>
      <c r="X165" s="53">
        <f>Português!X165</f>
        <v>0</v>
      </c>
      <c r="Y165" s="53">
        <f>Português!Y165</f>
        <v>0</v>
      </c>
      <c r="Z165" s="53">
        <f>Português!Z165</f>
        <v>0</v>
      </c>
      <c r="AA165" s="53">
        <f>Português!AA165</f>
        <v>18.289000000000001</v>
      </c>
      <c r="AB165" s="53">
        <f>Português!AB165</f>
        <v>29.844000000000001</v>
      </c>
      <c r="AC165" s="53">
        <f>Português!AC165</f>
        <v>22.707000000000001</v>
      </c>
      <c r="AD165" s="53">
        <f>Português!AD165</f>
        <v>49.25</v>
      </c>
      <c r="AE165" s="53">
        <f>Português!AE165</f>
        <v>42.183999999999997</v>
      </c>
      <c r="AF165" s="53">
        <f>Português!AF165</f>
        <v>34.604999999999997</v>
      </c>
      <c r="AG165" s="53">
        <f>Português!AG165</f>
        <v>30.11</v>
      </c>
      <c r="AH165" s="53">
        <f>Português!AH165</f>
        <v>59.447000000000003</v>
      </c>
      <c r="AI165" s="53">
        <f>Português!AI165</f>
        <v>24.1</v>
      </c>
      <c r="AJ165" s="53">
        <f>Português!AJ165</f>
        <v>12.997999999999999</v>
      </c>
      <c r="AK165" s="53">
        <f>Português!AK165</f>
        <v>0</v>
      </c>
      <c r="AL165" s="53">
        <f>Português!AL165</f>
        <v>11.878</v>
      </c>
      <c r="AM165" s="53">
        <f>Português!AM165</f>
        <v>0</v>
      </c>
      <c r="AN165" s="53">
        <f>Português!AN165</f>
        <v>2.6739999999999999</v>
      </c>
      <c r="AO165" s="53">
        <f>Português!AO165</f>
        <v>18.536999999999999</v>
      </c>
      <c r="AP165" s="53">
        <f>Português!AP165</f>
        <v>18.594000000000001</v>
      </c>
      <c r="AQ165" s="53">
        <f>Português!AQ165</f>
        <v>16.855</v>
      </c>
      <c r="AR165" s="53">
        <f>Português!AR165</f>
        <v>26.033999999999999</v>
      </c>
      <c r="AS165" s="19"/>
      <c r="AT165" s="53">
        <f t="shared" si="95"/>
        <v>0</v>
      </c>
      <c r="AU165" s="53">
        <f t="shared" si="96"/>
        <v>0</v>
      </c>
      <c r="AV165" s="53">
        <f t="shared" si="97"/>
        <v>0</v>
      </c>
      <c r="AW165" s="53">
        <f t="shared" si="98"/>
        <v>0</v>
      </c>
      <c r="AX165" s="53">
        <f t="shared" si="99"/>
        <v>18.289000000000001</v>
      </c>
      <c r="AY165" s="53">
        <f t="shared" si="100"/>
        <v>42.183999999999997</v>
      </c>
      <c r="AZ165" s="53">
        <f t="shared" si="101"/>
        <v>24.1</v>
      </c>
      <c r="BA165" s="53">
        <f t="shared" si="90"/>
        <v>0</v>
      </c>
      <c r="BB165" s="53">
        <f t="shared" si="102"/>
        <v>16.855</v>
      </c>
      <c r="BC165" s="37"/>
    </row>
    <row r="166" spans="2:55" outlineLevel="1">
      <c r="B166" s="18" t="s">
        <v>508</v>
      </c>
      <c r="C166" s="1" t="s">
        <v>390</v>
      </c>
      <c r="H166" s="53">
        <f>Português!H166</f>
        <v>7.8230000000000004</v>
      </c>
      <c r="I166" s="53">
        <f>Português!I166</f>
        <v>14</v>
      </c>
      <c r="J166" s="53">
        <f>Português!J166</f>
        <v>8.5609999999999999</v>
      </c>
      <c r="K166" s="53">
        <f>Português!K166</f>
        <v>5.6959999999999997</v>
      </c>
      <c r="L166" s="53">
        <f>Português!L166</f>
        <v>4.9859999999999998</v>
      </c>
      <c r="M166" s="53">
        <f>Português!M166</f>
        <v>7.8</v>
      </c>
      <c r="N166" s="53">
        <f>Português!N166</f>
        <v>8.5239999999999991</v>
      </c>
      <c r="O166" s="53">
        <f>Português!O166</f>
        <v>7.915</v>
      </c>
      <c r="P166" s="53">
        <f>Português!P166</f>
        <v>7.3049999999999997</v>
      </c>
      <c r="Q166" s="53">
        <f>Português!Q166</f>
        <v>6.6959999999999997</v>
      </c>
      <c r="R166" s="53">
        <f>Português!R166</f>
        <v>12.54</v>
      </c>
      <c r="S166" s="53">
        <f>Português!S166</f>
        <v>44.218000000000004</v>
      </c>
      <c r="T166" s="53">
        <f>Português!T166</f>
        <v>89.635000000000005</v>
      </c>
      <c r="U166" s="53">
        <f>Português!U166</f>
        <v>95.278999999999996</v>
      </c>
      <c r="V166" s="53">
        <f>Português!V166</f>
        <v>95.119</v>
      </c>
      <c r="W166" s="53">
        <f>Português!W166</f>
        <v>101.364</v>
      </c>
      <c r="X166" s="53">
        <f>Português!X166</f>
        <v>76.135999999999996</v>
      </c>
      <c r="Y166" s="53">
        <f>Português!Y166</f>
        <v>432.435</v>
      </c>
      <c r="Z166" s="53">
        <f>Português!Z166</f>
        <v>454.923</v>
      </c>
      <c r="AA166" s="53">
        <f>Português!AA166</f>
        <v>881.11400000000003</v>
      </c>
      <c r="AB166" s="53">
        <f>Português!AB166</f>
        <v>1955.7550000000001</v>
      </c>
      <c r="AC166" s="53">
        <f>Português!AC166</f>
        <v>1291.171</v>
      </c>
      <c r="AD166" s="53">
        <f>Português!AD166</f>
        <v>823.53300000000002</v>
      </c>
      <c r="AE166" s="53">
        <f>Português!AE166</f>
        <v>1544.731</v>
      </c>
      <c r="AF166" s="53">
        <f>Português!AF166</f>
        <v>1463.107</v>
      </c>
      <c r="AG166" s="53">
        <f>Português!AG166</f>
        <v>1545.1130000000001</v>
      </c>
      <c r="AH166" s="53">
        <f>Português!AH166</f>
        <v>1614.5940000000001</v>
      </c>
      <c r="AI166" s="53">
        <f>Português!AI166</f>
        <v>1572.117</v>
      </c>
      <c r="AJ166" s="53">
        <f>Português!AJ166</f>
        <v>1586.278</v>
      </c>
      <c r="AK166" s="53">
        <f>Português!AK166</f>
        <v>1184.8129999999999</v>
      </c>
      <c r="AL166" s="53">
        <f>Português!AL166</f>
        <v>1093.425</v>
      </c>
      <c r="AM166" s="53">
        <f>Português!AM166</f>
        <v>1232.8009999999999</v>
      </c>
      <c r="AN166" s="53">
        <f>Português!AN166</f>
        <v>1267.1659999999999</v>
      </c>
      <c r="AO166" s="53">
        <f>Português!AO166</f>
        <v>1054.9960000000001</v>
      </c>
      <c r="AP166" s="53">
        <f>Português!AP166</f>
        <v>877.73900000000003</v>
      </c>
      <c r="AQ166" s="53">
        <f>Português!AQ166</f>
        <v>574.32299999999998</v>
      </c>
      <c r="AR166" s="53">
        <f>Português!AR166</f>
        <v>386.61599999999999</v>
      </c>
      <c r="AS166" s="19"/>
      <c r="AT166" s="53">
        <f t="shared" si="95"/>
        <v>5.6959999999999997</v>
      </c>
      <c r="AU166" s="53">
        <f t="shared" si="96"/>
        <v>7.915</v>
      </c>
      <c r="AV166" s="53">
        <f t="shared" si="97"/>
        <v>44.218000000000004</v>
      </c>
      <c r="AW166" s="53">
        <f t="shared" si="98"/>
        <v>101.364</v>
      </c>
      <c r="AX166" s="55">
        <f t="shared" si="99"/>
        <v>881.11400000000003</v>
      </c>
      <c r="AY166" s="53">
        <f t="shared" si="100"/>
        <v>1544.731</v>
      </c>
      <c r="AZ166" s="53">
        <f t="shared" si="101"/>
        <v>1572.117</v>
      </c>
      <c r="BA166" s="53">
        <f t="shared" si="90"/>
        <v>1232.8009999999999</v>
      </c>
      <c r="BB166" s="53">
        <f t="shared" si="102"/>
        <v>574.32299999999998</v>
      </c>
      <c r="BC166" s="37"/>
    </row>
    <row r="167" spans="2:55" ht="13.5" outlineLevel="1">
      <c r="B167" s="56" t="s">
        <v>515</v>
      </c>
      <c r="C167" s="10" t="s">
        <v>390</v>
      </c>
      <c r="D167" s="109"/>
      <c r="E167" s="109"/>
      <c r="F167" s="109"/>
      <c r="G167" s="109"/>
      <c r="H167" s="57">
        <f>SUM(H176:H177)</f>
        <v>664.33600000000001</v>
      </c>
      <c r="I167" s="57">
        <f>SUM(I176:I177)</f>
        <v>813.49599999999998</v>
      </c>
      <c r="J167" s="57">
        <f>SUM(J176:J177)</f>
        <v>960.40499999999997</v>
      </c>
      <c r="K167" s="57">
        <f t="shared" ref="K167:AP167" si="103">SUM(K176:K177)</f>
        <v>472.00300000000004</v>
      </c>
      <c r="L167" s="57">
        <f t="shared" si="103"/>
        <v>685.65500000000009</v>
      </c>
      <c r="M167" s="57">
        <f t="shared" si="103"/>
        <v>3365.5</v>
      </c>
      <c r="N167" s="57">
        <f t="shared" si="103"/>
        <v>3555.8510000000001</v>
      </c>
      <c r="O167" s="57">
        <f t="shared" si="103"/>
        <v>3605.855</v>
      </c>
      <c r="P167" s="57">
        <f t="shared" si="103"/>
        <v>3820.2489999999998</v>
      </c>
      <c r="Q167" s="57">
        <f t="shared" si="103"/>
        <v>3929.1829999999995</v>
      </c>
      <c r="R167" s="57">
        <f t="shared" si="103"/>
        <v>6707.5329999999994</v>
      </c>
      <c r="S167" s="57">
        <f t="shared" si="103"/>
        <v>7261.8849999999993</v>
      </c>
      <c r="T167" s="57">
        <f t="shared" si="103"/>
        <v>7426.436999999999</v>
      </c>
      <c r="U167" s="57">
        <f>SUM(U176:U177)</f>
        <v>7705.3619999999983</v>
      </c>
      <c r="V167" s="57">
        <f t="shared" si="103"/>
        <v>7842.4409999999998</v>
      </c>
      <c r="W167" s="57">
        <f t="shared" si="103"/>
        <v>7830.9869999999992</v>
      </c>
      <c r="X167" s="57">
        <f t="shared" si="103"/>
        <v>7982.8159999999998</v>
      </c>
      <c r="Y167" s="57">
        <f t="shared" si="103"/>
        <v>10665.408999999998</v>
      </c>
      <c r="Z167" s="57">
        <f t="shared" si="103"/>
        <v>10619.921</v>
      </c>
      <c r="AA167" s="57">
        <f t="shared" si="103"/>
        <v>10572.994000000001</v>
      </c>
      <c r="AB167" s="57">
        <f t="shared" si="103"/>
        <v>49147.770000000004</v>
      </c>
      <c r="AC167" s="57">
        <f t="shared" si="103"/>
        <v>48908.155999999995</v>
      </c>
      <c r="AD167" s="57">
        <f t="shared" si="103"/>
        <v>49057.620999999999</v>
      </c>
      <c r="AE167" s="57">
        <f t="shared" si="103"/>
        <v>48756.710999999996</v>
      </c>
      <c r="AF167" s="57">
        <f t="shared" si="103"/>
        <v>48464.297999999995</v>
      </c>
      <c r="AG167" s="57">
        <f t="shared" si="103"/>
        <v>49340.722999999998</v>
      </c>
      <c r="AH167" s="57">
        <f t="shared" si="103"/>
        <v>49123.078000000001</v>
      </c>
      <c r="AI167" s="57">
        <f t="shared" si="103"/>
        <v>48813.563999999991</v>
      </c>
      <c r="AJ167" s="57">
        <f t="shared" si="103"/>
        <v>48751.771000000001</v>
      </c>
      <c r="AK167" s="57">
        <f t="shared" si="103"/>
        <v>48805.170999999995</v>
      </c>
      <c r="AL167" s="57">
        <f t="shared" si="103"/>
        <v>48748.578999999998</v>
      </c>
      <c r="AM167" s="57">
        <f t="shared" si="103"/>
        <v>48727.210999999988</v>
      </c>
      <c r="AN167" s="57">
        <f t="shared" si="103"/>
        <v>48784.619999999988</v>
      </c>
      <c r="AO167" s="57">
        <f t="shared" si="103"/>
        <v>48620.187999999995</v>
      </c>
      <c r="AP167" s="57">
        <f t="shared" si="103"/>
        <v>48552.388999999996</v>
      </c>
      <c r="AQ167" s="57">
        <f>SUM(AQ176:AQ177)</f>
        <v>48205.123999999989</v>
      </c>
      <c r="AR167" s="57">
        <f>SUM(AR176:AR177)</f>
        <v>48054.979999999996</v>
      </c>
      <c r="AS167" s="19"/>
      <c r="AT167" s="57">
        <f t="shared" ref="AT167:AY167" si="104">SUM(AT176:AT177)</f>
        <v>472.00300000000004</v>
      </c>
      <c r="AU167" s="57">
        <f t="shared" si="104"/>
        <v>3605.855</v>
      </c>
      <c r="AV167" s="57">
        <f t="shared" si="104"/>
        <v>7261.8849999999993</v>
      </c>
      <c r="AW167" s="57">
        <f t="shared" si="104"/>
        <v>7830.9869999999992</v>
      </c>
      <c r="AX167" s="57">
        <f t="shared" si="104"/>
        <v>10572.994000000001</v>
      </c>
      <c r="AY167" s="57">
        <f t="shared" si="104"/>
        <v>48756.710999999996</v>
      </c>
      <c r="AZ167" s="57">
        <f>SUM(AZ176:AZ177)</f>
        <v>48813.563999999991</v>
      </c>
      <c r="BA167" s="57">
        <f>SUM(BA176:BA177)</f>
        <v>48727.210999999988</v>
      </c>
      <c r="BB167" s="57">
        <f>SUM(BB176:BB177)</f>
        <v>48205.123999999989</v>
      </c>
      <c r="BC167" s="37"/>
    </row>
    <row r="168" spans="2:55" outlineLevel="1">
      <c r="B168" s="78" t="s">
        <v>516</v>
      </c>
      <c r="C168" s="1" t="s">
        <v>390</v>
      </c>
      <c r="H168" s="53">
        <f>Português!H168</f>
        <v>280</v>
      </c>
      <c r="I168" s="53">
        <f>Português!I168</f>
        <v>280</v>
      </c>
      <c r="J168" s="53">
        <f>Português!J168</f>
        <v>280</v>
      </c>
      <c r="K168" s="53">
        <f>Português!K168</f>
        <v>280</v>
      </c>
      <c r="L168" s="53">
        <f>Português!L168</f>
        <v>280</v>
      </c>
      <c r="M168" s="53">
        <f>Português!M168</f>
        <v>2810</v>
      </c>
      <c r="N168" s="53">
        <f>Português!N168</f>
        <v>2810.2190000000001</v>
      </c>
      <c r="O168" s="53">
        <f>Português!O168</f>
        <v>2810.2190000000001</v>
      </c>
      <c r="P168" s="53">
        <f>Português!P168</f>
        <v>2810.2190000000001</v>
      </c>
      <c r="Q168" s="53">
        <f>Português!Q168</f>
        <v>2810.2190000000001</v>
      </c>
      <c r="R168" s="53">
        <f>Português!R168</f>
        <v>5400.2420000000002</v>
      </c>
      <c r="S168" s="53">
        <f>Português!S168</f>
        <v>5650.5259999999998</v>
      </c>
      <c r="T168" s="53">
        <f>Português!T168</f>
        <v>5650.5259999999998</v>
      </c>
      <c r="U168" s="53">
        <f>Português!U168</f>
        <v>5650.5259999999998</v>
      </c>
      <c r="V168" s="53">
        <f>Português!V168</f>
        <v>5650.5259999999998</v>
      </c>
      <c r="W168" s="53">
        <f>Português!W168</f>
        <v>5650.5259999999998</v>
      </c>
      <c r="X168" s="53">
        <f>Português!X168</f>
        <v>5650.5259999999998</v>
      </c>
      <c r="Y168" s="53">
        <f>Português!Y168</f>
        <v>8124.26</v>
      </c>
      <c r="Z168" s="53">
        <f>Português!Z168</f>
        <v>8124.1850000000004</v>
      </c>
      <c r="AA168" s="53">
        <f>Português!AA168</f>
        <v>8124.1850000000004</v>
      </c>
      <c r="AB168" s="53">
        <f>Português!AB168</f>
        <v>37821.764999999999</v>
      </c>
      <c r="AC168" s="53">
        <f>Português!AC168</f>
        <v>37821.764999999999</v>
      </c>
      <c r="AD168" s="53">
        <f>Português!AD168</f>
        <v>37821.764999999999</v>
      </c>
      <c r="AE168" s="53">
        <f>Português!AE168</f>
        <v>37833.968999999997</v>
      </c>
      <c r="AF168" s="53">
        <f>Português!AF168</f>
        <v>37833.968999999997</v>
      </c>
      <c r="AG168" s="53">
        <f>Português!AG168</f>
        <v>38868.379999999997</v>
      </c>
      <c r="AH168" s="53">
        <f>Português!AH168</f>
        <v>38866.199000000001</v>
      </c>
      <c r="AI168" s="53">
        <f>Português!AI168</f>
        <v>38866.199000000001</v>
      </c>
      <c r="AJ168" s="53">
        <f>Português!AJ168</f>
        <v>38866.199000000001</v>
      </c>
      <c r="AK168" s="53">
        <f>Português!AK168</f>
        <v>38866.199000000001</v>
      </c>
      <c r="AL168" s="53">
        <f>Português!AL168</f>
        <v>38866.199000000001</v>
      </c>
      <c r="AM168" s="53">
        <f>Português!AM168</f>
        <v>38866.199000000001</v>
      </c>
      <c r="AN168" s="53">
        <f>Português!AN168</f>
        <v>38866.199000000001</v>
      </c>
      <c r="AO168" s="53">
        <f>Português!AO168</f>
        <v>38866.199000000001</v>
      </c>
      <c r="AP168" s="53">
        <f>Português!AP168</f>
        <v>38866.332999999999</v>
      </c>
      <c r="AQ168" s="53">
        <f>Português!AQ168</f>
        <v>38866.332999999999</v>
      </c>
      <c r="AR168" s="53">
        <f>Português!AR168</f>
        <v>38866.332999999999</v>
      </c>
      <c r="AS168" s="19"/>
      <c r="AT168" s="53">
        <f t="shared" ref="AT168:AT175" si="105">K168</f>
        <v>280</v>
      </c>
      <c r="AU168" s="53">
        <f t="shared" ref="AU168:AU175" si="106">O168</f>
        <v>2810.2190000000001</v>
      </c>
      <c r="AV168" s="53">
        <f t="shared" ref="AV168:AV175" si="107">S168</f>
        <v>5650.5259999999998</v>
      </c>
      <c r="AW168" s="53">
        <f t="shared" ref="AW168:AW175" si="108">W168</f>
        <v>5650.5259999999998</v>
      </c>
      <c r="AX168" s="53">
        <f t="shared" ref="AX168:AX177" si="109">AA168</f>
        <v>8124.1850000000004</v>
      </c>
      <c r="AY168" s="53">
        <f t="shared" ref="AY168:AY177" si="110">AE168</f>
        <v>37833.968999999997</v>
      </c>
      <c r="AZ168" s="53">
        <f t="shared" ref="AZ168:AZ177" si="111">AI168</f>
        <v>38866.199000000001</v>
      </c>
      <c r="BA168" s="53">
        <f t="shared" si="90"/>
        <v>38866.199000000001</v>
      </c>
      <c r="BB168" s="53">
        <f t="shared" ref="BB168:BB177" si="112">AQ168</f>
        <v>38866.332999999999</v>
      </c>
      <c r="BC168" s="37"/>
    </row>
    <row r="169" spans="2:55" outlineLevel="1">
      <c r="B169" s="78" t="s">
        <v>517</v>
      </c>
      <c r="C169" s="1" t="s">
        <v>390</v>
      </c>
      <c r="H169" s="53">
        <f>Português!H169</f>
        <v>0</v>
      </c>
      <c r="I169" s="53">
        <f>Português!I169</f>
        <v>0</v>
      </c>
      <c r="J169" s="53">
        <f>Português!J169</f>
        <v>0</v>
      </c>
      <c r="K169" s="53">
        <f>Português!K169</f>
        <v>0</v>
      </c>
      <c r="L169" s="53">
        <f>Português!L169</f>
        <v>0</v>
      </c>
      <c r="M169" s="53">
        <f>Português!M169</f>
        <v>0</v>
      </c>
      <c r="N169" s="53">
        <f>Português!N169</f>
        <v>0</v>
      </c>
      <c r="O169" s="53">
        <f>Português!O169</f>
        <v>0</v>
      </c>
      <c r="P169" s="53">
        <f>Português!P169</f>
        <v>0</v>
      </c>
      <c r="Q169" s="53">
        <f>Português!Q169</f>
        <v>0</v>
      </c>
      <c r="R169" s="53">
        <f>Português!R169</f>
        <v>0</v>
      </c>
      <c r="S169" s="53">
        <f>Português!S169</f>
        <v>-2E-3</v>
      </c>
      <c r="T169" s="53">
        <f>Português!T169</f>
        <v>-2E-3</v>
      </c>
      <c r="U169" s="53">
        <f>Português!U169</f>
        <v>-2E-3</v>
      </c>
      <c r="V169" s="53">
        <f>Português!V169</f>
        <v>-2E-3</v>
      </c>
      <c r="W169" s="53">
        <f>Português!W169</f>
        <v>-2E-3</v>
      </c>
      <c r="X169" s="53">
        <f>Português!X169</f>
        <v>-2E-3</v>
      </c>
      <c r="Y169" s="53">
        <f>Português!Y169</f>
        <v>-2E-3</v>
      </c>
      <c r="Z169" s="53">
        <f>Português!Z169</f>
        <v>-73.998000000000005</v>
      </c>
      <c r="AA169" s="53">
        <f>Português!AA169</f>
        <v>-299.82600000000002</v>
      </c>
      <c r="AB169" s="53">
        <f>Português!AB169</f>
        <v>-329.10599999999999</v>
      </c>
      <c r="AC169" s="53">
        <f>Português!AC169</f>
        <v>-329.10599999999999</v>
      </c>
      <c r="AD169" s="53">
        <f>Português!AD169</f>
        <v>-329.10599999999999</v>
      </c>
      <c r="AE169" s="53">
        <f>Português!AE169</f>
        <v>-427.77600000000001</v>
      </c>
      <c r="AF169" s="53">
        <f>Português!AF169</f>
        <v>-425.56700000000001</v>
      </c>
      <c r="AG169" s="53">
        <f>Português!AG169</f>
        <v>-425.56700000000001</v>
      </c>
      <c r="AH169" s="53">
        <f>Português!AH169</f>
        <v>-451.96699999999998</v>
      </c>
      <c r="AI169" s="53">
        <f>Português!AI169</f>
        <v>-451.96699999999998</v>
      </c>
      <c r="AJ169" s="53">
        <f>Português!AJ169</f>
        <v>-424.435</v>
      </c>
      <c r="AK169" s="53">
        <f>Português!AK169</f>
        <v>-423.09899999999999</v>
      </c>
      <c r="AL169" s="53">
        <f>Português!AL169</f>
        <v>-423.09899999999999</v>
      </c>
      <c r="AM169" s="53">
        <f>Português!AM169</f>
        <v>-623.18799999999999</v>
      </c>
      <c r="AN169" s="53">
        <f>Português!AN169</f>
        <v>-623.47400000000005</v>
      </c>
      <c r="AO169" s="53">
        <f>Português!AO169</f>
        <v>-585.101</v>
      </c>
      <c r="AP169" s="53">
        <f>Português!AP169</f>
        <v>-577.35</v>
      </c>
      <c r="AQ169" s="53">
        <f>Português!AQ169</f>
        <v>-961.42499999999995</v>
      </c>
      <c r="AR169" s="53">
        <f>Português!AR169</f>
        <v>-941.80700000000002</v>
      </c>
      <c r="AS169" s="19"/>
      <c r="AT169" s="53">
        <f t="shared" si="105"/>
        <v>0</v>
      </c>
      <c r="AU169" s="53">
        <f t="shared" si="106"/>
        <v>0</v>
      </c>
      <c r="AV169" s="53">
        <f t="shared" si="107"/>
        <v>-2E-3</v>
      </c>
      <c r="AW169" s="53">
        <f t="shared" si="108"/>
        <v>-2E-3</v>
      </c>
      <c r="AX169" s="53">
        <f t="shared" si="109"/>
        <v>-299.82600000000002</v>
      </c>
      <c r="AY169" s="53">
        <f t="shared" si="110"/>
        <v>-427.77600000000001</v>
      </c>
      <c r="AZ169" s="53">
        <f t="shared" si="111"/>
        <v>-451.96699999999998</v>
      </c>
      <c r="BA169" s="53">
        <f t="shared" si="90"/>
        <v>-623.18799999999999</v>
      </c>
      <c r="BB169" s="53">
        <f t="shared" si="112"/>
        <v>-961.42499999999995</v>
      </c>
      <c r="BC169" s="37"/>
    </row>
    <row r="170" spans="2:55" outlineLevel="1">
      <c r="B170" s="78" t="s">
        <v>518</v>
      </c>
      <c r="C170" s="1" t="s">
        <v>390</v>
      </c>
      <c r="H170" s="53">
        <f>Português!H170</f>
        <v>23.027999999999999</v>
      </c>
      <c r="I170" s="53">
        <f>Português!I170</f>
        <v>23.027999999999999</v>
      </c>
      <c r="J170" s="53">
        <f>Português!J170</f>
        <v>23.027999999999999</v>
      </c>
      <c r="K170" s="53">
        <f>Português!K170</f>
        <v>55.558</v>
      </c>
      <c r="L170" s="53">
        <f>Português!L170</f>
        <v>55.558</v>
      </c>
      <c r="M170" s="53">
        <f>Português!M170</f>
        <v>55.6</v>
      </c>
      <c r="N170" s="53">
        <f>Português!N170</f>
        <v>55.558</v>
      </c>
      <c r="O170" s="53">
        <f>Português!O170</f>
        <v>94.932000000000002</v>
      </c>
      <c r="P170" s="53">
        <f>Português!P170</f>
        <v>94.932000000000002</v>
      </c>
      <c r="Q170" s="53">
        <f>Português!Q170</f>
        <v>94.932000000000002</v>
      </c>
      <c r="R170" s="53">
        <f>Português!R170</f>
        <v>94.932000000000002</v>
      </c>
      <c r="S170" s="53">
        <f>Português!S170</f>
        <v>137.423</v>
      </c>
      <c r="T170" s="53">
        <f>Português!T170</f>
        <v>137.423</v>
      </c>
      <c r="U170" s="53">
        <f>Português!U170</f>
        <v>137.423</v>
      </c>
      <c r="V170" s="53">
        <f>Português!V170</f>
        <v>137.423</v>
      </c>
      <c r="W170" s="53">
        <f>Português!W170</f>
        <v>176.596</v>
      </c>
      <c r="X170" s="53">
        <f>Português!X170</f>
        <v>176.596</v>
      </c>
      <c r="Y170" s="53">
        <f>Português!Y170</f>
        <v>176.596</v>
      </c>
      <c r="Z170" s="53">
        <f>Português!Z170</f>
        <v>176.596</v>
      </c>
      <c r="AA170" s="53">
        <f>Português!AA170</f>
        <v>201.48599999999999</v>
      </c>
      <c r="AB170" s="53">
        <f>Português!AB170</f>
        <v>201.48599999999999</v>
      </c>
      <c r="AC170" s="53">
        <f>Português!AC170</f>
        <v>201.48599999999999</v>
      </c>
      <c r="AD170" s="53">
        <f>Português!AD170</f>
        <v>201.48599999999999</v>
      </c>
      <c r="AE170" s="53">
        <f>Português!AE170</f>
        <v>201.48599999999999</v>
      </c>
      <c r="AF170" s="53">
        <f>Português!AF170</f>
        <v>201.48599999999999</v>
      </c>
      <c r="AG170" s="53">
        <f>Português!AG170</f>
        <v>201.48599999999999</v>
      </c>
      <c r="AH170" s="53">
        <f>Português!AH170</f>
        <v>201.48599999999999</v>
      </c>
      <c r="AI170" s="53">
        <f>Português!AI170</f>
        <v>201.48599999999999</v>
      </c>
      <c r="AJ170" s="53">
        <f>Português!AJ170</f>
        <v>201.48599999999999</v>
      </c>
      <c r="AK170" s="53">
        <f>Português!AK170</f>
        <v>201.48599999999999</v>
      </c>
      <c r="AL170" s="53">
        <f>Português!AL170</f>
        <v>201.48599999999999</v>
      </c>
      <c r="AM170" s="53">
        <f>Português!AM170</f>
        <v>201.48599999999999</v>
      </c>
      <c r="AN170" s="53">
        <f>Português!AN170</f>
        <v>201.48599999999999</v>
      </c>
      <c r="AO170" s="53">
        <f>Português!AO170</f>
        <v>201.48599999999999</v>
      </c>
      <c r="AP170" s="53">
        <f>Português!AP170</f>
        <v>201.48599999999999</v>
      </c>
      <c r="AQ170" s="53">
        <f>Português!AQ170</f>
        <v>201.48599999999999</v>
      </c>
      <c r="AR170" s="53">
        <f>Português!AR170</f>
        <v>201.48599999999999</v>
      </c>
      <c r="AS170" s="19"/>
      <c r="AT170" s="53">
        <f t="shared" si="105"/>
        <v>55.558</v>
      </c>
      <c r="AU170" s="53">
        <f t="shared" si="106"/>
        <v>94.932000000000002</v>
      </c>
      <c r="AV170" s="53">
        <f t="shared" si="107"/>
        <v>137.423</v>
      </c>
      <c r="AW170" s="53">
        <f t="shared" si="108"/>
        <v>176.596</v>
      </c>
      <c r="AX170" s="53">
        <f t="shared" si="109"/>
        <v>201.48599999999999</v>
      </c>
      <c r="AY170" s="53">
        <f t="shared" si="110"/>
        <v>201.48599999999999</v>
      </c>
      <c r="AZ170" s="53">
        <f t="shared" si="111"/>
        <v>201.48599999999999</v>
      </c>
      <c r="BA170" s="53">
        <f t="shared" si="90"/>
        <v>201.48599999999999</v>
      </c>
      <c r="BB170" s="53">
        <f t="shared" si="112"/>
        <v>201.48599999999999</v>
      </c>
      <c r="BC170" s="37"/>
    </row>
    <row r="171" spans="2:55" outlineLevel="1">
      <c r="B171" s="78" t="s">
        <v>519</v>
      </c>
      <c r="C171" s="1" t="s">
        <v>390</v>
      </c>
      <c r="H171" s="53">
        <f>Português!H171</f>
        <v>0</v>
      </c>
      <c r="I171" s="53">
        <f>Português!I171</f>
        <v>0</v>
      </c>
      <c r="J171" s="53">
        <f>Português!J171</f>
        <v>0</v>
      </c>
      <c r="K171" s="53">
        <f>Português!K171</f>
        <v>0</v>
      </c>
      <c r="L171" s="53">
        <f>Português!L171</f>
        <v>0</v>
      </c>
      <c r="M171" s="53">
        <f>Português!M171</f>
        <v>0</v>
      </c>
      <c r="N171" s="53">
        <f>Português!N171</f>
        <v>0</v>
      </c>
      <c r="O171" s="53">
        <f>Português!O171</f>
        <v>0</v>
      </c>
      <c r="P171" s="53">
        <f>Português!P171</f>
        <v>0</v>
      </c>
      <c r="Q171" s="53">
        <f>Português!Q171</f>
        <v>0</v>
      </c>
      <c r="R171" s="53">
        <f>Português!R171</f>
        <v>0</v>
      </c>
      <c r="S171" s="53">
        <f>Português!S171</f>
        <v>222.917</v>
      </c>
      <c r="T171" s="53">
        <f>Português!T171</f>
        <v>222.917</v>
      </c>
      <c r="U171" s="53">
        <f>Português!U171</f>
        <v>222.917</v>
      </c>
      <c r="V171" s="53">
        <f>Português!V171</f>
        <v>222.917</v>
      </c>
      <c r="W171" s="53">
        <f>Português!W171</f>
        <v>222.917</v>
      </c>
      <c r="X171" s="53">
        <f>Português!X171</f>
        <v>222.917</v>
      </c>
      <c r="Y171" s="53">
        <f>Português!Y171</f>
        <v>395.99099999999999</v>
      </c>
      <c r="Z171" s="53">
        <f>Português!Z171</f>
        <v>426.44499999999999</v>
      </c>
      <c r="AA171" s="53">
        <f>Português!AA171</f>
        <v>429.54399999999998</v>
      </c>
      <c r="AB171" s="53">
        <f>Português!AB171</f>
        <v>9546.3320000000003</v>
      </c>
      <c r="AC171" s="53">
        <f>Português!AC171</f>
        <v>9641.8580000000002</v>
      </c>
      <c r="AD171" s="53">
        <f>Português!AD171</f>
        <v>9781.9259999999995</v>
      </c>
      <c r="AE171" s="53">
        <f>Português!AE171</f>
        <v>9844.3619999999992</v>
      </c>
      <c r="AF171" s="53">
        <f>Português!AF171</f>
        <v>9881.2330000000002</v>
      </c>
      <c r="AG171" s="53">
        <f>Português!AG171</f>
        <v>9878.5679999999993</v>
      </c>
      <c r="AH171" s="53">
        <f>Português!AH171</f>
        <v>9912.7199999999993</v>
      </c>
      <c r="AI171" s="53">
        <f>Português!AI171</f>
        <v>9892.3860000000004</v>
      </c>
      <c r="AJ171" s="53">
        <f>Português!AJ171</f>
        <v>9759.4930000000004</v>
      </c>
      <c r="AK171" s="53">
        <f>Português!AK171</f>
        <v>9771.19</v>
      </c>
      <c r="AL171" s="53">
        <f>Português!AL171</f>
        <v>9783.3610000000008</v>
      </c>
      <c r="AM171" s="53">
        <f>Português!AM171</f>
        <v>9875.0239999999994</v>
      </c>
      <c r="AN171" s="53">
        <f>Português!AN171</f>
        <v>9881.0769999999993</v>
      </c>
      <c r="AO171" s="53">
        <f>Português!AO171</f>
        <v>9853.8539999999994</v>
      </c>
      <c r="AP171" s="53">
        <f>Português!AP171</f>
        <v>9848.3539999999994</v>
      </c>
      <c r="AQ171" s="53">
        <f>Português!AQ171</f>
        <v>9848.3539999999994</v>
      </c>
      <c r="AR171" s="53">
        <f>Português!AR171</f>
        <v>9834.3729999999996</v>
      </c>
      <c r="AS171" s="19"/>
      <c r="AT171" s="53">
        <f t="shared" si="105"/>
        <v>0</v>
      </c>
      <c r="AU171" s="53">
        <f t="shared" si="106"/>
        <v>0</v>
      </c>
      <c r="AV171" s="53">
        <f t="shared" si="107"/>
        <v>222.917</v>
      </c>
      <c r="AW171" s="53">
        <f t="shared" si="108"/>
        <v>222.917</v>
      </c>
      <c r="AX171" s="53">
        <f t="shared" si="109"/>
        <v>429.54399999999998</v>
      </c>
      <c r="AY171" s="53">
        <f t="shared" si="110"/>
        <v>9844.3619999999992</v>
      </c>
      <c r="AZ171" s="53">
        <f t="shared" si="111"/>
        <v>9892.3860000000004</v>
      </c>
      <c r="BA171" s="53">
        <f t="shared" si="90"/>
        <v>9875.0239999999994</v>
      </c>
      <c r="BB171" s="53">
        <f t="shared" si="112"/>
        <v>9848.3539999999994</v>
      </c>
      <c r="BC171" s="37"/>
    </row>
    <row r="172" spans="2:55" outlineLevel="1">
      <c r="B172" s="78" t="s">
        <v>520</v>
      </c>
      <c r="C172" s="1" t="s">
        <v>390</v>
      </c>
      <c r="H172" s="53">
        <f>Português!H172</f>
        <v>153.637</v>
      </c>
      <c r="I172" s="53">
        <f>Português!I172</f>
        <v>303.125</v>
      </c>
      <c r="J172" s="53">
        <f>Português!J172</f>
        <v>449.91899999999998</v>
      </c>
      <c r="K172" s="53">
        <f>Português!K172</f>
        <v>0</v>
      </c>
      <c r="L172" s="53">
        <f>Português!L172</f>
        <v>213.65199999999999</v>
      </c>
      <c r="M172" s="53">
        <f>Português!M172</f>
        <v>363.4</v>
      </c>
      <c r="N172" s="53">
        <f>Português!N172</f>
        <v>553.27300000000002</v>
      </c>
      <c r="O172" s="53">
        <f>Português!O172</f>
        <v>0</v>
      </c>
      <c r="P172" s="53">
        <f>Português!P172</f>
        <v>205.15299999999999</v>
      </c>
      <c r="Q172" s="53">
        <f>Português!Q172</f>
        <v>323.90800000000002</v>
      </c>
      <c r="R172" s="53">
        <f>Português!R172</f>
        <v>536.35699999999997</v>
      </c>
      <c r="S172" s="53">
        <f>Português!S172</f>
        <v>0</v>
      </c>
      <c r="T172" s="53">
        <f>Português!T172</f>
        <v>164.429</v>
      </c>
      <c r="U172" s="53">
        <f>Português!U172</f>
        <v>443.07799999999997</v>
      </c>
      <c r="V172" s="53">
        <f>Português!V172</f>
        <v>691.85599999999999</v>
      </c>
      <c r="W172" s="53">
        <f>Português!W172</f>
        <v>0</v>
      </c>
      <c r="X172" s="53">
        <f>Português!X172</f>
        <v>150.18799999999999</v>
      </c>
      <c r="Y172" s="53">
        <f>Português!Y172</f>
        <v>254.58600000000001</v>
      </c>
      <c r="Z172" s="53">
        <f>Português!Z172</f>
        <v>297.77699999999999</v>
      </c>
      <c r="AA172" s="53">
        <f>Português!AA172</f>
        <v>0</v>
      </c>
      <c r="AB172" s="53">
        <f>Português!AB172</f>
        <v>0</v>
      </c>
      <c r="AC172" s="53">
        <f>Português!AC172</f>
        <v>0</v>
      </c>
      <c r="AD172" s="53">
        <f>Português!AD172</f>
        <v>0</v>
      </c>
      <c r="AE172" s="53">
        <f>Português!AE172</f>
        <v>0</v>
      </c>
      <c r="AF172" s="53">
        <f>Português!AF172</f>
        <v>-342.57799999999997</v>
      </c>
      <c r="AG172" s="53">
        <f>Português!AG172</f>
        <v>-503.44799999999998</v>
      </c>
      <c r="AH172" s="53">
        <f>Português!AH172</f>
        <v>-709.11800000000005</v>
      </c>
      <c r="AI172" s="53">
        <f>Português!AI172</f>
        <v>0</v>
      </c>
      <c r="AJ172" s="53">
        <f>Português!AJ172</f>
        <v>0</v>
      </c>
      <c r="AK172" s="53">
        <f>Português!AK172</f>
        <v>0</v>
      </c>
      <c r="AL172" s="53">
        <f>Português!AL172</f>
        <v>0</v>
      </c>
      <c r="AM172" s="53">
        <f>Português!AM172</f>
        <v>0</v>
      </c>
      <c r="AN172" s="53">
        <f>Português!AN172</f>
        <v>0</v>
      </c>
      <c r="AO172" s="53">
        <f>Português!AO172</f>
        <v>0</v>
      </c>
      <c r="AP172" s="53">
        <f>Português!AP172</f>
        <v>0</v>
      </c>
      <c r="AQ172" s="53">
        <f>Português!AQ172</f>
        <v>0</v>
      </c>
      <c r="AR172" s="53">
        <f>Português!AR172</f>
        <v>0</v>
      </c>
      <c r="AS172" s="19"/>
      <c r="AT172" s="53">
        <f t="shared" si="105"/>
        <v>0</v>
      </c>
      <c r="AU172" s="53">
        <f t="shared" si="106"/>
        <v>0</v>
      </c>
      <c r="AV172" s="53">
        <f t="shared" si="107"/>
        <v>0</v>
      </c>
      <c r="AW172" s="53">
        <f t="shared" si="108"/>
        <v>0</v>
      </c>
      <c r="AX172" s="53">
        <f t="shared" si="109"/>
        <v>0</v>
      </c>
      <c r="AY172" s="53">
        <f t="shared" si="110"/>
        <v>0</v>
      </c>
      <c r="AZ172" s="53">
        <f t="shared" si="111"/>
        <v>0</v>
      </c>
      <c r="BA172" s="53">
        <f t="shared" si="90"/>
        <v>0</v>
      </c>
      <c r="BB172" s="53">
        <f t="shared" si="112"/>
        <v>0</v>
      </c>
      <c r="BC172" s="37"/>
    </row>
    <row r="173" spans="2:55" outlineLevel="1">
      <c r="B173" s="78" t="s">
        <v>521</v>
      </c>
      <c r="C173" s="1" t="s">
        <v>390</v>
      </c>
      <c r="H173" s="53">
        <f>Português!H173</f>
        <v>207.309</v>
      </c>
      <c r="I173" s="53">
        <f>Português!I173</f>
        <v>207.309</v>
      </c>
      <c r="J173" s="53">
        <f>Português!J173</f>
        <v>207.309</v>
      </c>
      <c r="K173" s="53">
        <f>Português!K173</f>
        <v>136.321</v>
      </c>
      <c r="L173" s="53">
        <f>Português!L173</f>
        <v>136.321</v>
      </c>
      <c r="M173" s="53">
        <f>Português!M173</f>
        <v>136.30000000000001</v>
      </c>
      <c r="N173" s="53">
        <f>Português!N173</f>
        <v>136.321</v>
      </c>
      <c r="O173" s="53">
        <f>Português!O173</f>
        <v>697.39300000000003</v>
      </c>
      <c r="P173" s="53">
        <f>Português!P173</f>
        <v>697.39300000000003</v>
      </c>
      <c r="Q173" s="53">
        <f>Português!Q173</f>
        <v>678.81399999999996</v>
      </c>
      <c r="R173" s="53">
        <f>Português!R173</f>
        <v>676.69500000000005</v>
      </c>
      <c r="S173" s="53">
        <f>Português!S173</f>
        <v>1248.739</v>
      </c>
      <c r="T173" s="53">
        <f>Português!T173</f>
        <v>1248.739</v>
      </c>
      <c r="U173" s="53">
        <f>Português!U173</f>
        <v>1248.739</v>
      </c>
      <c r="V173" s="53">
        <f>Português!V173</f>
        <v>1137.97</v>
      </c>
      <c r="W173" s="53">
        <f>Português!W173</f>
        <v>1779.175</v>
      </c>
      <c r="X173" s="53">
        <f>Português!X173</f>
        <v>1779.175</v>
      </c>
      <c r="Y173" s="53">
        <f>Português!Y173</f>
        <v>1710.356</v>
      </c>
      <c r="Z173" s="53">
        <f>Português!Z173</f>
        <v>1664.6320000000001</v>
      </c>
      <c r="AA173" s="53">
        <f>Português!AA173</f>
        <v>2116.752</v>
      </c>
      <c r="AB173" s="53">
        <f>Português!AB173</f>
        <v>2116.8150000000001</v>
      </c>
      <c r="AC173" s="53">
        <f>Português!AC173</f>
        <v>2116.8150000000001</v>
      </c>
      <c r="AD173" s="53">
        <f>Português!AD173</f>
        <v>2116.8150000000001</v>
      </c>
      <c r="AE173" s="53">
        <f>Português!AE173</f>
        <v>1339.58</v>
      </c>
      <c r="AF173" s="53">
        <f>Português!AF173</f>
        <v>1339.6559999999999</v>
      </c>
      <c r="AG173" s="53">
        <f>Português!AG173</f>
        <v>1339.6559999999999</v>
      </c>
      <c r="AH173" s="53">
        <f>Português!AH173</f>
        <v>1339.6559999999999</v>
      </c>
      <c r="AI173" s="53">
        <f>Português!AI173</f>
        <v>319.89299999999992</v>
      </c>
      <c r="AJ173" s="53">
        <f>Português!AJ173</f>
        <v>319.89299999999992</v>
      </c>
      <c r="AK173" s="53">
        <f>Português!AK173</f>
        <v>319.89299999999992</v>
      </c>
      <c r="AL173" s="53">
        <f>Português!AL173</f>
        <v>319.89299999999992</v>
      </c>
      <c r="AM173" s="53">
        <f>Português!AM173</f>
        <v>590.25099999999998</v>
      </c>
      <c r="AN173" s="53">
        <f>Português!AN173</f>
        <v>590.18700000000001</v>
      </c>
      <c r="AO173" s="53">
        <f>Português!AO173</f>
        <v>590.18700000000001</v>
      </c>
      <c r="AP173" s="53">
        <f>Português!AP173</f>
        <v>590.18700000000001</v>
      </c>
      <c r="AQ173" s="53">
        <f>Português!AQ173</f>
        <v>353.06400000000002</v>
      </c>
      <c r="AR173" s="53">
        <f>Português!AR173</f>
        <v>353.06400000000002</v>
      </c>
      <c r="AS173" s="19"/>
      <c r="AT173" s="53">
        <f t="shared" si="105"/>
        <v>136.321</v>
      </c>
      <c r="AU173" s="53">
        <f t="shared" si="106"/>
        <v>697.39300000000003</v>
      </c>
      <c r="AV173" s="53">
        <f t="shared" si="107"/>
        <v>1248.739</v>
      </c>
      <c r="AW173" s="53">
        <f t="shared" si="108"/>
        <v>1779.175</v>
      </c>
      <c r="AX173" s="53">
        <f t="shared" si="109"/>
        <v>2116.752</v>
      </c>
      <c r="AY173" s="53">
        <f t="shared" si="110"/>
        <v>1339.58</v>
      </c>
      <c r="AZ173" s="53">
        <f t="shared" si="111"/>
        <v>319.89299999999992</v>
      </c>
      <c r="BA173" s="53">
        <f t="shared" si="90"/>
        <v>590.25099999999998</v>
      </c>
      <c r="BB173" s="53">
        <f t="shared" si="112"/>
        <v>353.06400000000002</v>
      </c>
      <c r="BC173" s="37"/>
    </row>
    <row r="174" spans="2:55" s="13" customFormat="1" outlineLevel="1">
      <c r="B174" s="79" t="s">
        <v>522</v>
      </c>
      <c r="C174" s="13" t="s">
        <v>390</v>
      </c>
      <c r="H174" s="55">
        <f>Português!H174</f>
        <v>0</v>
      </c>
      <c r="I174" s="55">
        <f>Português!I174</f>
        <v>0</v>
      </c>
      <c r="J174" s="55">
        <f>Português!J174</f>
        <v>0</v>
      </c>
      <c r="K174" s="55">
        <f>Português!K174</f>
        <v>0</v>
      </c>
      <c r="L174" s="55">
        <f>Português!L174</f>
        <v>0</v>
      </c>
      <c r="M174" s="55">
        <f>Português!M174</f>
        <v>0</v>
      </c>
      <c r="N174" s="55">
        <f>Português!N174</f>
        <v>0</v>
      </c>
      <c r="O174" s="55">
        <f>Português!O174</f>
        <v>0</v>
      </c>
      <c r="P174" s="55">
        <f>Português!P174</f>
        <v>0</v>
      </c>
      <c r="Q174" s="55">
        <f>Português!Q174</f>
        <v>0</v>
      </c>
      <c r="R174" s="55">
        <f>Português!R174</f>
        <v>0</v>
      </c>
      <c r="S174" s="55">
        <f>Português!S174</f>
        <v>0</v>
      </c>
      <c r="T174" s="55">
        <f>Português!T174</f>
        <v>0</v>
      </c>
      <c r="U174" s="55">
        <f>Português!U174</f>
        <v>0</v>
      </c>
      <c r="V174" s="55">
        <f>Português!V174</f>
        <v>0</v>
      </c>
      <c r="W174" s="55">
        <f>Português!W174</f>
        <v>0</v>
      </c>
      <c r="X174" s="55">
        <f>Português!X174</f>
        <v>0</v>
      </c>
      <c r="Y174" s="55">
        <f>Português!Y174</f>
        <v>0</v>
      </c>
      <c r="Z174" s="55">
        <f>Português!Z174</f>
        <v>0</v>
      </c>
      <c r="AA174" s="55">
        <f>Português!AA174</f>
        <v>0</v>
      </c>
      <c r="AB174" s="55">
        <f>Português!AB174</f>
        <v>-29.602</v>
      </c>
      <c r="AC174" s="55">
        <f>Português!AC174</f>
        <v>-52.677999999999997</v>
      </c>
      <c r="AD174" s="55">
        <f>Português!AD174</f>
        <v>-78.58</v>
      </c>
      <c r="AE174" s="55">
        <f>Português!AE174</f>
        <v>-42.183999999999997</v>
      </c>
      <c r="AF174" s="55">
        <f>Português!AF174</f>
        <v>-33.095999999999997</v>
      </c>
      <c r="AG174" s="55">
        <f>Português!AG174</f>
        <v>-26.068999999999999</v>
      </c>
      <c r="AH174" s="55">
        <f>Português!AH174</f>
        <v>-44.548000000000002</v>
      </c>
      <c r="AI174" s="55">
        <f>Português!AI174</f>
        <v>-15.802</v>
      </c>
      <c r="AJ174" s="55">
        <f>Português!AJ174</f>
        <v>-55.192999999999998</v>
      </c>
      <c r="AK174" s="55">
        <f>Português!AK174</f>
        <v>-106.613</v>
      </c>
      <c r="AL174" s="55">
        <f>Português!AL174</f>
        <v>-104.56100000000001</v>
      </c>
      <c r="AM174" s="55">
        <f>Português!AM174</f>
        <v>-184.28299999999999</v>
      </c>
      <c r="AN174" s="55">
        <f>Português!AN174</f>
        <v>-187.114</v>
      </c>
      <c r="AO174" s="55">
        <f>Português!AO174</f>
        <v>-156.892</v>
      </c>
      <c r="AP174" s="55">
        <f>Português!AP174</f>
        <v>-170.17699999999999</v>
      </c>
      <c r="AQ174" s="55">
        <f>Português!AQ174</f>
        <v>-104.40600000000001</v>
      </c>
      <c r="AR174" s="55">
        <f>Português!AR174</f>
        <v>-105.47499999999999</v>
      </c>
      <c r="AS174" s="19"/>
      <c r="AT174" s="53">
        <f t="shared" si="105"/>
        <v>0</v>
      </c>
      <c r="AU174" s="53">
        <f t="shared" si="106"/>
        <v>0</v>
      </c>
      <c r="AV174" s="53">
        <f t="shared" si="107"/>
        <v>0</v>
      </c>
      <c r="AW174" s="53">
        <f t="shared" si="108"/>
        <v>0</v>
      </c>
      <c r="AX174" s="53">
        <f t="shared" si="109"/>
        <v>0</v>
      </c>
      <c r="AY174" s="53">
        <f t="shared" si="110"/>
        <v>-42.183999999999997</v>
      </c>
      <c r="AZ174" s="53">
        <f t="shared" si="111"/>
        <v>-15.802</v>
      </c>
      <c r="BA174" s="53">
        <f t="shared" si="90"/>
        <v>-184.28299999999999</v>
      </c>
      <c r="BB174" s="53">
        <f t="shared" si="112"/>
        <v>-104.40600000000001</v>
      </c>
      <c r="BC174" s="37"/>
    </row>
    <row r="175" spans="2:55" s="13" customFormat="1" outlineLevel="1">
      <c r="B175" s="79" t="s">
        <v>523</v>
      </c>
      <c r="C175" s="13" t="s">
        <v>390</v>
      </c>
      <c r="H175" s="55">
        <f>Português!H175</f>
        <v>0</v>
      </c>
      <c r="I175" s="55">
        <f>Português!I175</f>
        <v>0</v>
      </c>
      <c r="J175" s="55">
        <f>Português!J175</f>
        <v>0</v>
      </c>
      <c r="K175" s="55">
        <f>Português!K175</f>
        <v>0</v>
      </c>
      <c r="L175" s="55">
        <f>Português!L175</f>
        <v>0</v>
      </c>
      <c r="M175" s="55">
        <f>Português!M175</f>
        <v>0</v>
      </c>
      <c r="N175" s="55">
        <f>Português!N175</f>
        <v>0</v>
      </c>
      <c r="O175" s="55">
        <f>Português!O175</f>
        <v>0</v>
      </c>
      <c r="P175" s="55">
        <f>Português!P175</f>
        <v>0</v>
      </c>
      <c r="Q175" s="55">
        <f>Português!Q175</f>
        <v>0</v>
      </c>
      <c r="R175" s="55">
        <f>Português!R175</f>
        <v>0</v>
      </c>
      <c r="S175" s="55">
        <f>Português!S175</f>
        <v>0</v>
      </c>
      <c r="T175" s="55">
        <f>Português!T175</f>
        <v>0</v>
      </c>
      <c r="U175" s="55">
        <f>Português!U175</f>
        <v>0</v>
      </c>
      <c r="V175" s="55">
        <f>Português!V175</f>
        <v>0</v>
      </c>
      <c r="W175" s="55">
        <f>Português!W175</f>
        <v>0</v>
      </c>
      <c r="X175" s="55">
        <f>Português!X175</f>
        <v>0</v>
      </c>
      <c r="Y175" s="55">
        <f>Português!Y175</f>
        <v>0</v>
      </c>
      <c r="Z175" s="55">
        <f>Português!Z175</f>
        <v>0</v>
      </c>
      <c r="AA175" s="55">
        <f>Português!AA175</f>
        <v>0</v>
      </c>
      <c r="AB175" s="55">
        <f>Português!AB175</f>
        <v>-181.964</v>
      </c>
      <c r="AC175" s="55">
        <f>Português!AC175</f>
        <v>-494.72399999999999</v>
      </c>
      <c r="AD175" s="55">
        <f>Português!AD175</f>
        <v>-460.56599999999997</v>
      </c>
      <c r="AE175" s="55">
        <f>Português!AE175</f>
        <v>0</v>
      </c>
      <c r="AF175" s="55">
        <f>Português!AF175</f>
        <v>0</v>
      </c>
      <c r="AG175" s="55">
        <f>Português!AG175</f>
        <v>0</v>
      </c>
      <c r="AH175" s="55">
        <f>Português!AH175</f>
        <v>0</v>
      </c>
      <c r="AI175" s="55">
        <f>Português!AI175</f>
        <v>0</v>
      </c>
      <c r="AJ175" s="55">
        <f>Português!AJ175</f>
        <v>83.506</v>
      </c>
      <c r="AK175" s="55">
        <f>Português!AK175</f>
        <v>173.31200000000001</v>
      </c>
      <c r="AL175" s="55">
        <f>Português!AL175</f>
        <v>102.23</v>
      </c>
      <c r="AM175" s="55">
        <f>Português!AM175</f>
        <v>0</v>
      </c>
      <c r="AN175" s="55">
        <f>Português!AN175</f>
        <v>54.506999999999998</v>
      </c>
      <c r="AO175" s="55">
        <f>Português!AO175</f>
        <v>-151.303</v>
      </c>
      <c r="AP175" s="55">
        <f>Português!AP175</f>
        <v>-208.24</v>
      </c>
      <c r="AQ175" s="55">
        <f>Português!AQ175</f>
        <v>0</v>
      </c>
      <c r="AR175" s="55">
        <f>Português!AR175</f>
        <v>-154.59700000000001</v>
      </c>
      <c r="AS175" s="19"/>
      <c r="AT175" s="53">
        <f t="shared" si="105"/>
        <v>0</v>
      </c>
      <c r="AU175" s="53">
        <f t="shared" si="106"/>
        <v>0</v>
      </c>
      <c r="AV175" s="53">
        <f t="shared" si="107"/>
        <v>0</v>
      </c>
      <c r="AW175" s="53">
        <f t="shared" si="108"/>
        <v>0</v>
      </c>
      <c r="AX175" s="53">
        <f t="shared" si="109"/>
        <v>0</v>
      </c>
      <c r="AY175" s="53">
        <f t="shared" si="110"/>
        <v>0</v>
      </c>
      <c r="AZ175" s="53">
        <f t="shared" si="111"/>
        <v>0</v>
      </c>
      <c r="BA175" s="53">
        <f t="shared" si="90"/>
        <v>0</v>
      </c>
      <c r="BB175" s="53">
        <f t="shared" si="112"/>
        <v>0</v>
      </c>
      <c r="BC175" s="37"/>
    </row>
    <row r="176" spans="2:55" ht="13.5" outlineLevel="1">
      <c r="B176" s="74" t="s">
        <v>524</v>
      </c>
      <c r="C176" s="2" t="s">
        <v>390</v>
      </c>
      <c r="D176" s="2"/>
      <c r="E176" s="2"/>
      <c r="F176" s="2"/>
      <c r="G176" s="2"/>
      <c r="H176" s="75">
        <f>SUM(H168:H175)</f>
        <v>663.97400000000005</v>
      </c>
      <c r="I176" s="75">
        <f t="shared" ref="I176:R176" si="113">SUM(I168:I173)</f>
        <v>813.46199999999999</v>
      </c>
      <c r="J176" s="75">
        <f t="shared" si="113"/>
        <v>960.25599999999997</v>
      </c>
      <c r="K176" s="75">
        <f t="shared" si="113"/>
        <v>471.87900000000002</v>
      </c>
      <c r="L176" s="75">
        <f t="shared" si="113"/>
        <v>685.53100000000006</v>
      </c>
      <c r="M176" s="75">
        <f t="shared" si="113"/>
        <v>3365.3</v>
      </c>
      <c r="N176" s="75">
        <f t="shared" si="113"/>
        <v>3555.3710000000001</v>
      </c>
      <c r="O176" s="75">
        <f t="shared" si="113"/>
        <v>3602.5439999999999</v>
      </c>
      <c r="P176" s="75">
        <f t="shared" si="113"/>
        <v>3807.6969999999997</v>
      </c>
      <c r="Q176" s="75">
        <f t="shared" si="113"/>
        <v>3907.8729999999996</v>
      </c>
      <c r="R176" s="75">
        <f t="shared" si="113"/>
        <v>6708.2259999999997</v>
      </c>
      <c r="S176" s="75">
        <f>SUM(S168:S173)</f>
        <v>7259.6029999999992</v>
      </c>
      <c r="T176" s="75">
        <f t="shared" ref="T176:Y176" si="114">SUM(T168:T173)</f>
        <v>7424.0319999999992</v>
      </c>
      <c r="U176" s="75">
        <f t="shared" si="114"/>
        <v>7702.6809999999987</v>
      </c>
      <c r="V176" s="75">
        <f t="shared" si="114"/>
        <v>7840.69</v>
      </c>
      <c r="W176" s="75">
        <f t="shared" si="114"/>
        <v>7829.2119999999995</v>
      </c>
      <c r="X176" s="75">
        <f t="shared" si="114"/>
        <v>7979.4</v>
      </c>
      <c r="Y176" s="75">
        <f t="shared" si="114"/>
        <v>10661.786999999998</v>
      </c>
      <c r="Z176" s="75">
        <f>SUM(Z168:Z173)</f>
        <v>10615.637000000001</v>
      </c>
      <c r="AA176" s="75">
        <f>SUM(AA168:AA173)</f>
        <v>10572.141000000001</v>
      </c>
      <c r="AB176" s="75">
        <f>SUM(AB168:AB175)</f>
        <v>49145.726000000002</v>
      </c>
      <c r="AC176" s="75">
        <f>SUM(AC168:AC175)</f>
        <v>48905.415999999997</v>
      </c>
      <c r="AD176" s="75">
        <f>SUM(AD168:AD175)</f>
        <v>49053.74</v>
      </c>
      <c r="AE176" s="75">
        <f>SUM(AE168:AE175)</f>
        <v>48749.436999999998</v>
      </c>
      <c r="AF176" s="75">
        <f>SUM(AF168:AF175)</f>
        <v>48455.102999999996</v>
      </c>
      <c r="AG176" s="75">
        <v>49333.006000000001</v>
      </c>
      <c r="AH176" s="75">
        <v>49114.428</v>
      </c>
      <c r="AI176" s="75">
        <f t="shared" ref="AI176:AP176" si="115">SUM(AI168:AI175)</f>
        <v>48812.194999999992</v>
      </c>
      <c r="AJ176" s="75">
        <f t="shared" si="115"/>
        <v>48750.949000000001</v>
      </c>
      <c r="AK176" s="75">
        <f t="shared" si="115"/>
        <v>48802.367999999995</v>
      </c>
      <c r="AL176" s="75">
        <f t="shared" si="115"/>
        <v>48745.508999999998</v>
      </c>
      <c r="AM176" s="75">
        <f t="shared" si="115"/>
        <v>48725.488999999987</v>
      </c>
      <c r="AN176" s="75">
        <f t="shared" si="115"/>
        <v>48782.867999999988</v>
      </c>
      <c r="AO176" s="75">
        <f t="shared" si="115"/>
        <v>48618.429999999993</v>
      </c>
      <c r="AP176" s="75">
        <f t="shared" si="115"/>
        <v>48550.592999999993</v>
      </c>
      <c r="AQ176" s="75">
        <f>SUM(AQ168:AQ175)</f>
        <v>48203.405999999988</v>
      </c>
      <c r="AR176" s="75">
        <f>SUM(AR168:AR175)</f>
        <v>48053.376999999993</v>
      </c>
      <c r="AS176" s="19"/>
      <c r="AT176" s="75">
        <f>SUM(AT168:AT173)</f>
        <v>471.87900000000002</v>
      </c>
      <c r="AU176" s="75">
        <f>SUM(AU168:AU173)</f>
        <v>3602.5439999999999</v>
      </c>
      <c r="AV176" s="75">
        <f>SUM(AV168:AV173)</f>
        <v>7259.6029999999992</v>
      </c>
      <c r="AW176" s="75">
        <f>SUM(AW168:AW173)</f>
        <v>7829.2119999999995</v>
      </c>
      <c r="AX176" s="75">
        <f t="shared" si="109"/>
        <v>10572.141000000001</v>
      </c>
      <c r="AY176" s="75">
        <f t="shared" si="110"/>
        <v>48749.436999999998</v>
      </c>
      <c r="AZ176" s="75">
        <f>AI176</f>
        <v>48812.194999999992</v>
      </c>
      <c r="BA176" s="75">
        <f>AM176</f>
        <v>48725.488999999987</v>
      </c>
      <c r="BB176" s="75">
        <f t="shared" si="112"/>
        <v>48203.405999999988</v>
      </c>
      <c r="BC176" s="37"/>
    </row>
    <row r="177" spans="1:55" ht="13.5" outlineLevel="1">
      <c r="B177" s="74" t="s">
        <v>525</v>
      </c>
      <c r="C177" s="2" t="s">
        <v>390</v>
      </c>
      <c r="D177" s="2"/>
      <c r="E177" s="2"/>
      <c r="F177" s="2"/>
      <c r="G177" s="2"/>
      <c r="H177" s="75">
        <f>Português!H177</f>
        <v>0.36199999999999999</v>
      </c>
      <c r="I177" s="75">
        <f>Português!I177</f>
        <v>3.4000000000000002E-2</v>
      </c>
      <c r="J177" s="75">
        <f>Português!J177</f>
        <v>0.14899999999999999</v>
      </c>
      <c r="K177" s="75">
        <f>Português!K177</f>
        <v>0.124</v>
      </c>
      <c r="L177" s="75">
        <f>Português!L177</f>
        <v>0.124</v>
      </c>
      <c r="M177" s="75">
        <f>Português!M177</f>
        <v>0.2</v>
      </c>
      <c r="N177" s="75">
        <f>Português!N177</f>
        <v>0.48</v>
      </c>
      <c r="O177" s="75">
        <f>Português!O177</f>
        <v>3.3109999999999999</v>
      </c>
      <c r="P177" s="75">
        <f>Português!P177</f>
        <v>12.552</v>
      </c>
      <c r="Q177" s="75">
        <f>Português!Q177</f>
        <v>21.31</v>
      </c>
      <c r="R177" s="75">
        <f>Português!R177</f>
        <v>-0.69299999999999995</v>
      </c>
      <c r="S177" s="75">
        <f>Português!S177</f>
        <v>2.282</v>
      </c>
      <c r="T177" s="75">
        <f>Português!T177</f>
        <v>2.4049999999999998</v>
      </c>
      <c r="U177" s="75">
        <f>Português!U177</f>
        <v>2.681</v>
      </c>
      <c r="V177" s="75">
        <f>Português!V177</f>
        <v>1.7509999999999999</v>
      </c>
      <c r="W177" s="75">
        <f>Português!W177</f>
        <v>1.7749999999999999</v>
      </c>
      <c r="X177" s="75">
        <f>Português!X177</f>
        <v>3.4159999999999999</v>
      </c>
      <c r="Y177" s="75">
        <f>Português!Y177</f>
        <v>3.6219999999999999</v>
      </c>
      <c r="Z177" s="75">
        <f>Português!Z177</f>
        <v>4.2839999999999998</v>
      </c>
      <c r="AA177" s="75">
        <f>Português!AA177</f>
        <v>0.85299999999999998</v>
      </c>
      <c r="AB177" s="75">
        <f>Português!AB177</f>
        <v>2.044</v>
      </c>
      <c r="AC177" s="75">
        <f>Português!AC177</f>
        <v>2.74</v>
      </c>
      <c r="AD177" s="75">
        <f>Português!AD177</f>
        <v>3.8809999999999998</v>
      </c>
      <c r="AE177" s="75">
        <f>Português!AE177</f>
        <v>7.274</v>
      </c>
      <c r="AF177" s="75">
        <f>Português!AF177</f>
        <v>9.1950000000000003</v>
      </c>
      <c r="AG177" s="75">
        <f>Português!AG177</f>
        <v>7.7169999999999996</v>
      </c>
      <c r="AH177" s="75">
        <f>Português!AH177</f>
        <v>8.65</v>
      </c>
      <c r="AI177" s="75">
        <f>Português!AI177</f>
        <v>1.369</v>
      </c>
      <c r="AJ177" s="75">
        <f>Português!AJ177</f>
        <v>0.82199999999999995</v>
      </c>
      <c r="AK177" s="75">
        <f>Português!AK177</f>
        <v>2.8029999999999999</v>
      </c>
      <c r="AL177" s="75">
        <f>Português!AL177</f>
        <v>3.07</v>
      </c>
      <c r="AM177" s="75">
        <f>Português!AM177</f>
        <v>1.722</v>
      </c>
      <c r="AN177" s="75">
        <f>Português!AN177</f>
        <v>1.752</v>
      </c>
      <c r="AO177" s="75">
        <f>Português!AO177</f>
        <v>1.758</v>
      </c>
      <c r="AP177" s="75">
        <f>Português!AP177</f>
        <v>1.796</v>
      </c>
      <c r="AQ177" s="75">
        <f>Português!AQ177</f>
        <v>1.718</v>
      </c>
      <c r="AR177" s="75">
        <f>Português!AR177</f>
        <v>1.603</v>
      </c>
      <c r="AS177" s="19"/>
      <c r="AT177" s="75">
        <f>K177</f>
        <v>0.124</v>
      </c>
      <c r="AU177" s="75">
        <f>O177</f>
        <v>3.3109999999999999</v>
      </c>
      <c r="AV177" s="75">
        <f>S177</f>
        <v>2.282</v>
      </c>
      <c r="AW177" s="75">
        <f>W177</f>
        <v>1.7749999999999999</v>
      </c>
      <c r="AX177" s="75">
        <f t="shared" si="109"/>
        <v>0.85299999999999998</v>
      </c>
      <c r="AY177" s="75">
        <f t="shared" si="110"/>
        <v>7.274</v>
      </c>
      <c r="AZ177" s="75">
        <f t="shared" si="111"/>
        <v>1.369</v>
      </c>
      <c r="BA177" s="75">
        <f>AM177</f>
        <v>1.722</v>
      </c>
      <c r="BB177" s="75">
        <f t="shared" si="112"/>
        <v>1.718</v>
      </c>
      <c r="BC177" s="37"/>
    </row>
    <row r="178" spans="1:55">
      <c r="AK178" s="42"/>
      <c r="AL178" s="42"/>
      <c r="AM178" s="42"/>
      <c r="AN178" s="42"/>
      <c r="AO178" s="81"/>
      <c r="AP178" s="81"/>
      <c r="AQ178" s="81"/>
      <c r="AR178" s="81"/>
      <c r="AS178" s="19"/>
      <c r="AX178" s="13"/>
      <c r="AY178" s="13"/>
      <c r="AZ178" s="13"/>
      <c r="BA178" s="37"/>
      <c r="BB178" s="37"/>
      <c r="BC178" s="37"/>
    </row>
    <row r="179" spans="1:55">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42"/>
      <c r="AL179" s="42"/>
      <c r="AM179" s="42"/>
      <c r="AN179" s="42"/>
      <c r="AO179" s="81"/>
      <c r="AP179" s="81"/>
      <c r="AQ179" s="81"/>
      <c r="AR179" s="81"/>
      <c r="AS179" s="19"/>
      <c r="AT179" s="33"/>
      <c r="AU179" s="33"/>
      <c r="AV179" s="33"/>
      <c r="AW179" s="33"/>
      <c r="AX179" s="13"/>
      <c r="AY179" s="13"/>
      <c r="AZ179" s="13"/>
      <c r="BA179" s="37"/>
      <c r="BB179" s="37"/>
      <c r="BC179" s="37"/>
    </row>
    <row r="180" spans="1:55" ht="13.5">
      <c r="B180" s="88" t="s">
        <v>526</v>
      </c>
      <c r="AK180" s="42"/>
      <c r="AL180" s="42"/>
      <c r="AM180" s="42"/>
      <c r="AN180" s="42"/>
      <c r="AO180" s="5"/>
      <c r="AP180" s="5"/>
      <c r="AQ180" s="5"/>
      <c r="AR180" s="5"/>
      <c r="AS180" s="19"/>
      <c r="AX180" s="13"/>
      <c r="AY180" s="13"/>
      <c r="AZ180" s="13"/>
      <c r="BA180" s="37"/>
      <c r="BB180" s="37"/>
      <c r="BC180" s="37"/>
    </row>
    <row r="181" spans="1:55" ht="27" customHeight="1" outlineLevel="1">
      <c r="B181" s="6" t="s">
        <v>10</v>
      </c>
      <c r="C181" s="6" t="s">
        <v>335</v>
      </c>
      <c r="D181" s="6" t="s">
        <v>336</v>
      </c>
      <c r="E181" s="6" t="s">
        <v>337</v>
      </c>
      <c r="F181" s="6" t="s">
        <v>338</v>
      </c>
      <c r="G181" s="6" t="s">
        <v>339</v>
      </c>
      <c r="H181" s="6" t="s">
        <v>340</v>
      </c>
      <c r="I181" s="6" t="s">
        <v>341</v>
      </c>
      <c r="J181" s="6" t="s">
        <v>342</v>
      </c>
      <c r="K181" s="6" t="s">
        <v>343</v>
      </c>
      <c r="L181" s="6" t="s">
        <v>344</v>
      </c>
      <c r="M181" s="6" t="s">
        <v>345</v>
      </c>
      <c r="N181" s="6" t="s">
        <v>346</v>
      </c>
      <c r="O181" s="6" t="s">
        <v>23</v>
      </c>
      <c r="P181" s="6" t="str">
        <f>P8</f>
        <v>1Q19</v>
      </c>
      <c r="Q181" s="6" t="s">
        <v>349</v>
      </c>
      <c r="R181" s="6" t="s">
        <v>350</v>
      </c>
      <c r="S181" s="6" t="s">
        <v>351</v>
      </c>
      <c r="T181" s="6" t="s">
        <v>352</v>
      </c>
      <c r="U181" s="6" t="s">
        <v>353</v>
      </c>
      <c r="V181" s="6" t="s">
        <v>354</v>
      </c>
      <c r="W181" s="6" t="s">
        <v>355</v>
      </c>
      <c r="X181" s="6" t="s">
        <v>356</v>
      </c>
      <c r="Y181" s="6" t="s">
        <v>357</v>
      </c>
      <c r="Z181" s="6" t="s">
        <v>358</v>
      </c>
      <c r="AA181" s="6" t="s">
        <v>359</v>
      </c>
      <c r="AB181" s="6" t="s">
        <v>360</v>
      </c>
      <c r="AC181" s="6" t="s">
        <v>361</v>
      </c>
      <c r="AD181" s="6" t="s">
        <v>362</v>
      </c>
      <c r="AE181" s="6" t="s">
        <v>363</v>
      </c>
      <c r="AF181" s="6" t="s">
        <v>527</v>
      </c>
      <c r="AG181" s="6" t="s">
        <v>528</v>
      </c>
      <c r="AH181" s="6" t="s">
        <v>529</v>
      </c>
      <c r="AI181" s="6" t="s">
        <v>530</v>
      </c>
      <c r="AJ181" s="6" t="s">
        <v>368</v>
      </c>
      <c r="AK181" s="6" t="s">
        <v>369</v>
      </c>
      <c r="AL181" s="6" t="s">
        <v>370</v>
      </c>
      <c r="AM181" s="6" t="s">
        <v>371</v>
      </c>
      <c r="AN181" s="6" t="s">
        <v>372</v>
      </c>
      <c r="AO181" s="6" t="s">
        <v>373</v>
      </c>
      <c r="AP181" s="6" t="s">
        <v>374</v>
      </c>
      <c r="AQ181" s="6" t="s">
        <v>375</v>
      </c>
      <c r="AR181" s="6" t="s">
        <v>629</v>
      </c>
      <c r="AS181" s="19"/>
      <c r="AT181" s="6">
        <v>2017</v>
      </c>
      <c r="AU181" s="6">
        <v>2018</v>
      </c>
      <c r="AV181" s="6">
        <v>2019</v>
      </c>
      <c r="AW181" s="6">
        <v>2020</v>
      </c>
      <c r="AX181" s="6">
        <v>2021</v>
      </c>
      <c r="AY181" s="6">
        <v>2022</v>
      </c>
      <c r="AZ181" s="202" t="s">
        <v>415</v>
      </c>
      <c r="BA181" s="6">
        <v>2024</v>
      </c>
      <c r="BB181" s="7">
        <v>2025</v>
      </c>
      <c r="BC181" s="37"/>
    </row>
    <row r="182" spans="1:55" ht="13.5" outlineLevel="1">
      <c r="B182" s="11" t="s">
        <v>531</v>
      </c>
      <c r="C182" s="11" t="s">
        <v>390</v>
      </c>
      <c r="D182" s="11"/>
      <c r="E182" s="11"/>
      <c r="F182" s="11"/>
      <c r="G182" s="11"/>
      <c r="H182" s="57">
        <f t="shared" ref="H182:AP182" si="116">H93</f>
        <v>159.82125134745792</v>
      </c>
      <c r="I182" s="57">
        <f t="shared" si="116"/>
        <v>162.25559433525711</v>
      </c>
      <c r="J182" s="57">
        <f t="shared" si="116"/>
        <v>155.288483042492</v>
      </c>
      <c r="K182" s="57">
        <f t="shared" si="116"/>
        <v>173.232030084793</v>
      </c>
      <c r="L182" s="57">
        <f t="shared" si="116"/>
        <v>214.07012802851563</v>
      </c>
      <c r="M182" s="57">
        <f t="shared" si="116"/>
        <v>150.02805760076296</v>
      </c>
      <c r="N182" s="57">
        <f t="shared" si="116"/>
        <v>190.17838831237322</v>
      </c>
      <c r="O182" s="57">
        <f t="shared" si="116"/>
        <v>234.0561943068374</v>
      </c>
      <c r="P182" s="57">
        <f t="shared" si="116"/>
        <v>205.39400000000009</v>
      </c>
      <c r="Q182" s="57">
        <f t="shared" si="116"/>
        <v>223.40899999999976</v>
      </c>
      <c r="R182" s="57">
        <f t="shared" si="116"/>
        <v>212.43500000000014</v>
      </c>
      <c r="S182" s="57">
        <f t="shared" si="116"/>
        <v>210.60800000000029</v>
      </c>
      <c r="T182" s="57">
        <f t="shared" si="116"/>
        <v>164.56299999999928</v>
      </c>
      <c r="U182" s="57">
        <f t="shared" si="116"/>
        <v>278.64100000000025</v>
      </c>
      <c r="V182" s="57">
        <f t="shared" si="116"/>
        <v>247.84500000000077</v>
      </c>
      <c r="W182" s="57">
        <f t="shared" si="116"/>
        <v>94.249999999998636</v>
      </c>
      <c r="X182" s="57">
        <f t="shared" si="116"/>
        <v>151.82899999999961</v>
      </c>
      <c r="Y182" s="57">
        <f t="shared" si="116"/>
        <v>104.60999999999983</v>
      </c>
      <c r="Z182" s="57">
        <f t="shared" si="116"/>
        <v>43.671999999999755</v>
      </c>
      <c r="AA182" s="57">
        <f t="shared" si="116"/>
        <v>200.22500000000022</v>
      </c>
      <c r="AB182" s="57">
        <f t="shared" si="116"/>
        <v>-181.97699999999992</v>
      </c>
      <c r="AC182" s="57">
        <f t="shared" si="116"/>
        <v>-312.34400000000085</v>
      </c>
      <c r="AD182" s="57">
        <f t="shared" si="116"/>
        <v>35.154000000001247</v>
      </c>
      <c r="AE182" s="57">
        <f t="shared" si="116"/>
        <v>-316.67070000000029</v>
      </c>
      <c r="AF182" s="57">
        <v>-341.55399999999952</v>
      </c>
      <c r="AG182" s="57">
        <v>-161.13700000000097</v>
      </c>
      <c r="AH182" s="57">
        <v>-206.70099999999854</v>
      </c>
      <c r="AI182" s="57">
        <v>-29.855499032161255</v>
      </c>
      <c r="AJ182" s="57">
        <f t="shared" si="116"/>
        <v>83.343792509997527</v>
      </c>
      <c r="AK182" s="57">
        <f t="shared" si="116"/>
        <v>90.477890639999444</v>
      </c>
      <c r="AL182" s="57">
        <f t="shared" si="116"/>
        <v>-71.28513745754735</v>
      </c>
      <c r="AM182" s="57">
        <f t="shared" si="116"/>
        <v>167.76652823552081</v>
      </c>
      <c r="AN182" s="57">
        <f t="shared" si="116"/>
        <v>54.282261573254914</v>
      </c>
      <c r="AO182" s="57">
        <f t="shared" si="116"/>
        <v>-205.82903541245673</v>
      </c>
      <c r="AP182" s="57">
        <f t="shared" si="116"/>
        <v>-56.99614666319755</v>
      </c>
      <c r="AQ182" s="57">
        <f>AQ93</f>
        <v>-29.09160728233298</v>
      </c>
      <c r="AR182" s="57">
        <f>AR93</f>
        <v>-154.31925264999947</v>
      </c>
      <c r="AS182" s="19"/>
      <c r="AT182" s="57">
        <f t="shared" ref="AT182:AZ182" si="117">AT93</f>
        <v>650.59735881000029</v>
      </c>
      <c r="AU182" s="57">
        <f t="shared" si="117"/>
        <v>788.33276824848997</v>
      </c>
      <c r="AV182" s="57">
        <f t="shared" si="117"/>
        <v>851.84600000000023</v>
      </c>
      <c r="AW182" s="57">
        <f t="shared" si="117"/>
        <v>785.29900000000066</v>
      </c>
      <c r="AX182" s="57">
        <f t="shared" si="117"/>
        <v>500.33600000000047</v>
      </c>
      <c r="AY182" s="57">
        <f>AY93</f>
        <v>-775.83769999999663</v>
      </c>
      <c r="AZ182" s="57">
        <f t="shared" si="117"/>
        <v>-828.37372303855079</v>
      </c>
      <c r="BA182" s="57">
        <f>BA93</f>
        <v>270.30307392797044</v>
      </c>
      <c r="BB182" s="57">
        <f>BB93</f>
        <v>-237.63452778473234</v>
      </c>
      <c r="BC182" s="37"/>
    </row>
    <row r="183" spans="1:55" ht="13.5" outlineLevel="1">
      <c r="B183" s="11" t="s">
        <v>532</v>
      </c>
      <c r="C183" s="114" t="s">
        <v>390</v>
      </c>
      <c r="D183" s="11"/>
      <c r="E183" s="11"/>
      <c r="F183" s="11"/>
      <c r="G183" s="11"/>
      <c r="H183" s="57">
        <f t="shared" ref="H183:Z183" si="118">SUM(H184:H215)</f>
        <v>87.572000000000003</v>
      </c>
      <c r="I183" s="57">
        <f t="shared" si="118"/>
        <v>78.908999999999992</v>
      </c>
      <c r="J183" s="57">
        <f t="shared" si="118"/>
        <v>74.344999999999985</v>
      </c>
      <c r="K183" s="57">
        <f t="shared" si="118"/>
        <v>126.381</v>
      </c>
      <c r="L183" s="57">
        <f t="shared" si="118"/>
        <v>147.07999999999998</v>
      </c>
      <c r="M183" s="57">
        <f t="shared" si="118"/>
        <v>144.69999999999999</v>
      </c>
      <c r="N183" s="57">
        <f t="shared" si="118"/>
        <v>5.2409999999999677</v>
      </c>
      <c r="O183" s="57">
        <f t="shared" si="118"/>
        <v>95.30300000000004</v>
      </c>
      <c r="P183" s="57">
        <f t="shared" si="118"/>
        <v>154.994</v>
      </c>
      <c r="Q183" s="57">
        <f t="shared" si="118"/>
        <v>163.68900000000002</v>
      </c>
      <c r="R183" s="57">
        <f t="shared" si="118"/>
        <v>99.427000000000035</v>
      </c>
      <c r="S183" s="57">
        <f t="shared" si="118"/>
        <v>143.68099999999993</v>
      </c>
      <c r="T183" s="57">
        <f t="shared" si="118"/>
        <v>338.49800000000005</v>
      </c>
      <c r="U183" s="57">
        <f t="shared" si="118"/>
        <v>386.30599999999993</v>
      </c>
      <c r="V183" s="57">
        <f t="shared" si="118"/>
        <v>339.94500000000005</v>
      </c>
      <c r="W183" s="57">
        <f t="shared" si="118"/>
        <v>369.01300000000003</v>
      </c>
      <c r="X183" s="57">
        <f t="shared" si="118"/>
        <v>336.82</v>
      </c>
      <c r="Y183" s="57">
        <f t="shared" si="118"/>
        <v>250.55300000000017</v>
      </c>
      <c r="Z183" s="57">
        <f t="shared" si="118"/>
        <v>362.78999999999996</v>
      </c>
      <c r="AA183" s="57">
        <f t="shared" ref="AA183:AP183" si="119">SUM(AA184:AA217)</f>
        <v>468.447</v>
      </c>
      <c r="AB183" s="57">
        <f t="shared" si="119"/>
        <v>1351.0259999999998</v>
      </c>
      <c r="AC183" s="57">
        <f t="shared" si="119"/>
        <v>656.27599999999995</v>
      </c>
      <c r="AD183" s="57">
        <f t="shared" si="119"/>
        <v>547.58200000000056</v>
      </c>
      <c r="AE183" s="57">
        <f t="shared" si="119"/>
        <v>1359.6349999999998</v>
      </c>
      <c r="AF183" s="57">
        <f t="shared" si="119"/>
        <v>1356.6950000000002</v>
      </c>
      <c r="AG183" s="57">
        <f t="shared" si="119"/>
        <v>1145.0310000000002</v>
      </c>
      <c r="AH183" s="57">
        <f t="shared" si="119"/>
        <v>1352.0609999999999</v>
      </c>
      <c r="AI183" s="57">
        <f t="shared" si="119"/>
        <v>1114.114</v>
      </c>
      <c r="AJ183" s="57">
        <f t="shared" si="119"/>
        <v>1326.1029999999998</v>
      </c>
      <c r="AK183" s="57">
        <f t="shared" si="119"/>
        <v>1180.1750000000002</v>
      </c>
      <c r="AL183" s="57">
        <f t="shared" si="119"/>
        <v>1331.5120000000002</v>
      </c>
      <c r="AM183" s="57">
        <f t="shared" si="119"/>
        <v>1803.1759999999997</v>
      </c>
      <c r="AN183" s="57">
        <f t="shared" si="119"/>
        <v>1411.8749999999998</v>
      </c>
      <c r="AO183" s="57">
        <f t="shared" si="119"/>
        <v>1536.9100000000005</v>
      </c>
      <c r="AP183" s="57">
        <f t="shared" si="119"/>
        <v>1444.222</v>
      </c>
      <c r="AQ183" s="57">
        <f>SUM(AQ184:AQ217)</f>
        <v>1426.0469999999998</v>
      </c>
      <c r="AR183" s="57">
        <f>SUM(AR184:AR217)</f>
        <v>1696.7669999999998</v>
      </c>
      <c r="AS183" s="19"/>
      <c r="AT183" s="57">
        <f>SUM(AT184:AT215)</f>
        <v>367.20700000000005</v>
      </c>
      <c r="AU183" s="57">
        <f>SUM(AU184:AU215)</f>
        <v>392.32400000000001</v>
      </c>
      <c r="AV183" s="57">
        <f>SUM(AV184:AV215)</f>
        <v>561.79099999999994</v>
      </c>
      <c r="AW183" s="57">
        <f>SUM(AW184:AW215)</f>
        <v>1433.7619999999997</v>
      </c>
      <c r="AX183" s="57">
        <f>SUM(AX184:AX216)</f>
        <v>1418.6099999999997</v>
      </c>
      <c r="AY183" s="57">
        <f>SUM(AY184:AY216)</f>
        <v>3914.5189999999998</v>
      </c>
      <c r="AZ183" s="57">
        <f>SUM(AZ184:AZ217)</f>
        <v>4967.9009999999998</v>
      </c>
      <c r="BA183" s="57">
        <f>SUM(BA184:BA217)</f>
        <v>5638.5379999999996</v>
      </c>
      <c r="BB183" s="57">
        <f>SUM(BB184:BB217)</f>
        <v>5819.0540000000019</v>
      </c>
      <c r="BC183" s="37"/>
    </row>
    <row r="184" spans="1:55" outlineLevel="1">
      <c r="B184" s="87" t="s">
        <v>422</v>
      </c>
      <c r="C184" s="115" t="s">
        <v>390</v>
      </c>
      <c r="D184" s="5"/>
      <c r="E184" s="5"/>
      <c r="F184" s="5"/>
      <c r="G184" s="5"/>
      <c r="H184" s="53">
        <f>Português!H184</f>
        <v>6.2130000000000001</v>
      </c>
      <c r="I184" s="53">
        <f>Português!I184</f>
        <v>7.0409999999999995</v>
      </c>
      <c r="J184" s="53">
        <f>Português!J184</f>
        <v>7.9829999999999979</v>
      </c>
      <c r="K184" s="53">
        <f>Português!K184</f>
        <v>19.751000000000001</v>
      </c>
      <c r="L184" s="53">
        <f>Português!L184</f>
        <v>9.3770000000000007</v>
      </c>
      <c r="M184" s="53">
        <f>Português!M184</f>
        <v>10.199999999999999</v>
      </c>
      <c r="N184" s="53">
        <f>Português!N184</f>
        <v>11.196000000000002</v>
      </c>
      <c r="O184" s="53">
        <f>Português!O184</f>
        <v>11.684999999999999</v>
      </c>
      <c r="P184" s="53">
        <f>Português!P184</f>
        <v>17.081</v>
      </c>
      <c r="Q184" s="53">
        <f>Português!Q184</f>
        <v>16.156000000000002</v>
      </c>
      <c r="R184" s="53">
        <f>Português!R184</f>
        <v>17.266999999999999</v>
      </c>
      <c r="S184" s="53">
        <f>Português!S184</f>
        <v>92.85199999999999</v>
      </c>
      <c r="T184" s="53">
        <f>Português!T184</f>
        <v>134.989</v>
      </c>
      <c r="U184" s="53">
        <f>Português!U184</f>
        <v>138.64599999999999</v>
      </c>
      <c r="V184" s="53">
        <f>Português!V184</f>
        <v>164.28</v>
      </c>
      <c r="W184" s="53">
        <f>Português!W184</f>
        <v>234.50700000000003</v>
      </c>
      <c r="X184" s="53">
        <f>Português!X184</f>
        <v>195.405</v>
      </c>
      <c r="Y184" s="53">
        <f>Português!Y184</f>
        <v>189.357</v>
      </c>
      <c r="Z184" s="53">
        <f>Português!Z184</f>
        <v>216.10499999999999</v>
      </c>
      <c r="AA184" s="53">
        <f>Português!AA184</f>
        <v>208.28899999999999</v>
      </c>
      <c r="AB184" s="53">
        <f>Português!AB184</f>
        <v>280.56900000000002</v>
      </c>
      <c r="AC184" s="53">
        <f>Português!AC184</f>
        <v>524.596</v>
      </c>
      <c r="AD184" s="53">
        <f>Português!AD184</f>
        <v>627.43100000000004</v>
      </c>
      <c r="AE184" s="53">
        <f>Português!AE184</f>
        <v>548.69200000000001</v>
      </c>
      <c r="AF184" s="53">
        <f>Português!AF184</f>
        <v>451.94099999999997</v>
      </c>
      <c r="AG184" s="53">
        <f>Português!AG184</f>
        <v>481.44</v>
      </c>
      <c r="AH184" s="53">
        <f>Português!AH184</f>
        <v>482.90199999999993</v>
      </c>
      <c r="AI184" s="53">
        <f>Português!AI184</f>
        <v>499.18200000000007</v>
      </c>
      <c r="AJ184" s="53">
        <f>Português!AJ184</f>
        <v>486.84300000000002</v>
      </c>
      <c r="AK184" s="53">
        <f>Português!AK184</f>
        <v>488.02699999999999</v>
      </c>
      <c r="AL184" s="53">
        <f>Português!AL184</f>
        <v>494.10899999999998</v>
      </c>
      <c r="AM184" s="53">
        <f>Português!AM184</f>
        <v>489.97499999999985</v>
      </c>
      <c r="AN184" s="53">
        <f>Português!AN184</f>
        <v>487.58</v>
      </c>
      <c r="AO184" s="53">
        <f>Português!AO184</f>
        <v>473.19</v>
      </c>
      <c r="AP184" s="53">
        <f>Português!AP184</f>
        <v>466.69800000000009</v>
      </c>
      <c r="AQ184" s="53">
        <f>Português!AQ184</f>
        <v>364.25399999999991</v>
      </c>
      <c r="AR184" s="53">
        <f>Português!AR184</f>
        <v>372.61799999999999</v>
      </c>
      <c r="AS184" s="19"/>
      <c r="AT184" s="53">
        <f>SUM(H184:K184)</f>
        <v>40.988</v>
      </c>
      <c r="AU184" s="53">
        <f>SUM(L184:O184)</f>
        <v>42.457999999999998</v>
      </c>
      <c r="AV184" s="53">
        <f>SUM(P184:S184)</f>
        <v>143.35599999999999</v>
      </c>
      <c r="AW184" s="53">
        <f>SUM(T184:W184)</f>
        <v>672.42200000000003</v>
      </c>
      <c r="AX184" s="53">
        <f>SUM(X184:AA184)</f>
        <v>809.15599999999995</v>
      </c>
      <c r="AY184" s="53">
        <f>SUM(AB184:AE184)</f>
        <v>1981.288</v>
      </c>
      <c r="AZ184" s="53">
        <f t="shared" ref="AZ184:AZ217" si="120">SUM(AF184:AI184)</f>
        <v>1915.4649999999999</v>
      </c>
      <c r="BA184" s="53">
        <f>SUM(AJ184:AM184)</f>
        <v>1958.954</v>
      </c>
      <c r="BB184" s="53">
        <f>SUM(AN184:AQ184)</f>
        <v>1791.722</v>
      </c>
      <c r="BC184" s="37"/>
    </row>
    <row r="185" spans="1:55" outlineLevel="1">
      <c r="A185" s="1"/>
      <c r="B185" s="87" t="s">
        <v>533</v>
      </c>
      <c r="C185" s="115" t="s">
        <v>390</v>
      </c>
      <c r="D185" s="5"/>
      <c r="E185" s="5"/>
      <c r="F185" s="5"/>
      <c r="G185" s="5"/>
      <c r="H185" s="53">
        <f>Português!H185</f>
        <v>0</v>
      </c>
      <c r="I185" s="53">
        <f>Português!I185</f>
        <v>0</v>
      </c>
      <c r="J185" s="53">
        <f>Português!J185</f>
        <v>0</v>
      </c>
      <c r="K185" s="53">
        <f>Português!K185</f>
        <v>0</v>
      </c>
      <c r="L185" s="53">
        <f>Português!L185</f>
        <v>0</v>
      </c>
      <c r="M185" s="53">
        <f>Português!M185</f>
        <v>0</v>
      </c>
      <c r="N185" s="53">
        <f>Português!N185</f>
        <v>0</v>
      </c>
      <c r="O185" s="53">
        <f>Português!O185</f>
        <v>0</v>
      </c>
      <c r="P185" s="53">
        <f>Português!P185</f>
        <v>11.365</v>
      </c>
      <c r="Q185" s="53">
        <f>Português!Q185</f>
        <v>12.926</v>
      </c>
      <c r="R185" s="53">
        <f>Português!R185</f>
        <v>15.310999999999995</v>
      </c>
      <c r="S185" s="53">
        <f>Português!S185</f>
        <v>16.886000000000003</v>
      </c>
      <c r="T185" s="53">
        <f>Português!T185</f>
        <v>20.991</v>
      </c>
      <c r="U185" s="53">
        <f>Português!U185</f>
        <v>17.953000000000003</v>
      </c>
      <c r="V185" s="53">
        <f>Português!V185</f>
        <v>17.042999999999999</v>
      </c>
      <c r="W185" s="53">
        <f>Português!W185</f>
        <v>24.076999999999991</v>
      </c>
      <c r="X185" s="53">
        <f>Português!X185</f>
        <v>20.719000000000001</v>
      </c>
      <c r="Y185" s="53">
        <f>Português!Y185</f>
        <v>18.311</v>
      </c>
      <c r="Z185" s="53">
        <f>Português!Z185</f>
        <v>22.207999999999998</v>
      </c>
      <c r="AA185" s="53">
        <f>Português!AA185</f>
        <v>24.691000000000003</v>
      </c>
      <c r="AB185" s="53">
        <f>Português!AB185</f>
        <v>36.494999999999997</v>
      </c>
      <c r="AC185" s="53">
        <f>Português!AC185</f>
        <v>44.646000000000001</v>
      </c>
      <c r="AD185" s="53">
        <f>Português!AD185</f>
        <v>44.034999999999997</v>
      </c>
      <c r="AE185" s="53">
        <f>Português!AE185</f>
        <v>80.819000000000017</v>
      </c>
      <c r="AF185" s="53">
        <f>Português!AF185</f>
        <v>51.04</v>
      </c>
      <c r="AG185" s="53">
        <f>Português!AG185</f>
        <v>51.330999999999996</v>
      </c>
      <c r="AH185" s="53">
        <f>Português!AH185</f>
        <v>57.584000000000017</v>
      </c>
      <c r="AI185" s="53">
        <f>Português!AI185</f>
        <v>53.095999999999989</v>
      </c>
      <c r="AJ185" s="53">
        <f>Português!AJ185</f>
        <v>57.03</v>
      </c>
      <c r="AK185" s="53">
        <f>Português!AK185</f>
        <v>58.585999999999999</v>
      </c>
      <c r="AL185" s="53">
        <f>Português!AL185</f>
        <v>65.792999999999992</v>
      </c>
      <c r="AM185" s="53">
        <f>Português!AM185</f>
        <v>81.608000000000018</v>
      </c>
      <c r="AN185" s="53">
        <f>Português!AN185</f>
        <v>66.784999999999997</v>
      </c>
      <c r="AO185" s="53">
        <f>Português!AO185</f>
        <v>66.247000000000014</v>
      </c>
      <c r="AP185" s="53">
        <f>Português!AP185</f>
        <v>68.72399999999999</v>
      </c>
      <c r="AQ185" s="53">
        <f>Português!AQ185</f>
        <v>74.005000000000024</v>
      </c>
      <c r="AR185" s="53">
        <f>Português!AR185</f>
        <v>75.869</v>
      </c>
      <c r="AS185" s="19"/>
      <c r="AT185" s="53">
        <f>SUM(H185:K185)</f>
        <v>0</v>
      </c>
      <c r="AU185" s="53">
        <f>SUM(L185:O185)</f>
        <v>0</v>
      </c>
      <c r="AV185" s="53">
        <f>SUM(P185:S185)</f>
        <v>56.488</v>
      </c>
      <c r="AW185" s="53">
        <f>SUM(T185:W185)</f>
        <v>80.063999999999993</v>
      </c>
      <c r="AX185" s="53">
        <f>SUM(X185:AA185)</f>
        <v>85.929000000000002</v>
      </c>
      <c r="AY185" s="53">
        <f>SUM(AB185:AE185)</f>
        <v>205.995</v>
      </c>
      <c r="AZ185" s="53">
        <f t="shared" si="120"/>
        <v>213.05099999999999</v>
      </c>
      <c r="BA185" s="53">
        <f t="shared" ref="BA185:BA226" si="121">SUM(AJ185:AM185)</f>
        <v>263.017</v>
      </c>
      <c r="BB185" s="53">
        <f t="shared" ref="BB185:BB248" si="122">SUM(AN185:AQ185)</f>
        <v>275.76100000000002</v>
      </c>
      <c r="BC185" s="37"/>
    </row>
    <row r="186" spans="1:55" outlineLevel="1">
      <c r="A186" s="1"/>
      <c r="B186" s="14" t="s">
        <v>534</v>
      </c>
      <c r="C186" s="115" t="s">
        <v>390</v>
      </c>
      <c r="D186" s="5"/>
      <c r="E186" s="5"/>
      <c r="F186" s="5"/>
      <c r="G186" s="5"/>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v>93.56</v>
      </c>
      <c r="AH186" s="53">
        <f>Português!AH186</f>
        <v>0</v>
      </c>
      <c r="AI186" s="53">
        <f>Português!AI186</f>
        <v>0</v>
      </c>
      <c r="AJ186" s="53">
        <f>Português!AJ186</f>
        <v>0</v>
      </c>
      <c r="AK186" s="53">
        <f>Português!AK186</f>
        <v>0</v>
      </c>
      <c r="AL186" s="53">
        <f>Português!AL186</f>
        <v>0</v>
      </c>
      <c r="AM186" s="53">
        <f>Português!AM186</f>
        <v>0</v>
      </c>
      <c r="AN186" s="53">
        <f>Português!AN186</f>
        <v>0</v>
      </c>
      <c r="AO186" s="53">
        <f>Português!AO186</f>
        <v>0</v>
      </c>
      <c r="AP186" s="53">
        <f>Português!AP186</f>
        <v>0</v>
      </c>
      <c r="AQ186" s="53">
        <f>Português!AQ186</f>
        <v>0</v>
      </c>
      <c r="AR186" s="53">
        <f>Português!AR186</f>
        <v>0</v>
      </c>
      <c r="AS186" s="19"/>
      <c r="AT186" s="53">
        <v>0</v>
      </c>
      <c r="AU186" s="53">
        <v>0</v>
      </c>
      <c r="AV186" s="53">
        <v>0</v>
      </c>
      <c r="AW186" s="53">
        <v>0</v>
      </c>
      <c r="AX186" s="53">
        <v>0</v>
      </c>
      <c r="AY186" s="53">
        <v>0</v>
      </c>
      <c r="AZ186" s="53">
        <f t="shared" si="120"/>
        <v>93.56</v>
      </c>
      <c r="BA186" s="53">
        <f t="shared" si="121"/>
        <v>0</v>
      </c>
      <c r="BB186" s="53">
        <f t="shared" si="122"/>
        <v>0</v>
      </c>
      <c r="BC186" s="37"/>
    </row>
    <row r="187" spans="1:55" outlineLevel="1">
      <c r="A187" s="1"/>
      <c r="B187" s="87" t="s">
        <v>535</v>
      </c>
      <c r="C187" s="115" t="s">
        <v>390</v>
      </c>
      <c r="D187" s="5"/>
      <c r="E187" s="5"/>
      <c r="F187" s="5"/>
      <c r="G187" s="5"/>
      <c r="H187" s="53">
        <v>0</v>
      </c>
      <c r="I187" s="53">
        <v>0</v>
      </c>
      <c r="J187" s="53">
        <v>0</v>
      </c>
      <c r="K187" s="53">
        <v>0</v>
      </c>
      <c r="L187" s="53">
        <v>0</v>
      </c>
      <c r="M187" s="53">
        <v>0</v>
      </c>
      <c r="N187" s="53">
        <v>0</v>
      </c>
      <c r="O187" s="53">
        <v>0</v>
      </c>
      <c r="P187" s="53">
        <v>0</v>
      </c>
      <c r="Q187" s="53">
        <v>0</v>
      </c>
      <c r="R187" s="53">
        <v>0</v>
      </c>
      <c r="S187" s="53">
        <v>0</v>
      </c>
      <c r="T187" s="53">
        <v>0</v>
      </c>
      <c r="U187" s="53">
        <v>0</v>
      </c>
      <c r="V187" s="53">
        <v>0</v>
      </c>
      <c r="W187" s="53">
        <v>0</v>
      </c>
      <c r="X187" s="53">
        <v>0</v>
      </c>
      <c r="Y187" s="53">
        <v>0</v>
      </c>
      <c r="Z187" s="53">
        <v>0</v>
      </c>
      <c r="AA187" s="53">
        <v>0</v>
      </c>
      <c r="AB187" s="53">
        <v>0</v>
      </c>
      <c r="AC187" s="53">
        <v>0</v>
      </c>
      <c r="AD187" s="53">
        <v>0</v>
      </c>
      <c r="AE187" s="53">
        <v>0</v>
      </c>
      <c r="AF187" s="53">
        <v>0</v>
      </c>
      <c r="AG187" s="53">
        <f>Português!AG187</f>
        <v>-112.54</v>
      </c>
      <c r="AH187" s="53">
        <f>Português!AH187</f>
        <v>-8.7389999999999901</v>
      </c>
      <c r="AI187" s="53">
        <f>Português!AI187</f>
        <v>0</v>
      </c>
      <c r="AJ187" s="53">
        <f>Português!AJ187</f>
        <v>0</v>
      </c>
      <c r="AK187" s="53">
        <f>Português!AK187</f>
        <v>0</v>
      </c>
      <c r="AL187" s="53">
        <f>Português!AL187</f>
        <v>0</v>
      </c>
      <c r="AM187" s="53">
        <f>Português!AM187</f>
        <v>0</v>
      </c>
      <c r="AN187" s="53">
        <f>Português!AN187</f>
        <v>0</v>
      </c>
      <c r="AO187" s="53">
        <f>Português!AO187</f>
        <v>0</v>
      </c>
      <c r="AP187" s="53">
        <f>Português!AP187</f>
        <v>0</v>
      </c>
      <c r="AQ187" s="53">
        <f>Português!AQ187</f>
        <v>0</v>
      </c>
      <c r="AR187" s="53">
        <f>Português!AR187</f>
        <v>0</v>
      </c>
      <c r="AS187" s="19"/>
      <c r="AT187" s="53">
        <v>0</v>
      </c>
      <c r="AU187" s="53">
        <v>0</v>
      </c>
      <c r="AV187" s="53">
        <v>0</v>
      </c>
      <c r="AW187" s="53">
        <v>0</v>
      </c>
      <c r="AX187" s="53">
        <v>0</v>
      </c>
      <c r="AY187" s="53">
        <v>0</v>
      </c>
      <c r="AZ187" s="53">
        <f t="shared" si="120"/>
        <v>-121.279</v>
      </c>
      <c r="BA187" s="53">
        <f t="shared" si="121"/>
        <v>0</v>
      </c>
      <c r="BB187" s="53">
        <f t="shared" si="122"/>
        <v>0</v>
      </c>
      <c r="BC187" s="37"/>
    </row>
    <row r="188" spans="1:55" outlineLevel="1">
      <c r="A188" s="1"/>
      <c r="B188" s="87" t="s">
        <v>536</v>
      </c>
      <c r="C188" s="115" t="s">
        <v>390</v>
      </c>
      <c r="D188" s="5"/>
      <c r="E188" s="5"/>
      <c r="F188" s="5"/>
      <c r="G188" s="5"/>
      <c r="H188" s="53">
        <v>0</v>
      </c>
      <c r="I188" s="53">
        <v>0</v>
      </c>
      <c r="J188" s="53">
        <v>0</v>
      </c>
      <c r="K188" s="53">
        <v>0</v>
      </c>
      <c r="L188" s="53">
        <v>0</v>
      </c>
      <c r="M188" s="53">
        <v>0</v>
      </c>
      <c r="N188" s="53">
        <v>0</v>
      </c>
      <c r="O188" s="53">
        <v>0</v>
      </c>
      <c r="P188" s="53">
        <v>0</v>
      </c>
      <c r="Q188" s="53">
        <v>0</v>
      </c>
      <c r="R188" s="53">
        <v>0</v>
      </c>
      <c r="S188" s="53">
        <v>0</v>
      </c>
      <c r="T188" s="53">
        <v>0</v>
      </c>
      <c r="U188" s="53">
        <v>0</v>
      </c>
      <c r="V188" s="53">
        <v>0</v>
      </c>
      <c r="W188" s="53">
        <v>0</v>
      </c>
      <c r="X188" s="53">
        <v>0</v>
      </c>
      <c r="Y188" s="53">
        <v>0</v>
      </c>
      <c r="Z188" s="53">
        <v>0</v>
      </c>
      <c r="AA188" s="53">
        <v>0</v>
      </c>
      <c r="AB188" s="53">
        <v>0</v>
      </c>
      <c r="AC188" s="53">
        <v>0</v>
      </c>
      <c r="AD188" s="53">
        <v>0</v>
      </c>
      <c r="AE188" s="53">
        <v>0</v>
      </c>
      <c r="AF188" s="53">
        <v>0</v>
      </c>
      <c r="AG188" s="53">
        <f>Português!AG188</f>
        <v>0</v>
      </c>
      <c r="AH188" s="53">
        <f>Português!AH188</f>
        <v>0</v>
      </c>
      <c r="AI188" s="53">
        <f>Português!AI188</f>
        <v>0</v>
      </c>
      <c r="AJ188" s="53">
        <f>Português!AJ188</f>
        <v>0</v>
      </c>
      <c r="AK188" s="53">
        <f>Português!AK188</f>
        <v>0</v>
      </c>
      <c r="AL188" s="53">
        <f>Português!AL188</f>
        <v>0</v>
      </c>
      <c r="AM188" s="53">
        <f>Português!AM188</f>
        <v>0</v>
      </c>
      <c r="AN188" s="53">
        <f>Português!AN188</f>
        <v>0</v>
      </c>
      <c r="AO188" s="53">
        <f>Português!AO188</f>
        <v>15.526999999999999</v>
      </c>
      <c r="AP188" s="53">
        <f>Português!AP188</f>
        <v>8.2219999999999995</v>
      </c>
      <c r="AQ188" s="53">
        <f>Português!AQ188</f>
        <v>8.4199999999999982</v>
      </c>
      <c r="AR188" s="53">
        <f>Português!AR188</f>
        <v>-4.6369999999999996</v>
      </c>
      <c r="AS188" s="19"/>
      <c r="AT188" s="53"/>
      <c r="AU188" s="53"/>
      <c r="AV188" s="53"/>
      <c r="AW188" s="53"/>
      <c r="AX188" s="53"/>
      <c r="AY188" s="53"/>
      <c r="AZ188" s="53"/>
      <c r="BA188" s="53"/>
      <c r="BB188" s="53">
        <f t="shared" si="122"/>
        <v>32.168999999999997</v>
      </c>
      <c r="BC188" s="37"/>
    </row>
    <row r="189" spans="1:55" outlineLevel="1">
      <c r="B189" s="87" t="s">
        <v>500</v>
      </c>
      <c r="C189" s="115" t="s">
        <v>390</v>
      </c>
      <c r="D189" s="5"/>
      <c r="E189" s="5"/>
      <c r="F189" s="5"/>
      <c r="G189" s="5"/>
      <c r="H189" s="53">
        <f>Português!H189</f>
        <v>6.7050000000000001</v>
      </c>
      <c r="I189" s="53">
        <f>Português!I189</f>
        <v>-6.6230000000000002</v>
      </c>
      <c r="J189" s="53">
        <f>Português!J189</f>
        <v>8.0919999999999987</v>
      </c>
      <c r="K189" s="53">
        <f>Português!K189</f>
        <v>17.254000000000001</v>
      </c>
      <c r="L189" s="53">
        <f>Português!L189</f>
        <v>3.7410000000000001</v>
      </c>
      <c r="M189" s="53">
        <f>Português!M189</f>
        <v>10.4</v>
      </c>
      <c r="N189" s="53">
        <f>Português!N189</f>
        <v>11.936000000000002</v>
      </c>
      <c r="O189" s="53">
        <f>Português!O189</f>
        <v>23.456999999999997</v>
      </c>
      <c r="P189" s="53">
        <f>Português!P189</f>
        <v>8.5809999999999995</v>
      </c>
      <c r="Q189" s="53">
        <f>Português!Q189</f>
        <v>5.82</v>
      </c>
      <c r="R189" s="53">
        <f>Português!R189</f>
        <v>-4.4239999999999995</v>
      </c>
      <c r="S189" s="53">
        <f>Português!S189</f>
        <v>-60.808000000000007</v>
      </c>
      <c r="T189" s="53">
        <f>Português!T189</f>
        <v>10.164999999999999</v>
      </c>
      <c r="U189" s="53">
        <f>Português!U189</f>
        <v>-17.216999999999999</v>
      </c>
      <c r="V189" s="53">
        <f>Português!V189</f>
        <v>6.0470000000000006</v>
      </c>
      <c r="W189" s="53">
        <f>Português!W189</f>
        <v>7.1069999999999993</v>
      </c>
      <c r="X189" s="53">
        <f>Português!X189</f>
        <v>-12.135</v>
      </c>
      <c r="Y189" s="53">
        <f>Português!Y189</f>
        <v>14.532</v>
      </c>
      <c r="Z189" s="53">
        <f>Português!Z189</f>
        <v>14.169999999999998</v>
      </c>
      <c r="AA189" s="53">
        <f>Português!AA189</f>
        <v>-16.478000000000002</v>
      </c>
      <c r="AB189" s="53">
        <f>Português!AB189</f>
        <v>548.99599999999998</v>
      </c>
      <c r="AC189" s="53">
        <f>Português!AC189</f>
        <v>-539.99800000000005</v>
      </c>
      <c r="AD189" s="53">
        <f>Português!AD189</f>
        <v>-5.3559999999998809</v>
      </c>
      <c r="AE189" s="53">
        <f>Português!AE189</f>
        <v>43.902999999999949</v>
      </c>
      <c r="AF189" s="53">
        <f>Português!AF189</f>
        <v>-1.8680000000000001</v>
      </c>
      <c r="AG189" s="53">
        <f>Português!AG189</f>
        <v>28.715999999999998</v>
      </c>
      <c r="AH189" s="53">
        <f>Português!AH189</f>
        <v>-8.0689999999999991</v>
      </c>
      <c r="AI189" s="53">
        <f>Português!AI189</f>
        <v>-41.492999999999995</v>
      </c>
      <c r="AJ189" s="53">
        <f>Português!AJ189</f>
        <v>0.71299999999999997</v>
      </c>
      <c r="AK189" s="53">
        <f>Português!AK189</f>
        <v>-37.890999999999998</v>
      </c>
      <c r="AL189" s="53">
        <f>Português!AL189</f>
        <v>21.277999999999999</v>
      </c>
      <c r="AM189" s="53">
        <f>Português!AM189</f>
        <v>-19.393999999999998</v>
      </c>
      <c r="AN189" s="53">
        <f>Português!AN189</f>
        <v>23.547999999999998</v>
      </c>
      <c r="AO189" s="53">
        <f>Português!AO189</f>
        <v>371.4</v>
      </c>
      <c r="AP189" s="53">
        <f>Português!AP189</f>
        <v>55.54000000000002</v>
      </c>
      <c r="AQ189" s="53">
        <f>Português!AQ189</f>
        <v>167.03400000000005</v>
      </c>
      <c r="AR189" s="53">
        <f>Português!AR189</f>
        <v>140.00200000000001</v>
      </c>
      <c r="AS189" s="19"/>
      <c r="AT189" s="53">
        <f t="shared" ref="AT189:AT215" si="123">SUM(H189:K189)</f>
        <v>25.428000000000001</v>
      </c>
      <c r="AU189" s="53">
        <f t="shared" ref="AU189:AU215" si="124">SUM(L189:O189)</f>
        <v>49.533999999999999</v>
      </c>
      <c r="AV189" s="53">
        <f t="shared" ref="AV189:AV215" si="125">SUM(P189:S189)</f>
        <v>-50.831000000000003</v>
      </c>
      <c r="AW189" s="53">
        <f t="shared" ref="AW189:AW215" si="126">SUM(T189:W189)</f>
        <v>6.1020000000000003</v>
      </c>
      <c r="AX189" s="53">
        <f t="shared" ref="AX189:AX216" si="127">SUM(X189:AA189)</f>
        <v>8.8999999999998636E-2</v>
      </c>
      <c r="AY189" s="53">
        <f t="shared" ref="AY189:AY217" si="128">SUM(AB189:AE189)</f>
        <v>47.545000000000002</v>
      </c>
      <c r="AZ189" s="53">
        <f t="shared" si="120"/>
        <v>-22.713999999999995</v>
      </c>
      <c r="BA189" s="53">
        <f>SUM(AJ189:AM189)</f>
        <v>-35.293999999999997</v>
      </c>
      <c r="BB189" s="53">
        <f t="shared" si="122"/>
        <v>617.52200000000005</v>
      </c>
      <c r="BC189" s="37"/>
    </row>
    <row r="190" spans="1:55" outlineLevel="1">
      <c r="B190" s="87" t="s">
        <v>537</v>
      </c>
      <c r="C190" s="115" t="s">
        <v>390</v>
      </c>
      <c r="D190" s="5"/>
      <c r="E190" s="5"/>
      <c r="F190" s="5"/>
      <c r="G190" s="5"/>
      <c r="H190" s="53">
        <f>Português!H190</f>
        <v>0</v>
      </c>
      <c r="I190" s="53">
        <f>Português!I190</f>
        <v>0</v>
      </c>
      <c r="J190" s="53">
        <f>Português!J190</f>
        <v>0</v>
      </c>
      <c r="K190" s="53">
        <f>Português!K190</f>
        <v>0</v>
      </c>
      <c r="L190" s="53">
        <f>Português!L190</f>
        <v>0</v>
      </c>
      <c r="M190" s="53">
        <f>Português!M190</f>
        <v>0</v>
      </c>
      <c r="N190" s="53">
        <f>Português!N190</f>
        <v>0</v>
      </c>
      <c r="O190" s="53">
        <f>Português!O190</f>
        <v>0</v>
      </c>
      <c r="P190" s="53">
        <f>Português!P190</f>
        <v>0</v>
      </c>
      <c r="Q190" s="53">
        <f>Português!Q190</f>
        <v>0</v>
      </c>
      <c r="R190" s="53">
        <f>Português!R190</f>
        <v>0</v>
      </c>
      <c r="S190" s="53">
        <f>Português!S190</f>
        <v>0</v>
      </c>
      <c r="T190" s="53">
        <f>Português!T190</f>
        <v>0</v>
      </c>
      <c r="U190" s="53">
        <f>Português!U190</f>
        <v>0</v>
      </c>
      <c r="V190" s="53">
        <f>Português!V190</f>
        <v>0</v>
      </c>
      <c r="W190" s="53">
        <f>Português!W190</f>
        <v>0</v>
      </c>
      <c r="X190" s="53">
        <f>Português!X190</f>
        <v>0</v>
      </c>
      <c r="Y190" s="53">
        <f>Português!Y190</f>
        <v>0</v>
      </c>
      <c r="Z190" s="53">
        <f>Português!Z190</f>
        <v>0</v>
      </c>
      <c r="AA190" s="53">
        <f>Português!AA190</f>
        <v>0</v>
      </c>
      <c r="AB190" s="53">
        <f>Português!AB190</f>
        <v>0</v>
      </c>
      <c r="AC190" s="53">
        <f>Português!AC190</f>
        <v>0</v>
      </c>
      <c r="AD190" s="53">
        <f>Português!AD190</f>
        <v>0</v>
      </c>
      <c r="AE190" s="53">
        <f>Português!AE190</f>
        <v>0</v>
      </c>
      <c r="AF190" s="53">
        <f>Português!AF190</f>
        <v>0</v>
      </c>
      <c r="AG190" s="53">
        <f>Português!AG190</f>
        <v>0</v>
      </c>
      <c r="AH190" s="53">
        <f>Português!AH190</f>
        <v>0</v>
      </c>
      <c r="AI190" s="53">
        <f>Português!AI190</f>
        <v>0</v>
      </c>
      <c r="AJ190" s="53">
        <f>Português!AJ190</f>
        <v>0</v>
      </c>
      <c r="AK190" s="53">
        <f>Português!AK190</f>
        <v>0</v>
      </c>
      <c r="AL190" s="53">
        <f>Português!AL190</f>
        <v>0</v>
      </c>
      <c r="AM190" s="53">
        <f>Português!AM190</f>
        <v>0</v>
      </c>
      <c r="AN190" s="53">
        <f>Português!AN190</f>
        <v>0</v>
      </c>
      <c r="AO190" s="53">
        <f>Português!AO190</f>
        <v>0</v>
      </c>
      <c r="AP190" s="53">
        <f>Português!AP190</f>
        <v>0</v>
      </c>
      <c r="AQ190" s="53">
        <f>Português!AQ190</f>
        <v>0</v>
      </c>
      <c r="AR190" s="53">
        <f>Português!AR190</f>
        <v>0</v>
      </c>
      <c r="AS190" s="19"/>
      <c r="AT190" s="53">
        <f t="shared" si="123"/>
        <v>0</v>
      </c>
      <c r="AU190" s="53">
        <f t="shared" si="124"/>
        <v>0</v>
      </c>
      <c r="AV190" s="53">
        <f t="shared" si="125"/>
        <v>0</v>
      </c>
      <c r="AW190" s="53">
        <f t="shared" si="126"/>
        <v>0</v>
      </c>
      <c r="AX190" s="53">
        <f t="shared" si="127"/>
        <v>0</v>
      </c>
      <c r="AY190" s="53">
        <f t="shared" si="128"/>
        <v>0</v>
      </c>
      <c r="AZ190" s="53">
        <f t="shared" si="120"/>
        <v>0</v>
      </c>
      <c r="BA190" s="53">
        <f t="shared" si="121"/>
        <v>0</v>
      </c>
      <c r="BB190" s="53">
        <f>SUM(AN190:AQ190)</f>
        <v>0</v>
      </c>
      <c r="BC190" s="37"/>
    </row>
    <row r="191" spans="1:55" outlineLevel="1">
      <c r="B191" s="116" t="s">
        <v>538</v>
      </c>
      <c r="C191" s="115" t="s">
        <v>390</v>
      </c>
      <c r="D191" s="5"/>
      <c r="E191" s="5"/>
      <c r="F191" s="5"/>
      <c r="G191" s="5"/>
      <c r="H191" s="53">
        <f>Português!H191</f>
        <v>33.889000000000003</v>
      </c>
      <c r="I191" s="53">
        <f>Português!I191</f>
        <v>32.237000000000002</v>
      </c>
      <c r="J191" s="53">
        <f>Português!J191</f>
        <v>24.062999999999988</v>
      </c>
      <c r="K191" s="53">
        <f>Português!K191</f>
        <v>14.628000000000007</v>
      </c>
      <c r="L191" s="53">
        <f>Português!L191</f>
        <v>65.247</v>
      </c>
      <c r="M191" s="53">
        <f>Português!M191</f>
        <v>23.8</v>
      </c>
      <c r="N191" s="53">
        <f>Português!N191</f>
        <v>35.906999999999996</v>
      </c>
      <c r="O191" s="53">
        <f>Português!O191</f>
        <v>23.726000000000013</v>
      </c>
      <c r="P191" s="53">
        <f>Português!P191</f>
        <v>36.436</v>
      </c>
      <c r="Q191" s="53">
        <f>Português!Q191</f>
        <v>40.470000000000006</v>
      </c>
      <c r="R191" s="53">
        <f>Português!R191</f>
        <v>37.74</v>
      </c>
      <c r="S191" s="53">
        <f>Português!S191</f>
        <v>52.321999999999974</v>
      </c>
      <c r="T191" s="53">
        <f>Português!T191</f>
        <v>55.966000000000001</v>
      </c>
      <c r="U191" s="53">
        <f>Português!U191</f>
        <v>66.669000000000011</v>
      </c>
      <c r="V191" s="53">
        <f>Português!V191</f>
        <v>47.914999999999999</v>
      </c>
      <c r="W191" s="53">
        <f>Português!W191</f>
        <v>50.896999999999984</v>
      </c>
      <c r="X191" s="53">
        <f>Português!X191</f>
        <v>40.668999999999997</v>
      </c>
      <c r="Y191" s="53">
        <f>Português!Y191</f>
        <v>72.91</v>
      </c>
      <c r="Z191" s="53">
        <f>Português!Z191</f>
        <v>31.220000000000013</v>
      </c>
      <c r="AA191" s="53">
        <f>Português!AA191</f>
        <v>66.502999999999986</v>
      </c>
      <c r="AB191" s="53">
        <f>Português!AB191</f>
        <v>65.59</v>
      </c>
      <c r="AC191" s="53">
        <f>Português!AC191</f>
        <v>107.164</v>
      </c>
      <c r="AD191" s="53">
        <f>Português!AD191</f>
        <v>98.37</v>
      </c>
      <c r="AE191" s="53">
        <f>Português!AE191</f>
        <v>153.71299999999997</v>
      </c>
      <c r="AF191" s="53">
        <f>Português!AF191</f>
        <v>154.07599999999999</v>
      </c>
      <c r="AG191" s="53">
        <f>Português!AG191</f>
        <v>126.03100000000003</v>
      </c>
      <c r="AH191" s="53">
        <f>Português!AH191</f>
        <v>131.19399999999996</v>
      </c>
      <c r="AI191" s="53">
        <f>Português!AI191</f>
        <v>138.87399999999991</v>
      </c>
      <c r="AJ191" s="53">
        <f>Português!AJ191</f>
        <v>170.68799999999999</v>
      </c>
      <c r="AK191" s="53">
        <f>Português!AK191</f>
        <v>104.54599999999999</v>
      </c>
      <c r="AL191" s="53">
        <f>Português!AL191</f>
        <v>111.02000000000004</v>
      </c>
      <c r="AM191" s="53">
        <f>Português!AM191</f>
        <v>111.89799999999997</v>
      </c>
      <c r="AN191" s="53">
        <f>Português!AN191</f>
        <v>142.214</v>
      </c>
      <c r="AO191" s="53">
        <f>Português!AO191</f>
        <v>129.47800000000001</v>
      </c>
      <c r="AP191" s="53">
        <f>Português!AP191</f>
        <v>138.83999999999997</v>
      </c>
      <c r="AQ191" s="53">
        <f>Português!AQ191</f>
        <v>138.77699999999999</v>
      </c>
      <c r="AR191" s="53">
        <f>Português!AR191</f>
        <v>153.93</v>
      </c>
      <c r="AS191" s="19"/>
      <c r="AT191" s="53">
        <f t="shared" si="123"/>
        <v>104.81700000000001</v>
      </c>
      <c r="AU191" s="53">
        <f t="shared" si="124"/>
        <v>148.68</v>
      </c>
      <c r="AV191" s="53">
        <f t="shared" si="125"/>
        <v>166.96799999999999</v>
      </c>
      <c r="AW191" s="53">
        <f t="shared" si="126"/>
        <v>221.447</v>
      </c>
      <c r="AX191" s="53">
        <f t="shared" si="127"/>
        <v>211.30199999999999</v>
      </c>
      <c r="AY191" s="53">
        <f t="shared" si="128"/>
        <v>424.83699999999999</v>
      </c>
      <c r="AZ191" s="53">
        <f t="shared" si="120"/>
        <v>550.17499999999995</v>
      </c>
      <c r="BA191" s="53">
        <f t="shared" si="121"/>
        <v>498.15199999999999</v>
      </c>
      <c r="BB191" s="53">
        <f t="shared" si="122"/>
        <v>549.30899999999997</v>
      </c>
      <c r="BC191" s="37"/>
    </row>
    <row r="192" spans="1:55" outlineLevel="1">
      <c r="B192" s="87" t="s">
        <v>539</v>
      </c>
      <c r="C192" s="115" t="s">
        <v>390</v>
      </c>
      <c r="D192" s="5"/>
      <c r="E192" s="5"/>
      <c r="F192" s="5"/>
      <c r="G192" s="5"/>
      <c r="H192" s="53">
        <f>Português!H192</f>
        <v>0</v>
      </c>
      <c r="I192" s="53">
        <f>Português!I192</f>
        <v>0</v>
      </c>
      <c r="J192" s="53">
        <f>Português!J192</f>
        <v>0</v>
      </c>
      <c r="K192" s="53">
        <f>Português!K192</f>
        <v>0</v>
      </c>
      <c r="L192" s="53">
        <f>Português!L192</f>
        <v>0</v>
      </c>
      <c r="M192" s="53">
        <f>Português!M192</f>
        <v>0</v>
      </c>
      <c r="N192" s="53">
        <f>Português!N192</f>
        <v>0</v>
      </c>
      <c r="O192" s="53">
        <f>Português!O192</f>
        <v>0</v>
      </c>
      <c r="P192" s="53">
        <f>Português!P192</f>
        <v>0</v>
      </c>
      <c r="Q192" s="53">
        <f>Português!Q192</f>
        <v>0</v>
      </c>
      <c r="R192" s="53">
        <f>Português!R192</f>
        <v>0</v>
      </c>
      <c r="S192" s="53">
        <f>Português!S192</f>
        <v>0</v>
      </c>
      <c r="T192" s="53">
        <f>Português!T192</f>
        <v>0</v>
      </c>
      <c r="U192" s="53">
        <f>Português!U192</f>
        <v>0</v>
      </c>
      <c r="V192" s="53">
        <f>Português!V192</f>
        <v>0</v>
      </c>
      <c r="W192" s="53">
        <f>Português!W192</f>
        <v>0</v>
      </c>
      <c r="X192" s="53">
        <f>Português!X192</f>
        <v>0</v>
      </c>
      <c r="Y192" s="53">
        <f>Português!Y192</f>
        <v>0</v>
      </c>
      <c r="Z192" s="53">
        <f>Português!Z192</f>
        <v>0</v>
      </c>
      <c r="AA192" s="53">
        <f>Português!AA192</f>
        <v>0</v>
      </c>
      <c r="AB192" s="53">
        <f>Português!AB192</f>
        <v>0</v>
      </c>
      <c r="AC192" s="53">
        <f>Português!AC192</f>
        <v>0</v>
      </c>
      <c r="AD192" s="53">
        <f>Português!AD192</f>
        <v>0</v>
      </c>
      <c r="AE192" s="53">
        <f>Português!AE192</f>
        <v>0</v>
      </c>
      <c r="AF192" s="53">
        <f>Português!AF192</f>
        <v>0</v>
      </c>
      <c r="AG192" s="53">
        <f>Português!AG192</f>
        <v>0</v>
      </c>
      <c r="AH192" s="53">
        <f>Português!AH192</f>
        <v>0</v>
      </c>
      <c r="AI192" s="53">
        <f>Português!AI192</f>
        <v>0</v>
      </c>
      <c r="AJ192" s="53">
        <f>Português!AJ192</f>
        <v>0</v>
      </c>
      <c r="AK192" s="53">
        <f>Português!AK192</f>
        <v>0</v>
      </c>
      <c r="AL192" s="53">
        <f>Português!AL192</f>
        <v>0</v>
      </c>
      <c r="AM192" s="53">
        <f>Português!AM192</f>
        <v>0</v>
      </c>
      <c r="AN192" s="53">
        <f>Português!AN192</f>
        <v>0</v>
      </c>
      <c r="AO192" s="53">
        <f>Português!AO192</f>
        <v>0</v>
      </c>
      <c r="AP192" s="53">
        <f>Português!AP192</f>
        <v>0</v>
      </c>
      <c r="AQ192" s="53">
        <f>Português!AQ192</f>
        <v>0</v>
      </c>
      <c r="AR192" s="53">
        <f>Português!AR192</f>
        <v>0</v>
      </c>
      <c r="AS192" s="19"/>
      <c r="AT192" s="53">
        <f t="shared" si="123"/>
        <v>0</v>
      </c>
      <c r="AU192" s="53">
        <f t="shared" si="124"/>
        <v>0</v>
      </c>
      <c r="AV192" s="53">
        <f t="shared" si="125"/>
        <v>0</v>
      </c>
      <c r="AW192" s="53">
        <f t="shared" si="126"/>
        <v>0</v>
      </c>
      <c r="AX192" s="53">
        <f t="shared" si="127"/>
        <v>0</v>
      </c>
      <c r="AY192" s="53">
        <f t="shared" si="128"/>
        <v>0</v>
      </c>
      <c r="AZ192" s="53">
        <f t="shared" si="120"/>
        <v>0</v>
      </c>
      <c r="BA192" s="53">
        <f t="shared" si="121"/>
        <v>0</v>
      </c>
      <c r="BB192" s="53">
        <f t="shared" si="122"/>
        <v>0</v>
      </c>
      <c r="BC192" s="37"/>
    </row>
    <row r="193" spans="2:55" outlineLevel="1">
      <c r="B193" s="87" t="s">
        <v>540</v>
      </c>
      <c r="C193" s="115" t="s">
        <v>390</v>
      </c>
      <c r="D193" s="5"/>
      <c r="E193" s="5"/>
      <c r="F193" s="5"/>
      <c r="G193" s="5"/>
      <c r="H193" s="53">
        <f>Português!H193</f>
        <v>2.1589999999999998</v>
      </c>
      <c r="I193" s="53">
        <f>Português!I193</f>
        <v>5.9000000000000163E-2</v>
      </c>
      <c r="J193" s="53">
        <f>Português!J193</f>
        <v>6.0999999999999943E-2</v>
      </c>
      <c r="K193" s="53">
        <f>Português!K193</f>
        <v>3.032</v>
      </c>
      <c r="L193" s="53">
        <f>Português!L193</f>
        <v>1.7000000000000001E-2</v>
      </c>
      <c r="M193" s="53">
        <f>Português!M193</f>
        <v>0.1</v>
      </c>
      <c r="N193" s="53">
        <f>Português!N193</f>
        <v>0.22999999999999998</v>
      </c>
      <c r="O193" s="53">
        <f>Português!O193</f>
        <v>3.1659999999999999</v>
      </c>
      <c r="P193" s="53">
        <f>Português!P193</f>
        <v>0.15</v>
      </c>
      <c r="Q193" s="53">
        <f>Português!Q193</f>
        <v>0.151</v>
      </c>
      <c r="R193" s="53">
        <f>Português!R193</f>
        <v>4.2349999999999994</v>
      </c>
      <c r="S193" s="53">
        <f>Português!S193</f>
        <v>0.77700000000000014</v>
      </c>
      <c r="T193" s="53">
        <f>Português!T193</f>
        <v>1.84</v>
      </c>
      <c r="U193" s="53">
        <f>Português!U193</f>
        <v>-0.41000000000000014</v>
      </c>
      <c r="V193" s="53">
        <f>Português!V193</f>
        <v>10.873000000000001</v>
      </c>
      <c r="W193" s="53">
        <f>Português!W193</f>
        <v>-1.447000000000001</v>
      </c>
      <c r="X193" s="53">
        <f>Português!X193</f>
        <v>4.28</v>
      </c>
      <c r="Y193" s="53">
        <f>Português!Y193</f>
        <v>-1.8660000000000001</v>
      </c>
      <c r="Z193" s="53">
        <f>Português!Z193</f>
        <v>0.89799999999999969</v>
      </c>
      <c r="AA193" s="53">
        <f>Português!AA193</f>
        <v>0.4830000000000001</v>
      </c>
      <c r="AB193" s="53">
        <f>Português!AB193</f>
        <v>2.5409999999999999</v>
      </c>
      <c r="AC193" s="53">
        <f>Português!AC193</f>
        <v>3.77</v>
      </c>
      <c r="AD193" s="53">
        <f>Português!AD193</f>
        <v>7.5469999999999997</v>
      </c>
      <c r="AE193" s="53">
        <f>Português!AE193</f>
        <v>21.016999999999999</v>
      </c>
      <c r="AF193" s="53">
        <f>Português!AF193</f>
        <v>0.86799999999999999</v>
      </c>
      <c r="AG193" s="53">
        <f>Português!AG193</f>
        <v>0.64</v>
      </c>
      <c r="AH193" s="53">
        <f>Português!AH193</f>
        <v>0.63700000000000001</v>
      </c>
      <c r="AI193" s="53">
        <f>Português!AI193</f>
        <v>0.43400000000000016</v>
      </c>
      <c r="AJ193" s="53">
        <f>Português!AJ193</f>
        <v>7.0940000000000003</v>
      </c>
      <c r="AK193" s="53">
        <f>Português!AK193</f>
        <v>0.77299999999999969</v>
      </c>
      <c r="AL193" s="53">
        <f>Português!AL193</f>
        <v>0.24299999999999944</v>
      </c>
      <c r="AM193" s="53">
        <f>Português!AM193</f>
        <v>-8.5730000000000004</v>
      </c>
      <c r="AN193" s="53">
        <f>Português!AN193</f>
        <v>6.2E-2</v>
      </c>
      <c r="AO193" s="53">
        <f>Português!AO193</f>
        <v>9.8000000000000004E-2</v>
      </c>
      <c r="AP193" s="53">
        <f>Português!AP193</f>
        <v>24.337</v>
      </c>
      <c r="AQ193" s="53">
        <f>Português!AQ193</f>
        <v>0.1980000000000004</v>
      </c>
      <c r="AR193" s="53">
        <f>Português!AR193</f>
        <v>46.496000000000002</v>
      </c>
      <c r="AS193" s="19"/>
      <c r="AT193" s="53">
        <f t="shared" si="123"/>
        <v>5.3109999999999999</v>
      </c>
      <c r="AU193" s="53">
        <f t="shared" si="124"/>
        <v>3.5129999999999999</v>
      </c>
      <c r="AV193" s="53">
        <f t="shared" si="125"/>
        <v>5.3129999999999997</v>
      </c>
      <c r="AW193" s="53">
        <f t="shared" si="126"/>
        <v>10.856</v>
      </c>
      <c r="AX193" s="53">
        <f t="shared" si="127"/>
        <v>3.7949999999999999</v>
      </c>
      <c r="AY193" s="53">
        <f t="shared" si="128"/>
        <v>34.875</v>
      </c>
      <c r="AZ193" s="53">
        <f t="shared" si="120"/>
        <v>2.5790000000000002</v>
      </c>
      <c r="BA193" s="53">
        <f t="shared" si="121"/>
        <v>-0.46300000000000097</v>
      </c>
      <c r="BB193" s="53">
        <f t="shared" si="122"/>
        <v>24.695</v>
      </c>
      <c r="BC193" s="37"/>
    </row>
    <row r="194" spans="2:55" outlineLevel="1">
      <c r="B194" s="87" t="s">
        <v>541</v>
      </c>
      <c r="C194" s="115" t="s">
        <v>390</v>
      </c>
      <c r="D194" s="5"/>
      <c r="E194" s="5"/>
      <c r="F194" s="5"/>
      <c r="G194" s="5"/>
      <c r="H194" s="53">
        <f>Português!H194</f>
        <v>3.0000000000000001E-3</v>
      </c>
      <c r="I194" s="53">
        <f>Português!I194</f>
        <v>6.6000000000000003E-2</v>
      </c>
      <c r="J194" s="53">
        <f>Português!J194</f>
        <v>1.0000000000000009E-3</v>
      </c>
      <c r="K194" s="53">
        <f>Português!K194</f>
        <v>1.9999999999999879E-3</v>
      </c>
      <c r="L194" s="53">
        <f>Português!L194</f>
        <v>1E-3</v>
      </c>
      <c r="M194" s="53">
        <f>Português!M194</f>
        <v>0</v>
      </c>
      <c r="N194" s="53">
        <f>Português!N194</f>
        <v>1E-3</v>
      </c>
      <c r="O194" s="53">
        <f>Português!O194</f>
        <v>5.4089999999999998</v>
      </c>
      <c r="P194" s="53">
        <f>Português!P194</f>
        <v>1.18</v>
      </c>
      <c r="Q194" s="53">
        <f>Português!Q194</f>
        <v>8.9649999999999999</v>
      </c>
      <c r="R194" s="53">
        <f>Português!R194</f>
        <v>1.3030000000000008</v>
      </c>
      <c r="S194" s="53">
        <f>Português!S194</f>
        <v>12.303000000000001</v>
      </c>
      <c r="T194" s="53">
        <f>Português!T194</f>
        <v>1.3460000000000001</v>
      </c>
      <c r="U194" s="53">
        <f>Português!U194</f>
        <v>4.1710000000000003</v>
      </c>
      <c r="V194" s="53">
        <f>Português!V194</f>
        <v>13.442</v>
      </c>
      <c r="W194" s="53">
        <f>Português!W194</f>
        <v>-18.959</v>
      </c>
      <c r="X194" s="53">
        <f>Português!X194</f>
        <v>0.28399999999999997</v>
      </c>
      <c r="Y194" s="53">
        <f>Português!Y194</f>
        <v>0.60000000000000009</v>
      </c>
      <c r="Z194" s="53">
        <f>Português!Z194</f>
        <v>2.200000000000002E-2</v>
      </c>
      <c r="AA194" s="53">
        <f>Português!AA194</f>
        <v>-0.1130000000000001</v>
      </c>
      <c r="AB194" s="53">
        <f>Português!AB194</f>
        <v>0.19700000000000001</v>
      </c>
      <c r="AC194" s="53">
        <f>Português!AC194</f>
        <v>0.55300000000000005</v>
      </c>
      <c r="AD194" s="53">
        <f>Português!AD194</f>
        <v>0</v>
      </c>
      <c r="AE194" s="53">
        <f>Português!AE194</f>
        <v>-1.9000000000000017E-2</v>
      </c>
      <c r="AF194" s="53">
        <f>Português!AF194</f>
        <v>11.817</v>
      </c>
      <c r="AG194" s="53">
        <f>Português!AG194</f>
        <v>20.509</v>
      </c>
      <c r="AH194" s="53">
        <f>Português!AH194</f>
        <v>147.62300000000002</v>
      </c>
      <c r="AI194" s="53">
        <f>Português!AI194</f>
        <v>3.9999999999906777E-3</v>
      </c>
      <c r="AJ194" s="53">
        <f>Português!AJ194</f>
        <v>4.3419999999999996</v>
      </c>
      <c r="AK194" s="53">
        <f>Português!AK194</f>
        <v>0</v>
      </c>
      <c r="AL194" s="53">
        <f>Português!AL194</f>
        <v>0</v>
      </c>
      <c r="AM194" s="53">
        <f>Português!AM194</f>
        <v>1.7200000000000006</v>
      </c>
      <c r="AN194" s="53">
        <f>Português!AN194</f>
        <v>0</v>
      </c>
      <c r="AO194" s="53">
        <f>Português!AO194</f>
        <v>1.9810000000000001</v>
      </c>
      <c r="AP194" s="53">
        <f>Português!AP194</f>
        <v>48.135999999999996</v>
      </c>
      <c r="AQ194" s="53">
        <f>Português!AQ194</f>
        <v>0</v>
      </c>
      <c r="AR194" s="53">
        <f>Português!AR194</f>
        <v>0</v>
      </c>
      <c r="AS194" s="19"/>
      <c r="AT194" s="53">
        <f t="shared" si="123"/>
        <v>7.1999999999999995E-2</v>
      </c>
      <c r="AU194" s="53">
        <f t="shared" si="124"/>
        <v>5.4109999999999996</v>
      </c>
      <c r="AV194" s="53">
        <f t="shared" si="125"/>
        <v>23.751000000000001</v>
      </c>
      <c r="AW194" s="53">
        <f t="shared" si="126"/>
        <v>0</v>
      </c>
      <c r="AX194" s="53">
        <f t="shared" si="127"/>
        <v>0.79300000000000004</v>
      </c>
      <c r="AY194" s="53">
        <f t="shared" si="128"/>
        <v>0.73099999999999998</v>
      </c>
      <c r="AZ194" s="53">
        <f t="shared" si="120"/>
        <v>179.953</v>
      </c>
      <c r="BA194" s="53">
        <f t="shared" si="121"/>
        <v>6.0620000000000003</v>
      </c>
      <c r="BB194" s="53">
        <f t="shared" si="122"/>
        <v>50.116999999999997</v>
      </c>
      <c r="BC194" s="37"/>
    </row>
    <row r="195" spans="2:55" outlineLevel="1">
      <c r="B195" s="14" t="s">
        <v>542</v>
      </c>
      <c r="C195" s="115" t="s">
        <v>390</v>
      </c>
      <c r="D195" s="5"/>
      <c r="E195" s="5"/>
      <c r="F195" s="5"/>
      <c r="G195" s="5"/>
      <c r="H195" s="53">
        <f>Português!H195</f>
        <v>0</v>
      </c>
      <c r="I195" s="53">
        <f>Português!I195</f>
        <v>0</v>
      </c>
      <c r="J195" s="53">
        <f>Português!J195</f>
        <v>0</v>
      </c>
      <c r="K195" s="53">
        <f>Português!K195</f>
        <v>0</v>
      </c>
      <c r="L195" s="53">
        <f>Português!L195</f>
        <v>0</v>
      </c>
      <c r="M195" s="53">
        <f>Português!M195</f>
        <v>0</v>
      </c>
      <c r="N195" s="53">
        <f>Português!N195</f>
        <v>0</v>
      </c>
      <c r="O195" s="53">
        <f>Português!O195</f>
        <v>0</v>
      </c>
      <c r="P195" s="53">
        <f>Português!P195</f>
        <v>0</v>
      </c>
      <c r="Q195" s="53">
        <f>Português!Q195</f>
        <v>0</v>
      </c>
      <c r="R195" s="53">
        <f>Português!R195</f>
        <v>0</v>
      </c>
      <c r="S195" s="53">
        <f>Português!S195</f>
        <v>0</v>
      </c>
      <c r="T195" s="53">
        <f>Português!T195</f>
        <v>0</v>
      </c>
      <c r="U195" s="53">
        <f>Português!U195</f>
        <v>0</v>
      </c>
      <c r="V195" s="53">
        <f>Português!V195</f>
        <v>0</v>
      </c>
      <c r="W195" s="53">
        <f>Português!W195</f>
        <v>0</v>
      </c>
      <c r="X195" s="53">
        <f>Português!X195</f>
        <v>0</v>
      </c>
      <c r="Y195" s="53">
        <f>Português!Y195</f>
        <v>0</v>
      </c>
      <c r="Z195" s="53">
        <f>Português!Z195</f>
        <v>0</v>
      </c>
      <c r="AA195" s="53">
        <f>Português!AA195</f>
        <v>0</v>
      </c>
      <c r="AB195" s="53">
        <f>Português!AB195</f>
        <v>0</v>
      </c>
      <c r="AC195" s="53">
        <f>Português!AC195</f>
        <v>0</v>
      </c>
      <c r="AD195" s="53">
        <f>Português!AD195</f>
        <v>0</v>
      </c>
      <c r="AE195" s="53">
        <f>Português!AE195</f>
        <v>0</v>
      </c>
      <c r="AF195" s="53">
        <f>Português!AF195</f>
        <v>0</v>
      </c>
      <c r="AG195" s="53">
        <f>Português!AG195</f>
        <v>0</v>
      </c>
      <c r="AH195" s="53">
        <f>Português!AH195</f>
        <v>0</v>
      </c>
      <c r="AI195" s="53">
        <f>Português!AI195</f>
        <v>0</v>
      </c>
      <c r="AJ195" s="53">
        <f>Português!AJ195</f>
        <v>0</v>
      </c>
      <c r="AK195" s="53">
        <f>Português!AK195</f>
        <v>0</v>
      </c>
      <c r="AL195" s="53">
        <f>Português!AL195</f>
        <v>0</v>
      </c>
      <c r="AM195" s="53">
        <f>Português!AM195</f>
        <v>0</v>
      </c>
      <c r="AN195" s="53">
        <f>Português!AN195</f>
        <v>0</v>
      </c>
      <c r="AO195" s="53">
        <f>Português!AO195</f>
        <v>0</v>
      </c>
      <c r="AP195" s="53">
        <f>Português!AP195</f>
        <v>26.21</v>
      </c>
      <c r="AQ195" s="53">
        <f>Português!AQ195</f>
        <v>0</v>
      </c>
      <c r="AR195" s="53">
        <f>Português!AR195</f>
        <v>0</v>
      </c>
      <c r="AS195" s="19"/>
      <c r="AT195" s="53"/>
      <c r="AU195" s="53"/>
      <c r="AV195" s="53"/>
      <c r="AW195" s="53"/>
      <c r="AX195" s="53"/>
      <c r="AY195" s="53"/>
      <c r="AZ195" s="53"/>
      <c r="BA195" s="53"/>
      <c r="BB195" s="53">
        <f t="shared" si="122"/>
        <v>26.21</v>
      </c>
      <c r="BC195" s="37"/>
    </row>
    <row r="196" spans="2:55" outlineLevel="1">
      <c r="B196" s="87" t="s">
        <v>543</v>
      </c>
      <c r="C196" s="115" t="s">
        <v>390</v>
      </c>
      <c r="D196" s="5"/>
      <c r="E196" s="5"/>
      <c r="F196" s="5"/>
      <c r="G196" s="5"/>
      <c r="H196" s="53">
        <f>Português!H196</f>
        <v>0</v>
      </c>
      <c r="I196" s="53">
        <f>Português!I196</f>
        <v>0</v>
      </c>
      <c r="J196" s="53">
        <f>Português!J196</f>
        <v>0</v>
      </c>
      <c r="K196" s="53">
        <f>Português!K196</f>
        <v>0</v>
      </c>
      <c r="L196" s="53">
        <f>Português!L196</f>
        <v>0</v>
      </c>
      <c r="M196" s="53">
        <f>Português!M196</f>
        <v>0</v>
      </c>
      <c r="N196" s="53">
        <f>Português!N196</f>
        <v>0</v>
      </c>
      <c r="O196" s="53">
        <f>Português!O196</f>
        <v>0</v>
      </c>
      <c r="P196" s="53">
        <f>Português!P196</f>
        <v>0</v>
      </c>
      <c r="Q196" s="53">
        <f>Português!Q196</f>
        <v>0</v>
      </c>
      <c r="R196" s="53">
        <f>Português!R196</f>
        <v>0</v>
      </c>
      <c r="S196" s="53">
        <f>Português!S196</f>
        <v>0</v>
      </c>
      <c r="T196" s="53">
        <f>Português!T196</f>
        <v>0</v>
      </c>
      <c r="U196" s="53">
        <f>Português!U196</f>
        <v>0</v>
      </c>
      <c r="V196" s="53">
        <f>Português!V196</f>
        <v>0</v>
      </c>
      <c r="W196" s="53">
        <f>Português!W196</f>
        <v>0</v>
      </c>
      <c r="X196" s="53">
        <f>Português!X196</f>
        <v>0</v>
      </c>
      <c r="Y196" s="53">
        <f>Português!Y196</f>
        <v>0</v>
      </c>
      <c r="Z196" s="53">
        <f>Português!Z196</f>
        <v>0</v>
      </c>
      <c r="AA196" s="53">
        <f>Português!AA196</f>
        <v>0</v>
      </c>
      <c r="AB196" s="53">
        <f>Português!AB196</f>
        <v>0</v>
      </c>
      <c r="AC196" s="53">
        <f>Português!AC196</f>
        <v>0</v>
      </c>
      <c r="AD196" s="53">
        <f>Português!AD196</f>
        <v>0</v>
      </c>
      <c r="AE196" s="53">
        <f>Português!AE196</f>
        <v>0</v>
      </c>
      <c r="AF196" s="53">
        <f>Português!AF196</f>
        <v>0</v>
      </c>
      <c r="AG196" s="53">
        <f>Português!AG196</f>
        <v>0</v>
      </c>
      <c r="AH196" s="53">
        <f>Português!AH196</f>
        <v>0</v>
      </c>
      <c r="AI196" s="53">
        <f>Português!AI196</f>
        <v>0</v>
      </c>
      <c r="AJ196" s="53">
        <f>Português!AJ196</f>
        <v>0</v>
      </c>
      <c r="AK196" s="53">
        <f>Português!AK196</f>
        <v>0</v>
      </c>
      <c r="AL196" s="53">
        <f>Português!AL196</f>
        <v>0</v>
      </c>
      <c r="AM196" s="53">
        <f>Português!AM196</f>
        <v>0</v>
      </c>
      <c r="AN196" s="53">
        <f>Português!AN196</f>
        <v>0</v>
      </c>
      <c r="AO196" s="53">
        <f>Português!AO196</f>
        <v>0</v>
      </c>
      <c r="AP196" s="53">
        <f>Português!AP196</f>
        <v>0</v>
      </c>
      <c r="AQ196" s="53">
        <f>Português!AQ196</f>
        <v>0</v>
      </c>
      <c r="AR196" s="53">
        <f>Português!AR196</f>
        <v>0</v>
      </c>
      <c r="AS196" s="19"/>
      <c r="AT196" s="53">
        <f t="shared" si="123"/>
        <v>0</v>
      </c>
      <c r="AU196" s="53">
        <f t="shared" si="124"/>
        <v>0</v>
      </c>
      <c r="AV196" s="53">
        <f t="shared" si="125"/>
        <v>0</v>
      </c>
      <c r="AW196" s="53">
        <f t="shared" si="126"/>
        <v>0</v>
      </c>
      <c r="AX196" s="53">
        <f t="shared" si="127"/>
        <v>0</v>
      </c>
      <c r="AY196" s="53">
        <f t="shared" si="128"/>
        <v>0</v>
      </c>
      <c r="AZ196" s="53">
        <f t="shared" si="120"/>
        <v>0</v>
      </c>
      <c r="BA196" s="53">
        <f t="shared" si="121"/>
        <v>0</v>
      </c>
      <c r="BB196" s="53">
        <f t="shared" si="122"/>
        <v>0</v>
      </c>
      <c r="BC196" s="37"/>
    </row>
    <row r="197" spans="2:55" outlineLevel="1">
      <c r="B197" s="87" t="s">
        <v>544</v>
      </c>
      <c r="C197" s="115" t="s">
        <v>390</v>
      </c>
      <c r="D197" s="5"/>
      <c r="E197" s="5"/>
      <c r="F197" s="5"/>
      <c r="G197" s="5"/>
      <c r="H197" s="53">
        <f>Português!H197</f>
        <v>0</v>
      </c>
      <c r="I197" s="53">
        <f>Português!I197</f>
        <v>0</v>
      </c>
      <c r="J197" s="53">
        <f>Português!J197</f>
        <v>0</v>
      </c>
      <c r="K197" s="53">
        <f>Português!K197</f>
        <v>0</v>
      </c>
      <c r="L197" s="53">
        <f>Português!L197</f>
        <v>0</v>
      </c>
      <c r="M197" s="53">
        <f>Português!M197</f>
        <v>0</v>
      </c>
      <c r="N197" s="53">
        <f>Português!N197</f>
        <v>0</v>
      </c>
      <c r="O197" s="53">
        <f>Português!O197</f>
        <v>0</v>
      </c>
      <c r="P197" s="53">
        <f>Português!P197</f>
        <v>0</v>
      </c>
      <c r="Q197" s="53">
        <f>Português!Q197</f>
        <v>0</v>
      </c>
      <c r="R197" s="53">
        <f>Português!R197</f>
        <v>0</v>
      </c>
      <c r="S197" s="53">
        <f>Português!S197</f>
        <v>0</v>
      </c>
      <c r="T197" s="53">
        <f>Português!T197</f>
        <v>0</v>
      </c>
      <c r="U197" s="53">
        <f>Português!U197</f>
        <v>0</v>
      </c>
      <c r="V197" s="53">
        <f>Português!V197</f>
        <v>0</v>
      </c>
      <c r="W197" s="53">
        <f>Português!W197</f>
        <v>0</v>
      </c>
      <c r="X197" s="53">
        <f>Português!X197</f>
        <v>0</v>
      </c>
      <c r="Y197" s="53">
        <f>Português!Y197</f>
        <v>0</v>
      </c>
      <c r="Z197" s="53">
        <f>Português!Z197</f>
        <v>0</v>
      </c>
      <c r="AA197" s="53">
        <f>Português!AA197</f>
        <v>0</v>
      </c>
      <c r="AB197" s="53">
        <f>Português!AB197</f>
        <v>0</v>
      </c>
      <c r="AC197" s="53">
        <f>Português!AC197</f>
        <v>0</v>
      </c>
      <c r="AD197" s="53">
        <f>Português!AD197</f>
        <v>0</v>
      </c>
      <c r="AE197" s="53">
        <f>Português!AE197</f>
        <v>0</v>
      </c>
      <c r="AF197" s="53">
        <f>Português!AF197</f>
        <v>0</v>
      </c>
      <c r="AG197" s="53">
        <f>Português!AG197</f>
        <v>0</v>
      </c>
      <c r="AH197" s="53">
        <f>Português!AH197</f>
        <v>0</v>
      </c>
      <c r="AI197" s="53">
        <f>Português!AI197</f>
        <v>0</v>
      </c>
      <c r="AJ197" s="53">
        <f>Português!AJ197</f>
        <v>-2.2919999999999998</v>
      </c>
      <c r="AK197" s="53">
        <f>Português!AK197</f>
        <v>0</v>
      </c>
      <c r="AL197" s="53">
        <f>Português!AL197</f>
        <v>2.2919999999999998</v>
      </c>
      <c r="AM197" s="53">
        <f>Português!AM197</f>
        <v>0</v>
      </c>
      <c r="AN197" s="53">
        <f>Português!AN197</f>
        <v>5.077</v>
      </c>
      <c r="AO197" s="53">
        <f>Português!AO197</f>
        <v>0.13999999999999968</v>
      </c>
      <c r="AP197" s="53">
        <f>Português!AP197</f>
        <v>5.0420000000000007</v>
      </c>
      <c r="AQ197" s="53">
        <f>Português!AQ197</f>
        <v>5.8419999999999987</v>
      </c>
      <c r="AR197" s="53">
        <f>Português!AR197</f>
        <v>2.6589999999999998</v>
      </c>
      <c r="AS197" s="19"/>
      <c r="AT197" s="53">
        <f t="shared" si="123"/>
        <v>0</v>
      </c>
      <c r="AU197" s="53">
        <f t="shared" si="124"/>
        <v>0</v>
      </c>
      <c r="AV197" s="53">
        <f t="shared" si="125"/>
        <v>0</v>
      </c>
      <c r="AW197" s="53">
        <f t="shared" si="126"/>
        <v>0</v>
      </c>
      <c r="AX197" s="53">
        <f t="shared" si="127"/>
        <v>0</v>
      </c>
      <c r="AY197" s="53">
        <f t="shared" si="128"/>
        <v>0</v>
      </c>
      <c r="AZ197" s="53">
        <f t="shared" si="120"/>
        <v>0</v>
      </c>
      <c r="BA197" s="53"/>
      <c r="BB197" s="53">
        <f t="shared" si="122"/>
        <v>16.100999999999999</v>
      </c>
      <c r="BC197" s="37"/>
    </row>
    <row r="198" spans="2:55" outlineLevel="1">
      <c r="B198" s="87" t="s">
        <v>545</v>
      </c>
      <c r="C198" s="115" t="s">
        <v>390</v>
      </c>
      <c r="D198" s="5"/>
      <c r="E198" s="5"/>
      <c r="F198" s="5"/>
      <c r="G198" s="5"/>
      <c r="H198" s="53">
        <f>Português!H198</f>
        <v>0</v>
      </c>
      <c r="I198" s="53">
        <f>Português!I198</f>
        <v>0</v>
      </c>
      <c r="J198" s="53">
        <f>Português!J198</f>
        <v>0</v>
      </c>
      <c r="K198" s="53">
        <f>Português!K198</f>
        <v>0</v>
      </c>
      <c r="L198" s="53">
        <f>Português!L198</f>
        <v>0</v>
      </c>
      <c r="M198" s="53">
        <f>Português!M198</f>
        <v>0</v>
      </c>
      <c r="N198" s="53">
        <f>Português!N198</f>
        <v>0</v>
      </c>
      <c r="O198" s="53">
        <f>Português!O198</f>
        <v>0</v>
      </c>
      <c r="P198" s="53">
        <f>Português!P198</f>
        <v>0</v>
      </c>
      <c r="Q198" s="53">
        <f>Português!Q198</f>
        <v>0</v>
      </c>
      <c r="R198" s="53">
        <f>Português!R198</f>
        <v>0</v>
      </c>
      <c r="S198" s="53">
        <f>Português!S198</f>
        <v>0</v>
      </c>
      <c r="T198" s="53">
        <f>Português!T198</f>
        <v>0</v>
      </c>
      <c r="U198" s="53">
        <f>Português!U198</f>
        <v>0</v>
      </c>
      <c r="V198" s="53">
        <f>Português!V198</f>
        <v>0</v>
      </c>
      <c r="W198" s="53">
        <f>Português!W198</f>
        <v>0</v>
      </c>
      <c r="X198" s="53">
        <f>Português!X198</f>
        <v>0</v>
      </c>
      <c r="Y198" s="53">
        <f>Português!Y198</f>
        <v>0</v>
      </c>
      <c r="Z198" s="53">
        <f>Português!Z198</f>
        <v>0</v>
      </c>
      <c r="AA198" s="53">
        <f>Português!AA198</f>
        <v>0</v>
      </c>
      <c r="AB198" s="53">
        <f>Português!AB198</f>
        <v>0</v>
      </c>
      <c r="AC198" s="53">
        <f>Português!AC198</f>
        <v>0</v>
      </c>
      <c r="AD198" s="53">
        <f>Português!AD198</f>
        <v>0</v>
      </c>
      <c r="AE198" s="53">
        <f>Português!AE198</f>
        <v>0</v>
      </c>
      <c r="AF198" s="53">
        <f>Português!AF198</f>
        <v>0</v>
      </c>
      <c r="AG198" s="53">
        <f>Português!AG198</f>
        <v>0</v>
      </c>
      <c r="AH198" s="53">
        <f>Português!AH198</f>
        <v>0</v>
      </c>
      <c r="AI198" s="53">
        <f>Português!AI198</f>
        <v>0</v>
      </c>
      <c r="AJ198" s="53">
        <f>Português!AJ198</f>
        <v>-0.20899999999999999</v>
      </c>
      <c r="AK198" s="53">
        <f>Português!AK198</f>
        <v>2.4279999999999999</v>
      </c>
      <c r="AL198" s="53">
        <f>Português!AL198</f>
        <v>0.20899999999999999</v>
      </c>
      <c r="AM198" s="53">
        <f>Português!AM198</f>
        <v>0</v>
      </c>
      <c r="AN198" s="53">
        <f>Português!AN198</f>
        <v>4.2130000000000001</v>
      </c>
      <c r="AO198" s="53">
        <f>Português!AO198</f>
        <v>4.2139999999999995</v>
      </c>
      <c r="AP198" s="53">
        <f>Português!AP198</f>
        <v>-2.6459999999999999</v>
      </c>
      <c r="AQ198" s="53">
        <f>Português!AQ198</f>
        <v>5.6499999999999995</v>
      </c>
      <c r="AR198" s="53">
        <f>Português!AR198</f>
        <v>-2.0659999999999998</v>
      </c>
      <c r="AS198" s="19"/>
      <c r="AT198" s="53">
        <f t="shared" si="123"/>
        <v>0</v>
      </c>
      <c r="AU198" s="53">
        <f t="shared" si="124"/>
        <v>0</v>
      </c>
      <c r="AV198" s="53">
        <f t="shared" si="125"/>
        <v>0</v>
      </c>
      <c r="AW198" s="53">
        <f t="shared" si="126"/>
        <v>0</v>
      </c>
      <c r="AX198" s="53">
        <f t="shared" si="127"/>
        <v>0</v>
      </c>
      <c r="AY198" s="53">
        <f t="shared" si="128"/>
        <v>0</v>
      </c>
      <c r="AZ198" s="53">
        <f t="shared" si="120"/>
        <v>0</v>
      </c>
      <c r="BA198" s="53"/>
      <c r="BB198" s="53">
        <f t="shared" si="122"/>
        <v>11.430999999999999</v>
      </c>
      <c r="BC198" s="37"/>
    </row>
    <row r="199" spans="2:55" outlineLevel="1">
      <c r="B199" s="87" t="s">
        <v>546</v>
      </c>
      <c r="C199" s="115" t="s">
        <v>390</v>
      </c>
      <c r="D199" s="5"/>
      <c r="E199" s="5"/>
      <c r="F199" s="5"/>
      <c r="G199" s="5"/>
      <c r="H199" s="53">
        <f>Português!H199</f>
        <v>0</v>
      </c>
      <c r="I199" s="53">
        <f>Português!I199</f>
        <v>0</v>
      </c>
      <c r="J199" s="53">
        <f>Português!J199</f>
        <v>0</v>
      </c>
      <c r="K199" s="53">
        <f>Português!K199</f>
        <v>0</v>
      </c>
      <c r="L199" s="53">
        <f>Português!L199</f>
        <v>0</v>
      </c>
      <c r="M199" s="53">
        <f>Português!M199</f>
        <v>0</v>
      </c>
      <c r="N199" s="53">
        <f>Português!N199</f>
        <v>0</v>
      </c>
      <c r="O199" s="53">
        <f>Português!O199</f>
        <v>0</v>
      </c>
      <c r="P199" s="53">
        <f>Português!P199</f>
        <v>0</v>
      </c>
      <c r="Q199" s="53">
        <f>Português!Q199</f>
        <v>0</v>
      </c>
      <c r="R199" s="53">
        <f>Português!R199</f>
        <v>0</v>
      </c>
      <c r="S199" s="53">
        <f>Português!S199</f>
        <v>0</v>
      </c>
      <c r="T199" s="53">
        <f>Português!T199</f>
        <v>0</v>
      </c>
      <c r="U199" s="53">
        <f>Português!U199</f>
        <v>0</v>
      </c>
      <c r="V199" s="53">
        <f>Português!V199</f>
        <v>0</v>
      </c>
      <c r="W199" s="53">
        <f>Português!W199</f>
        <v>0</v>
      </c>
      <c r="X199" s="53">
        <f>Português!X199</f>
        <v>0</v>
      </c>
      <c r="Y199" s="53">
        <f>Português!Y199</f>
        <v>0</v>
      </c>
      <c r="Z199" s="53">
        <f>Português!Z199</f>
        <v>0</v>
      </c>
      <c r="AA199" s="53">
        <f>Português!AA199</f>
        <v>0</v>
      </c>
      <c r="AB199" s="53">
        <f>Português!AB199</f>
        <v>0</v>
      </c>
      <c r="AC199" s="53">
        <f>Português!AC199</f>
        <v>0</v>
      </c>
      <c r="AD199" s="53">
        <f>Português!AD199</f>
        <v>0</v>
      </c>
      <c r="AE199" s="53">
        <f>Português!AE199</f>
        <v>0</v>
      </c>
      <c r="AF199" s="53">
        <f>Português!AF199</f>
        <v>0</v>
      </c>
      <c r="AG199" s="53">
        <f>Português!AG199</f>
        <v>0</v>
      </c>
      <c r="AH199" s="53">
        <f>Português!AH199</f>
        <v>0</v>
      </c>
      <c r="AI199" s="53">
        <f>Português!AI199</f>
        <v>0</v>
      </c>
      <c r="AJ199" s="53">
        <f>Português!AJ199</f>
        <v>-2.4279999999999999</v>
      </c>
      <c r="AK199" s="53">
        <f>Português!AK199</f>
        <v>0</v>
      </c>
      <c r="AL199" s="53">
        <f>Português!AL199</f>
        <v>2.4279999999999999</v>
      </c>
      <c r="AM199" s="53">
        <f>Português!AM199</f>
        <v>0</v>
      </c>
      <c r="AN199" s="53">
        <f>Português!AN199</f>
        <v>-4.2919999999999998</v>
      </c>
      <c r="AO199" s="53">
        <f>Português!AO199</f>
        <v>-1.0030000000000001</v>
      </c>
      <c r="AP199" s="53">
        <f>Português!AP199</f>
        <v>-1.2830000000000004</v>
      </c>
      <c r="AQ199" s="53">
        <f>Português!AQ199</f>
        <v>3.0000000000000249E-2</v>
      </c>
      <c r="AR199" s="53">
        <f>Português!AR199</f>
        <v>-0.94599999999999995</v>
      </c>
      <c r="AS199" s="19"/>
      <c r="AT199" s="53">
        <f t="shared" si="123"/>
        <v>0</v>
      </c>
      <c r="AU199" s="53">
        <f t="shared" si="124"/>
        <v>0</v>
      </c>
      <c r="AV199" s="53">
        <f t="shared" si="125"/>
        <v>0</v>
      </c>
      <c r="AW199" s="53">
        <f t="shared" si="126"/>
        <v>0</v>
      </c>
      <c r="AX199" s="53">
        <f t="shared" si="127"/>
        <v>0</v>
      </c>
      <c r="AY199" s="53">
        <f t="shared" si="128"/>
        <v>0</v>
      </c>
      <c r="AZ199" s="53">
        <f t="shared" si="120"/>
        <v>0</v>
      </c>
      <c r="BA199" s="53"/>
      <c r="BB199" s="53">
        <f t="shared" si="122"/>
        <v>-6.548</v>
      </c>
      <c r="BC199" s="37"/>
    </row>
    <row r="200" spans="2:55" outlineLevel="1">
      <c r="B200" s="87" t="s">
        <v>512</v>
      </c>
      <c r="C200" s="115" t="s">
        <v>390</v>
      </c>
      <c r="D200" s="5"/>
      <c r="E200" s="5"/>
      <c r="F200" s="5"/>
      <c r="G200" s="5"/>
      <c r="H200" s="53">
        <f>Português!H200</f>
        <v>3.7250000000000001</v>
      </c>
      <c r="I200" s="53">
        <f>Português!I200</f>
        <v>7.5489999999999995</v>
      </c>
      <c r="J200" s="53">
        <f>Português!J200</f>
        <v>2.5280000000000005</v>
      </c>
      <c r="K200" s="53">
        <f>Português!K200</f>
        <v>17.826000000000001</v>
      </c>
      <c r="L200" s="53">
        <f>Português!L200</f>
        <v>3.3769999999999998</v>
      </c>
      <c r="M200" s="53">
        <f>Português!M200</f>
        <v>0.7</v>
      </c>
      <c r="N200" s="53">
        <f>Português!N200</f>
        <v>15.575999999999999</v>
      </c>
      <c r="O200" s="53">
        <f>Português!O200</f>
        <v>16.451999999999998</v>
      </c>
      <c r="P200" s="53">
        <f>Português!P200</f>
        <v>12.122</v>
      </c>
      <c r="Q200" s="53">
        <f>Português!Q200</f>
        <v>28.014000000000003</v>
      </c>
      <c r="R200" s="53">
        <f>Português!R200</f>
        <v>16.494999999999997</v>
      </c>
      <c r="S200" s="53">
        <f>Português!S200</f>
        <v>15.174999999999997</v>
      </c>
      <c r="T200" s="53">
        <f>Português!T200</f>
        <v>3.64</v>
      </c>
      <c r="U200" s="53">
        <f>Português!U200</f>
        <v>16.471999999999998</v>
      </c>
      <c r="V200" s="53">
        <f>Português!V200</f>
        <v>12.175000000000001</v>
      </c>
      <c r="W200" s="53">
        <f>Português!W200</f>
        <v>3.203000000000003</v>
      </c>
      <c r="X200" s="53">
        <f>Português!X200</f>
        <v>4.4640000000000004</v>
      </c>
      <c r="Y200" s="53">
        <f>Português!Y200</f>
        <v>-29.953000000000003</v>
      </c>
      <c r="Z200" s="53">
        <f>Português!Z200</f>
        <v>12.532000000000004</v>
      </c>
      <c r="AA200" s="53">
        <f>Português!AA200</f>
        <v>21.578000000000003</v>
      </c>
      <c r="AB200" s="53">
        <f>Português!AB200</f>
        <v>63.188000000000002</v>
      </c>
      <c r="AC200" s="53">
        <f>Português!AC200</f>
        <v>45.313000000000002</v>
      </c>
      <c r="AD200" s="53">
        <f>Português!AD200</f>
        <v>57.472000000000001</v>
      </c>
      <c r="AE200" s="53">
        <f>Português!AE200</f>
        <v>118.46799999999996</v>
      </c>
      <c r="AF200" s="53">
        <f>Português!AF200</f>
        <v>126.59399999999999</v>
      </c>
      <c r="AG200" s="53">
        <f>Português!AG200</f>
        <v>89.695999999999998</v>
      </c>
      <c r="AH200" s="53">
        <f>Português!AH200</f>
        <v>65.263000000000005</v>
      </c>
      <c r="AI200" s="53">
        <f>Português!AI200</f>
        <v>-65.996000000000009</v>
      </c>
      <c r="AJ200" s="53">
        <f>Português!AJ200</f>
        <v>68.188000000000002</v>
      </c>
      <c r="AK200" s="53">
        <f>Português!AK200</f>
        <v>132.916</v>
      </c>
      <c r="AL200" s="53">
        <f>Português!AL200</f>
        <v>274.45300000000003</v>
      </c>
      <c r="AM200" s="53">
        <f>Português!AM200</f>
        <v>377.7709999999999</v>
      </c>
      <c r="AN200" s="53">
        <f>Português!AN200</f>
        <v>132.81</v>
      </c>
      <c r="AO200" s="53">
        <f>Português!AO200</f>
        <v>73.538999999999987</v>
      </c>
      <c r="AP200" s="53">
        <f>Português!AP200</f>
        <v>211.07800000000003</v>
      </c>
      <c r="AQ200" s="53">
        <f>Português!AQ200</f>
        <v>160.83299999999997</v>
      </c>
      <c r="AR200" s="53">
        <f>Português!AR200</f>
        <v>220.066</v>
      </c>
      <c r="AS200" s="19"/>
      <c r="AT200" s="53">
        <f t="shared" si="123"/>
        <v>31.628</v>
      </c>
      <c r="AU200" s="53">
        <f t="shared" si="124"/>
        <v>36.104999999999997</v>
      </c>
      <c r="AV200" s="53">
        <f t="shared" si="125"/>
        <v>71.805999999999997</v>
      </c>
      <c r="AW200" s="53">
        <f t="shared" si="126"/>
        <v>35.49</v>
      </c>
      <c r="AX200" s="53">
        <f t="shared" si="127"/>
        <v>8.6210000000000022</v>
      </c>
      <c r="AY200" s="53">
        <f t="shared" si="128"/>
        <v>284.44099999999997</v>
      </c>
      <c r="AZ200" s="53">
        <f t="shared" si="120"/>
        <v>215.55699999999999</v>
      </c>
      <c r="BA200" s="53">
        <f t="shared" si="121"/>
        <v>853.32799999999997</v>
      </c>
      <c r="BB200" s="53">
        <f t="shared" si="122"/>
        <v>578.26</v>
      </c>
      <c r="BC200" s="37"/>
    </row>
    <row r="201" spans="2:55" outlineLevel="1">
      <c r="B201" s="87" t="s">
        <v>547</v>
      </c>
      <c r="C201" s="115" t="s">
        <v>390</v>
      </c>
      <c r="D201" s="5"/>
      <c r="E201" s="5"/>
      <c r="F201" s="5"/>
      <c r="G201" s="5"/>
      <c r="H201" s="53">
        <f>Português!H201</f>
        <v>-29.704999999999998</v>
      </c>
      <c r="I201" s="53">
        <f>Português!I201</f>
        <v>-20.935000000000002</v>
      </c>
      <c r="J201" s="53">
        <f>Português!J201</f>
        <v>-17.826999999999998</v>
      </c>
      <c r="K201" s="53">
        <f>Português!K201</f>
        <v>-16.968000000000004</v>
      </c>
      <c r="L201" s="53">
        <f>Português!L201</f>
        <v>-15.868</v>
      </c>
      <c r="M201" s="53">
        <f>Português!M201</f>
        <v>13.6</v>
      </c>
      <c r="N201" s="53">
        <f>Português!N201</f>
        <v>-117.64700000000001</v>
      </c>
      <c r="O201" s="53">
        <f>Português!O201</f>
        <v>-27.46299999999998</v>
      </c>
      <c r="P201" s="53">
        <f>Português!P201</f>
        <v>-50.832999999999998</v>
      </c>
      <c r="Q201" s="53">
        <f>Português!Q201</f>
        <v>-49.113</v>
      </c>
      <c r="R201" s="53">
        <f>Português!R201</f>
        <v>-99.378999999999991</v>
      </c>
      <c r="S201" s="53">
        <f>Português!S201</f>
        <v>-60.670999999999992</v>
      </c>
      <c r="T201" s="53">
        <f>Português!T201</f>
        <v>-24.356000000000002</v>
      </c>
      <c r="U201" s="53">
        <f>Português!U201</f>
        <v>-23.326999999999998</v>
      </c>
      <c r="V201" s="53">
        <f>Português!V201</f>
        <v>-26.160999999999994</v>
      </c>
      <c r="W201" s="53">
        <f>Português!W201</f>
        <v>-15.564</v>
      </c>
      <c r="X201" s="53">
        <f>Português!X201</f>
        <v>-21.678999999999998</v>
      </c>
      <c r="Y201" s="53">
        <f>Português!Y201</f>
        <v>-47.637999999999991</v>
      </c>
      <c r="Z201" s="53">
        <f>Português!Z201</f>
        <v>-72.215999999999994</v>
      </c>
      <c r="AA201" s="53">
        <f>Português!AA201</f>
        <v>-112.452</v>
      </c>
      <c r="AB201" s="53">
        <f>Português!AB201</f>
        <v>-215.316</v>
      </c>
      <c r="AC201" s="53">
        <f>Português!AC201</f>
        <v>-153.559</v>
      </c>
      <c r="AD201" s="53">
        <f>Português!AD201</f>
        <v>-155.52699999999999</v>
      </c>
      <c r="AE201" s="53">
        <f>Português!AE201</f>
        <v>-210.423</v>
      </c>
      <c r="AF201" s="53">
        <f>Português!AF201</f>
        <v>-110.82</v>
      </c>
      <c r="AG201" s="53">
        <f>Português!AG201</f>
        <v>-199.95499999999998</v>
      </c>
      <c r="AH201" s="53">
        <f>Português!AH201</f>
        <v>-206.59199999999998</v>
      </c>
      <c r="AI201" s="53">
        <f>Português!AI201</f>
        <v>-181.69800000000015</v>
      </c>
      <c r="AJ201" s="53">
        <f>Português!AJ201</f>
        <v>-186.30500000000001</v>
      </c>
      <c r="AK201" s="53">
        <f>Português!AK201</f>
        <v>-200.19599999999997</v>
      </c>
      <c r="AL201" s="53">
        <f>Português!AL201</f>
        <v>-203.26400000000001</v>
      </c>
      <c r="AM201" s="53">
        <f>Português!AM201</f>
        <v>-192.92799999999994</v>
      </c>
      <c r="AN201" s="53">
        <f>Português!AN201</f>
        <v>-277.392</v>
      </c>
      <c r="AO201" s="53">
        <f>Português!AO201</f>
        <v>-301.47899999999998</v>
      </c>
      <c r="AP201" s="53">
        <f>Português!AP201</f>
        <v>-328.15</v>
      </c>
      <c r="AQ201" s="53">
        <f>Português!AQ201</f>
        <v>-284.33400000000006</v>
      </c>
      <c r="AR201" s="53">
        <f>Português!AR201</f>
        <v>-242.34800000000001</v>
      </c>
      <c r="AS201" s="19"/>
      <c r="AT201" s="53">
        <f t="shared" si="123"/>
        <v>-85.435000000000002</v>
      </c>
      <c r="AU201" s="53">
        <f t="shared" si="124"/>
        <v>-147.37799999999999</v>
      </c>
      <c r="AV201" s="53">
        <f t="shared" si="125"/>
        <v>-259.99599999999998</v>
      </c>
      <c r="AW201" s="53">
        <f t="shared" si="126"/>
        <v>-89.407999999999987</v>
      </c>
      <c r="AX201" s="53">
        <f t="shared" si="127"/>
        <v>-253.98499999999999</v>
      </c>
      <c r="AY201" s="53">
        <f t="shared" si="128"/>
        <v>-734.82500000000005</v>
      </c>
      <c r="AZ201" s="53">
        <f t="shared" si="120"/>
        <v>-699.06500000000005</v>
      </c>
      <c r="BA201" s="53">
        <f t="shared" si="121"/>
        <v>-782.69299999999998</v>
      </c>
      <c r="BB201" s="53">
        <f t="shared" si="122"/>
        <v>-1191.355</v>
      </c>
      <c r="BC201" s="37"/>
    </row>
    <row r="202" spans="2:55" outlineLevel="1">
      <c r="B202" s="84" t="s">
        <v>548</v>
      </c>
      <c r="C202" s="115" t="s">
        <v>390</v>
      </c>
      <c r="D202" s="5"/>
      <c r="E202" s="5"/>
      <c r="F202" s="5"/>
      <c r="G202" s="5"/>
      <c r="H202" s="53">
        <f>Português!H202</f>
        <v>0</v>
      </c>
      <c r="I202" s="53">
        <f>Português!I202</f>
        <v>0</v>
      </c>
      <c r="J202" s="53">
        <f>Português!J202</f>
        <v>0</v>
      </c>
      <c r="K202" s="53">
        <f>Português!K202</f>
        <v>0</v>
      </c>
      <c r="L202" s="53">
        <f>Português!L202</f>
        <v>0</v>
      </c>
      <c r="M202" s="53">
        <f>Português!M202</f>
        <v>0</v>
      </c>
      <c r="N202" s="53">
        <f>Português!N202</f>
        <v>0</v>
      </c>
      <c r="O202" s="53">
        <f>Português!O202</f>
        <v>0</v>
      </c>
      <c r="P202" s="53">
        <f>Português!P202</f>
        <v>0</v>
      </c>
      <c r="Q202" s="53">
        <f>Português!Q202</f>
        <v>0</v>
      </c>
      <c r="R202" s="53">
        <f>Português!R202</f>
        <v>0</v>
      </c>
      <c r="S202" s="53">
        <f>Português!S202</f>
        <v>0.215</v>
      </c>
      <c r="T202" s="53">
        <f>Português!T202</f>
        <v>-15.098000000000001</v>
      </c>
      <c r="U202" s="53">
        <f>Português!U202</f>
        <v>-2.4760000000000009</v>
      </c>
      <c r="V202" s="53">
        <f>Português!V202</f>
        <v>-2.6339999999999986</v>
      </c>
      <c r="W202" s="53">
        <f>Português!W202</f>
        <v>3.072000000000001</v>
      </c>
      <c r="X202" s="53">
        <f>Português!X202</f>
        <v>-1.7689999999999999</v>
      </c>
      <c r="Y202" s="53">
        <f>Português!Y202</f>
        <v>2.883</v>
      </c>
      <c r="Z202" s="53">
        <f>Português!Z202</f>
        <v>-1.641</v>
      </c>
      <c r="AA202" s="53">
        <f>Português!AA202</f>
        <v>18.186</v>
      </c>
      <c r="AB202" s="53">
        <f>Português!AB202</f>
        <v>6.4909999999999997</v>
      </c>
      <c r="AC202" s="53">
        <f>Português!AC202</f>
        <v>-5.125</v>
      </c>
      <c r="AD202" s="53">
        <f>Português!AD202</f>
        <v>4.9359999999999999</v>
      </c>
      <c r="AE202" s="53">
        <f>Português!AE202</f>
        <v>94.594999999999999</v>
      </c>
      <c r="AF202" s="53">
        <f>Português!AF202</f>
        <v>20.428000000000001</v>
      </c>
      <c r="AG202" s="53">
        <f>Português!AG202</f>
        <v>-32.191000000000003</v>
      </c>
      <c r="AH202" s="53">
        <f>Português!AH202</f>
        <v>75.626999999999995</v>
      </c>
      <c r="AI202" s="53">
        <f>Português!AI202</f>
        <v>24.413000000000011</v>
      </c>
      <c r="AJ202" s="53">
        <f>Português!AJ202</f>
        <v>-7.06</v>
      </c>
      <c r="AK202" s="53">
        <f>Português!AK202</f>
        <v>-20.351000000000003</v>
      </c>
      <c r="AL202" s="53">
        <f>Português!AL202</f>
        <v>21.038000000000004</v>
      </c>
      <c r="AM202" s="53">
        <f>Português!AM202</f>
        <v>-26.011000000000003</v>
      </c>
      <c r="AN202" s="53">
        <f>Português!AN202</f>
        <v>18.356000000000002</v>
      </c>
      <c r="AO202" s="53">
        <f>Português!AO202</f>
        <v>31.375</v>
      </c>
      <c r="AP202" s="53">
        <f>Português!AP202</f>
        <v>41.567</v>
      </c>
      <c r="AQ202" s="53">
        <f>Português!AQ202</f>
        <v>20.936999999999998</v>
      </c>
      <c r="AR202" s="53">
        <f>Português!AR202</f>
        <v>33.264000000000003</v>
      </c>
      <c r="AS202" s="19"/>
      <c r="AT202" s="53">
        <f t="shared" si="123"/>
        <v>0</v>
      </c>
      <c r="AU202" s="53">
        <f t="shared" si="124"/>
        <v>0</v>
      </c>
      <c r="AV202" s="53">
        <f t="shared" si="125"/>
        <v>0.215</v>
      </c>
      <c r="AW202" s="53">
        <f t="shared" si="126"/>
        <v>-17.135999999999996</v>
      </c>
      <c r="AX202" s="53">
        <f t="shared" si="127"/>
        <v>17.658999999999999</v>
      </c>
      <c r="AY202" s="53">
        <f t="shared" si="128"/>
        <v>100.89699999999999</v>
      </c>
      <c r="AZ202" s="53">
        <f t="shared" si="120"/>
        <v>88.277000000000001</v>
      </c>
      <c r="BA202" s="53">
        <f t="shared" si="121"/>
        <v>-32.384</v>
      </c>
      <c r="BB202" s="53">
        <f t="shared" si="122"/>
        <v>112.235</v>
      </c>
      <c r="BC202" s="37"/>
    </row>
    <row r="203" spans="2:55" outlineLevel="1">
      <c r="B203" s="87" t="s">
        <v>549</v>
      </c>
      <c r="C203" s="115" t="s">
        <v>390</v>
      </c>
      <c r="D203" s="5"/>
      <c r="E203" s="5"/>
      <c r="F203" s="5"/>
      <c r="G203" s="5"/>
      <c r="H203" s="117">
        <f>Português!H203</f>
        <v>0</v>
      </c>
      <c r="I203" s="117">
        <f>Português!I203</f>
        <v>0</v>
      </c>
      <c r="J203" s="117">
        <f>Português!J203</f>
        <v>0</v>
      </c>
      <c r="K203" s="117">
        <f>Português!K203</f>
        <v>0</v>
      </c>
      <c r="L203" s="117">
        <f>Português!L203</f>
        <v>0</v>
      </c>
      <c r="M203" s="117">
        <f>Português!M203</f>
        <v>0</v>
      </c>
      <c r="N203" s="117">
        <f>Português!N203</f>
        <v>0</v>
      </c>
      <c r="O203" s="117">
        <f>Português!O203</f>
        <v>0</v>
      </c>
      <c r="P203" s="117">
        <f>Português!P203</f>
        <v>17.204000000000001</v>
      </c>
      <c r="Q203" s="117">
        <f>Português!Q203</f>
        <v>18.389000000000003</v>
      </c>
      <c r="R203" s="117">
        <f>Português!R203</f>
        <v>19.049999999999997</v>
      </c>
      <c r="S203" s="117">
        <f>Português!S203</f>
        <v>19.448999999999998</v>
      </c>
      <c r="T203" s="117">
        <f>Português!T203</f>
        <v>20.821999999999999</v>
      </c>
      <c r="U203" s="117">
        <f>Português!U203</f>
        <v>20.516999999999999</v>
      </c>
      <c r="V203" s="117">
        <f>Português!V203</f>
        <v>20.221000000000007</v>
      </c>
      <c r="W203" s="117">
        <f>Português!W203</f>
        <v>23.69799999999999</v>
      </c>
      <c r="X203" s="117">
        <f>Português!X203</f>
        <v>21.952999999999999</v>
      </c>
      <c r="Y203" s="117">
        <f>Português!Y203</f>
        <v>21.294999999999998</v>
      </c>
      <c r="Z203" s="117">
        <f>Português!Z203</f>
        <v>26.622999999999994</v>
      </c>
      <c r="AA203" s="117">
        <f>Português!AA203</f>
        <v>28.366</v>
      </c>
      <c r="AB203" s="117">
        <f>Português!AB203</f>
        <v>43.222999999999999</v>
      </c>
      <c r="AC203" s="117">
        <f>Português!AC203</f>
        <v>37.920999999999999</v>
      </c>
      <c r="AD203" s="117">
        <f>Português!AD203</f>
        <v>43.13</v>
      </c>
      <c r="AE203" s="117">
        <f>Português!AE203</f>
        <v>100.459</v>
      </c>
      <c r="AF203" s="117">
        <f>Português!AF203</f>
        <v>51.514000000000003</v>
      </c>
      <c r="AG203" s="117">
        <f>Português!AG203</f>
        <v>68.793000000000006</v>
      </c>
      <c r="AH203" s="117">
        <f>Português!AH203</f>
        <v>86.34099999999998</v>
      </c>
      <c r="AI203" s="117">
        <f>Português!AI203</f>
        <v>86.008999999999986</v>
      </c>
      <c r="AJ203" s="117">
        <f>Português!AJ203</f>
        <v>80.456999999999994</v>
      </c>
      <c r="AK203" s="117">
        <f>Português!AK203</f>
        <v>79.503000000000014</v>
      </c>
      <c r="AL203" s="117">
        <f>Português!AL203</f>
        <v>83.525000000000006</v>
      </c>
      <c r="AM203" s="117">
        <f>Português!AM203</f>
        <v>93.088999999999999</v>
      </c>
      <c r="AN203" s="117">
        <f>Português!AN203</f>
        <v>91.031999999999996</v>
      </c>
      <c r="AO203" s="117">
        <f>Português!AO203</f>
        <v>90.905999999999992</v>
      </c>
      <c r="AP203" s="117">
        <f>Português!AP203</f>
        <v>94.886000000000024</v>
      </c>
      <c r="AQ203" s="117">
        <f>Português!AQ203</f>
        <v>86.584000000000003</v>
      </c>
      <c r="AR203" s="117">
        <f>Português!AR203</f>
        <v>86.51</v>
      </c>
      <c r="AS203" s="19"/>
      <c r="AT203" s="53">
        <f t="shared" si="123"/>
        <v>0</v>
      </c>
      <c r="AU203" s="53">
        <f t="shared" si="124"/>
        <v>0</v>
      </c>
      <c r="AV203" s="53">
        <f t="shared" si="125"/>
        <v>74.091999999999999</v>
      </c>
      <c r="AW203" s="53">
        <f t="shared" si="126"/>
        <v>85.257999999999996</v>
      </c>
      <c r="AX203" s="53">
        <f t="shared" si="127"/>
        <v>98.236999999999995</v>
      </c>
      <c r="AY203" s="53">
        <f t="shared" si="128"/>
        <v>224.733</v>
      </c>
      <c r="AZ203" s="53">
        <f t="shared" si="120"/>
        <v>292.65699999999998</v>
      </c>
      <c r="BA203" s="53">
        <f t="shared" si="121"/>
        <v>336.57400000000001</v>
      </c>
      <c r="BB203" s="53">
        <f t="shared" si="122"/>
        <v>363.40800000000002</v>
      </c>
      <c r="BC203" s="37"/>
    </row>
    <row r="204" spans="2:55" outlineLevel="1">
      <c r="B204" s="87" t="s">
        <v>550</v>
      </c>
      <c r="C204" s="115" t="s">
        <v>390</v>
      </c>
      <c r="D204" s="5"/>
      <c r="E204" s="5"/>
      <c r="F204" s="5"/>
      <c r="G204" s="5"/>
      <c r="H204" s="53">
        <f>Português!H204</f>
        <v>0</v>
      </c>
      <c r="I204" s="53">
        <f>Português!I204</f>
        <v>0</v>
      </c>
      <c r="J204" s="53">
        <f>Português!J204</f>
        <v>0</v>
      </c>
      <c r="K204" s="53">
        <f>Português!K204</f>
        <v>0</v>
      </c>
      <c r="L204" s="53">
        <f>Português!L204</f>
        <v>0</v>
      </c>
      <c r="M204" s="53">
        <f>Português!M204</f>
        <v>0</v>
      </c>
      <c r="N204" s="53">
        <f>Português!N204</f>
        <v>0</v>
      </c>
      <c r="O204" s="53">
        <f>Português!O204</f>
        <v>0</v>
      </c>
      <c r="P204" s="53">
        <f>Português!P204</f>
        <v>0</v>
      </c>
      <c r="Q204" s="53">
        <f>Português!Q204</f>
        <v>0</v>
      </c>
      <c r="R204" s="53">
        <f>Português!R204</f>
        <v>21.984000000000002</v>
      </c>
      <c r="S204" s="53">
        <f>Português!S204</f>
        <v>28.357999999999997</v>
      </c>
      <c r="T204" s="53">
        <f>Português!T204</f>
        <v>23.63</v>
      </c>
      <c r="U204" s="53">
        <f>Português!U204</f>
        <v>17.212</v>
      </c>
      <c r="V204" s="53">
        <f>Português!V204</f>
        <v>11.538999999999998</v>
      </c>
      <c r="W204" s="53">
        <f>Português!W204</f>
        <v>11.932000000000009</v>
      </c>
      <c r="X204" s="53">
        <f>Português!X204</f>
        <v>11.048</v>
      </c>
      <c r="Y204" s="53">
        <f>Português!Y204</f>
        <v>18.335999999999999</v>
      </c>
      <c r="Z204" s="53">
        <f>Português!Z204</f>
        <v>27.262999999999998</v>
      </c>
      <c r="AA204" s="53">
        <f>Português!AA204</f>
        <v>79.266999999999996</v>
      </c>
      <c r="AB204" s="53">
        <f>Português!AB204</f>
        <v>269.262</v>
      </c>
      <c r="AC204" s="53">
        <f>Português!AC204</f>
        <v>382.32499999999999</v>
      </c>
      <c r="AD204" s="53">
        <f>Português!AD204</f>
        <v>373.96600000000001</v>
      </c>
      <c r="AE204" s="53">
        <f>Português!AE204</f>
        <v>372.86500000000001</v>
      </c>
      <c r="AF204" s="53">
        <f>Português!AF204</f>
        <v>397.92200000000003</v>
      </c>
      <c r="AG204" s="53">
        <f>Português!AG204</f>
        <v>401.51499999999999</v>
      </c>
      <c r="AH204" s="53">
        <f>Português!AH204</f>
        <v>361.74899999999991</v>
      </c>
      <c r="AI204" s="53">
        <f>Português!AI204</f>
        <v>325.29200000000014</v>
      </c>
      <c r="AJ204" s="53">
        <f>Português!AJ204</f>
        <v>333.81599999999997</v>
      </c>
      <c r="AK204" s="53">
        <f>Português!AK204</f>
        <v>328.738</v>
      </c>
      <c r="AL204" s="53">
        <f>Português!AL204</f>
        <v>311.77299999999997</v>
      </c>
      <c r="AM204" s="53">
        <f>Português!AM204</f>
        <v>376.08899999999988</v>
      </c>
      <c r="AN204" s="53">
        <f>Português!AN204</f>
        <v>435.27600000000001</v>
      </c>
      <c r="AO204" s="53">
        <f>Português!AO204</f>
        <v>452.84599999999995</v>
      </c>
      <c r="AP204" s="53">
        <f>Português!AP204</f>
        <v>491.48300000000006</v>
      </c>
      <c r="AQ204" s="53">
        <f>Português!AQ204</f>
        <v>528.16699999999992</v>
      </c>
      <c r="AR204" s="53">
        <f>Português!AR204</f>
        <v>463.387</v>
      </c>
      <c r="AS204" s="19"/>
      <c r="AT204" s="53">
        <f t="shared" si="123"/>
        <v>0</v>
      </c>
      <c r="AU204" s="53">
        <f t="shared" si="124"/>
        <v>0</v>
      </c>
      <c r="AV204" s="53">
        <f t="shared" si="125"/>
        <v>50.341999999999999</v>
      </c>
      <c r="AW204" s="53">
        <f t="shared" si="126"/>
        <v>64.313000000000017</v>
      </c>
      <c r="AX204" s="53">
        <f t="shared" si="127"/>
        <v>135.91399999999999</v>
      </c>
      <c r="AY204" s="53">
        <f t="shared" si="128"/>
        <v>1398.4179999999999</v>
      </c>
      <c r="AZ204" s="53">
        <f t="shared" si="120"/>
        <v>1486.4780000000001</v>
      </c>
      <c r="BA204" s="53">
        <f t="shared" si="121"/>
        <v>1350.4159999999999</v>
      </c>
      <c r="BB204" s="53">
        <f t="shared" si="122"/>
        <v>1907.7719999999999</v>
      </c>
      <c r="BC204" s="37"/>
    </row>
    <row r="205" spans="2:55" outlineLevel="1">
      <c r="B205" s="87" t="s">
        <v>551</v>
      </c>
      <c r="C205" s="115" t="s">
        <v>390</v>
      </c>
      <c r="D205" s="5"/>
      <c r="E205" s="5"/>
      <c r="F205" s="5"/>
      <c r="G205" s="5"/>
      <c r="H205" s="53">
        <f>Português!H205</f>
        <v>0</v>
      </c>
      <c r="I205" s="53">
        <f>Português!I205</f>
        <v>0</v>
      </c>
      <c r="J205" s="53">
        <f>Português!J205</f>
        <v>0</v>
      </c>
      <c r="K205" s="53">
        <f>Português!K205</f>
        <v>0</v>
      </c>
      <c r="L205" s="53">
        <f>Português!L205</f>
        <v>0</v>
      </c>
      <c r="M205" s="53">
        <f>Português!M205</f>
        <v>0</v>
      </c>
      <c r="N205" s="53">
        <f>Português!N205</f>
        <v>0</v>
      </c>
      <c r="O205" s="53">
        <f>Português!O205</f>
        <v>0</v>
      </c>
      <c r="P205" s="53">
        <f>Português!P205</f>
        <v>0</v>
      </c>
      <c r="Q205" s="53">
        <f>Português!Q205</f>
        <v>0</v>
      </c>
      <c r="R205" s="53">
        <f>Português!R205</f>
        <v>0</v>
      </c>
      <c r="S205" s="53">
        <f>Português!S205</f>
        <v>0</v>
      </c>
      <c r="T205" s="53">
        <f>Português!T205</f>
        <v>0</v>
      </c>
      <c r="U205" s="53">
        <f>Português!U205</f>
        <v>0</v>
      </c>
      <c r="V205" s="53">
        <f>Português!V205</f>
        <v>0</v>
      </c>
      <c r="W205" s="53">
        <f>Português!W205</f>
        <v>0</v>
      </c>
      <c r="X205" s="53">
        <f>Português!X205</f>
        <v>0</v>
      </c>
      <c r="Y205" s="53">
        <f>Português!Y205</f>
        <v>0</v>
      </c>
      <c r="Z205" s="53">
        <f>Português!Z205</f>
        <v>0</v>
      </c>
      <c r="AA205" s="53">
        <f>Português!AA205</f>
        <v>0</v>
      </c>
      <c r="AB205" s="53">
        <f>Português!AB205</f>
        <v>0</v>
      </c>
      <c r="AC205" s="53">
        <f>Português!AC205</f>
        <v>0</v>
      </c>
      <c r="AD205" s="53">
        <f>Português!AD205</f>
        <v>0</v>
      </c>
      <c r="AE205" s="53">
        <f>Português!AE205</f>
        <v>0</v>
      </c>
      <c r="AF205" s="53">
        <f>Português!AF205</f>
        <v>0</v>
      </c>
      <c r="AG205" s="53">
        <f>Português!AG205</f>
        <v>0</v>
      </c>
      <c r="AH205" s="53">
        <f>Português!AH205</f>
        <v>0</v>
      </c>
      <c r="AI205" s="53">
        <f>Português!AI205</f>
        <v>0</v>
      </c>
      <c r="AJ205" s="53">
        <f>Português!AJ205</f>
        <v>0</v>
      </c>
      <c r="AK205" s="53">
        <f>Português!AK205</f>
        <v>0</v>
      </c>
      <c r="AL205" s="53">
        <f>Português!AL205</f>
        <v>0</v>
      </c>
      <c r="AM205" s="53">
        <f>Português!AM205</f>
        <v>81.582999999999998</v>
      </c>
      <c r="AN205" s="53">
        <f>Português!AN205</f>
        <v>48.292000000000002</v>
      </c>
      <c r="AO205" s="53">
        <f>Português!AO205</f>
        <v>45.519000000000005</v>
      </c>
      <c r="AP205" s="53">
        <f>Português!AP205</f>
        <v>40.932999999999993</v>
      </c>
      <c r="AQ205" s="53">
        <f>Português!AQ205</f>
        <v>43.75200000000001</v>
      </c>
      <c r="AR205" s="53">
        <f>Português!AR205</f>
        <v>53.149000000000001</v>
      </c>
      <c r="AS205" s="19"/>
      <c r="AT205" s="53"/>
      <c r="AU205" s="53"/>
      <c r="AV205" s="53"/>
      <c r="AW205" s="53"/>
      <c r="AX205" s="53"/>
      <c r="AY205" s="53"/>
      <c r="AZ205" s="53">
        <f t="shared" si="120"/>
        <v>0</v>
      </c>
      <c r="BA205" s="53">
        <f t="shared" si="121"/>
        <v>81.582999999999998</v>
      </c>
      <c r="BB205" s="53">
        <f t="shared" si="122"/>
        <v>178.49600000000001</v>
      </c>
      <c r="BC205" s="37"/>
    </row>
    <row r="206" spans="2:55" outlineLevel="1">
      <c r="B206" s="116" t="s">
        <v>552</v>
      </c>
      <c r="C206" s="115" t="s">
        <v>390</v>
      </c>
      <c r="D206" s="5"/>
      <c r="E206" s="5"/>
      <c r="F206" s="5"/>
      <c r="G206" s="5"/>
      <c r="H206" s="53">
        <f>Português!H206</f>
        <v>0</v>
      </c>
      <c r="I206" s="53">
        <f>Português!I206</f>
        <v>0</v>
      </c>
      <c r="J206" s="53">
        <f>Português!J206</f>
        <v>0</v>
      </c>
      <c r="K206" s="53">
        <f>Português!K206</f>
        <v>0</v>
      </c>
      <c r="L206" s="53">
        <f>Português!L206</f>
        <v>0</v>
      </c>
      <c r="M206" s="53">
        <f>Português!M206</f>
        <v>0</v>
      </c>
      <c r="N206" s="53">
        <f>Português!N206</f>
        <v>0</v>
      </c>
      <c r="O206" s="53">
        <f>Português!O206</f>
        <v>0</v>
      </c>
      <c r="P206" s="53">
        <f>Português!P206</f>
        <v>0</v>
      </c>
      <c r="Q206" s="53">
        <f>Português!Q206</f>
        <v>0</v>
      </c>
      <c r="R206" s="53">
        <f>Português!R206</f>
        <v>0</v>
      </c>
      <c r="S206" s="53">
        <f>Português!S206</f>
        <v>0</v>
      </c>
      <c r="T206" s="53">
        <f>Português!T206</f>
        <v>0</v>
      </c>
      <c r="U206" s="53">
        <f>Português!U206</f>
        <v>0</v>
      </c>
      <c r="V206" s="53">
        <f>Português!V206</f>
        <v>0</v>
      </c>
      <c r="W206" s="53">
        <f>Português!W206</f>
        <v>0</v>
      </c>
      <c r="X206" s="53">
        <f>Português!X206</f>
        <v>0</v>
      </c>
      <c r="Y206" s="53">
        <f>Português!Y206</f>
        <v>0</v>
      </c>
      <c r="Z206" s="53">
        <f>Português!Z206</f>
        <v>0</v>
      </c>
      <c r="AA206" s="53">
        <f>Português!AA206</f>
        <v>0</v>
      </c>
      <c r="AB206" s="53">
        <f>Português!AB206</f>
        <v>0</v>
      </c>
      <c r="AC206" s="53">
        <f>Português!AC206</f>
        <v>0</v>
      </c>
      <c r="AD206" s="53">
        <f>Português!AD206</f>
        <v>0</v>
      </c>
      <c r="AE206" s="53">
        <f>Português!AE206</f>
        <v>0</v>
      </c>
      <c r="AF206" s="53">
        <f>Português!AF206</f>
        <v>0</v>
      </c>
      <c r="AG206" s="53">
        <f>Português!AG206</f>
        <v>0</v>
      </c>
      <c r="AH206" s="53">
        <f>Português!AH206</f>
        <v>0</v>
      </c>
      <c r="AI206" s="53">
        <f>Português!AI206</f>
        <v>0</v>
      </c>
      <c r="AJ206" s="53">
        <f>Português!AJ206</f>
        <v>0</v>
      </c>
      <c r="AK206" s="53">
        <f>Português!AK206</f>
        <v>0</v>
      </c>
      <c r="AL206" s="53">
        <f>Português!AL206</f>
        <v>0</v>
      </c>
      <c r="AM206" s="53">
        <f>Português!AM206</f>
        <v>0</v>
      </c>
      <c r="AN206" s="53">
        <f>Português!AN206</f>
        <v>0</v>
      </c>
      <c r="AO206" s="53">
        <f>Português!AO206</f>
        <v>0</v>
      </c>
      <c r="AP206" s="53">
        <f>Português!AP206</f>
        <v>-25.678999999999998</v>
      </c>
      <c r="AQ206" s="53">
        <f>Português!AQ206</f>
        <v>-51.466999999999999</v>
      </c>
      <c r="AR206" s="53">
        <f>Português!AR206</f>
        <v>-30.454999999999998</v>
      </c>
      <c r="AS206" s="19"/>
      <c r="AT206" s="53"/>
      <c r="AU206" s="53"/>
      <c r="AV206" s="53"/>
      <c r="AW206" s="53"/>
      <c r="AX206" s="53"/>
      <c r="AY206" s="53"/>
      <c r="AZ206" s="53"/>
      <c r="BA206" s="53"/>
      <c r="BB206" s="53">
        <f t="shared" si="122"/>
        <v>-77.146000000000001</v>
      </c>
      <c r="BC206" s="37"/>
    </row>
    <row r="207" spans="2:55" outlineLevel="1">
      <c r="B207" s="87" t="s">
        <v>553</v>
      </c>
      <c r="C207" s="115" t="s">
        <v>390</v>
      </c>
      <c r="D207" s="5"/>
      <c r="E207" s="5"/>
      <c r="F207" s="5"/>
      <c r="G207" s="5"/>
      <c r="H207" s="53">
        <f>Português!H207</f>
        <v>0</v>
      </c>
      <c r="I207" s="53">
        <f>Português!I207</f>
        <v>0</v>
      </c>
      <c r="J207" s="53">
        <f>Português!J207</f>
        <v>0</v>
      </c>
      <c r="K207" s="53">
        <f>Português!K207</f>
        <v>0</v>
      </c>
      <c r="L207" s="53">
        <f>Português!L207</f>
        <v>0</v>
      </c>
      <c r="M207" s="53">
        <f>Português!M207</f>
        <v>0</v>
      </c>
      <c r="N207" s="53">
        <f>Português!N207</f>
        <v>0</v>
      </c>
      <c r="O207" s="53">
        <f>Português!O207</f>
        <v>0</v>
      </c>
      <c r="P207" s="53">
        <f>Português!P207</f>
        <v>0</v>
      </c>
      <c r="Q207" s="53">
        <f>Português!Q207</f>
        <v>0</v>
      </c>
      <c r="R207" s="53">
        <f>Português!R207</f>
        <v>0</v>
      </c>
      <c r="S207" s="53">
        <f>Português!S207</f>
        <v>0</v>
      </c>
      <c r="T207" s="53">
        <f>Português!T207</f>
        <v>0</v>
      </c>
      <c r="U207" s="53">
        <f>Português!U207</f>
        <v>0</v>
      </c>
      <c r="V207" s="53">
        <f>Português!V207</f>
        <v>0</v>
      </c>
      <c r="W207" s="53">
        <f>Português!W207</f>
        <v>0</v>
      </c>
      <c r="X207" s="53">
        <f>Português!X207</f>
        <v>0</v>
      </c>
      <c r="Y207" s="53">
        <f>Português!Y207</f>
        <v>0</v>
      </c>
      <c r="Z207" s="53">
        <f>Português!Z207</f>
        <v>0</v>
      </c>
      <c r="AA207" s="53">
        <f>Português!AA207</f>
        <v>0</v>
      </c>
      <c r="AB207" s="53">
        <f>Português!AB207</f>
        <v>0</v>
      </c>
      <c r="AC207" s="53">
        <f>Português!AC207</f>
        <v>0</v>
      </c>
      <c r="AD207" s="53">
        <f>Português!AD207</f>
        <v>0</v>
      </c>
      <c r="AE207" s="53">
        <f>Português!AE207</f>
        <v>0</v>
      </c>
      <c r="AF207" s="53">
        <f>Português!AF207</f>
        <v>0</v>
      </c>
      <c r="AG207" s="53">
        <f>Português!AG207</f>
        <v>0</v>
      </c>
      <c r="AH207" s="53">
        <f>Português!AH207</f>
        <v>0</v>
      </c>
      <c r="AI207" s="53">
        <f>Português!AI207</f>
        <v>0</v>
      </c>
      <c r="AJ207" s="53">
        <f>Português!AJ207</f>
        <v>13.516</v>
      </c>
      <c r="AK207" s="53">
        <f>Português!AK207</f>
        <v>-13.516</v>
      </c>
      <c r="AL207" s="53">
        <f>Português!AL207</f>
        <v>-13.516</v>
      </c>
      <c r="AM207" s="53">
        <f>Português!AM207</f>
        <v>0</v>
      </c>
      <c r="AN207" s="53">
        <f>Português!AN207</f>
        <v>17.821000000000002</v>
      </c>
      <c r="AO207" s="53">
        <f>Português!AO207</f>
        <v>51.094999999999999</v>
      </c>
      <c r="AP207" s="53">
        <f>Português!AP207</f>
        <v>54.692000000000007</v>
      </c>
      <c r="AQ207" s="53">
        <f>Português!AQ207</f>
        <v>35.814999999999998</v>
      </c>
      <c r="AR207" s="53">
        <f>Português!AR207</f>
        <v>21.405000000000001</v>
      </c>
      <c r="AS207" s="19"/>
      <c r="AT207" s="53"/>
      <c r="AU207" s="53"/>
      <c r="AV207" s="53"/>
      <c r="AW207" s="53"/>
      <c r="AX207" s="53"/>
      <c r="AY207" s="53"/>
      <c r="AZ207" s="53"/>
      <c r="BA207" s="53">
        <f t="shared" si="121"/>
        <v>-13.516</v>
      </c>
      <c r="BB207" s="53">
        <f t="shared" si="122"/>
        <v>159.423</v>
      </c>
      <c r="BC207" s="37"/>
    </row>
    <row r="208" spans="2:55" outlineLevel="1">
      <c r="B208" s="87" t="s">
        <v>554</v>
      </c>
      <c r="C208" s="115" t="s">
        <v>390</v>
      </c>
      <c r="D208" s="5"/>
      <c r="E208" s="5"/>
      <c r="F208" s="5"/>
      <c r="G208" s="5"/>
      <c r="H208" s="53">
        <f>Português!H208</f>
        <v>0</v>
      </c>
      <c r="I208" s="53">
        <f>Português!I208</f>
        <v>0</v>
      </c>
      <c r="J208" s="53">
        <f>Português!J208</f>
        <v>0</v>
      </c>
      <c r="K208" s="53">
        <f>Português!K208</f>
        <v>0</v>
      </c>
      <c r="L208" s="53">
        <f>Português!L208</f>
        <v>0</v>
      </c>
      <c r="M208" s="53">
        <f>Português!M208</f>
        <v>0</v>
      </c>
      <c r="N208" s="53">
        <f>Português!N208</f>
        <v>0</v>
      </c>
      <c r="O208" s="53">
        <f>Português!O208</f>
        <v>0</v>
      </c>
      <c r="P208" s="53">
        <f>Português!P208</f>
        <v>0</v>
      </c>
      <c r="Q208" s="53">
        <f>Português!Q208</f>
        <v>0</v>
      </c>
      <c r="R208" s="53">
        <f>Português!R208</f>
        <v>0</v>
      </c>
      <c r="S208" s="53">
        <f>Português!S208</f>
        <v>0</v>
      </c>
      <c r="T208" s="53">
        <f>Português!T208</f>
        <v>0</v>
      </c>
      <c r="U208" s="53">
        <f>Português!U208</f>
        <v>0</v>
      </c>
      <c r="V208" s="53">
        <f>Português!V208</f>
        <v>0</v>
      </c>
      <c r="W208" s="53">
        <f>Português!W208</f>
        <v>0</v>
      </c>
      <c r="X208" s="53">
        <f>Português!X208</f>
        <v>0</v>
      </c>
      <c r="Y208" s="53">
        <f>Português!Y208</f>
        <v>0</v>
      </c>
      <c r="Z208" s="53">
        <f>Português!Z208</f>
        <v>0</v>
      </c>
      <c r="AA208" s="53">
        <f>Português!AA208</f>
        <v>0</v>
      </c>
      <c r="AB208" s="53">
        <f>Português!AB208</f>
        <v>0</v>
      </c>
      <c r="AC208" s="53">
        <f>Português!AC208</f>
        <v>0</v>
      </c>
      <c r="AD208" s="53">
        <f>Português!AD208</f>
        <v>0</v>
      </c>
      <c r="AE208" s="53">
        <f>Português!AE208</f>
        <v>0</v>
      </c>
      <c r="AF208" s="53">
        <f>Português!AF208</f>
        <v>0</v>
      </c>
      <c r="AG208" s="53">
        <f>Português!AG208</f>
        <v>0</v>
      </c>
      <c r="AH208" s="53">
        <f>Português!AH208</f>
        <v>0</v>
      </c>
      <c r="AI208" s="53">
        <f>Português!AI208</f>
        <v>0</v>
      </c>
      <c r="AJ208" s="53">
        <f>Português!AJ208</f>
        <v>24.277999999999999</v>
      </c>
      <c r="AK208" s="53">
        <f>Português!AK208</f>
        <v>-24.277999999999999</v>
      </c>
      <c r="AL208" s="53">
        <f>Português!AL208</f>
        <v>-24.277999999999999</v>
      </c>
      <c r="AM208" s="53">
        <f>Português!AM208</f>
        <v>0</v>
      </c>
      <c r="AN208" s="53">
        <f>Português!AN208</f>
        <v>23.225999999999999</v>
      </c>
      <c r="AO208" s="53">
        <f>Português!AO208</f>
        <v>15.14</v>
      </c>
      <c r="AP208" s="53">
        <f>Português!AP208</f>
        <v>20.868000000000002</v>
      </c>
      <c r="AQ208" s="53">
        <f>Português!AQ208</f>
        <v>5.9609999999999914</v>
      </c>
      <c r="AR208" s="53">
        <f>Português!AR208</f>
        <v>16.724</v>
      </c>
      <c r="AS208" s="19"/>
      <c r="AT208" s="53"/>
      <c r="AU208" s="53"/>
      <c r="AV208" s="53"/>
      <c r="AW208" s="53"/>
      <c r="AX208" s="53"/>
      <c r="AY208" s="53"/>
      <c r="AZ208" s="53"/>
      <c r="BA208" s="53">
        <f t="shared" si="121"/>
        <v>-24.277999999999999</v>
      </c>
      <c r="BB208" s="53">
        <f t="shared" si="122"/>
        <v>65.194999999999993</v>
      </c>
      <c r="BC208" s="37"/>
    </row>
    <row r="209" spans="1:55" outlineLevel="1">
      <c r="B209" s="87" t="s">
        <v>555</v>
      </c>
      <c r="C209" s="115" t="s">
        <v>390</v>
      </c>
      <c r="D209" s="5"/>
      <c r="E209" s="5"/>
      <c r="F209" s="5"/>
      <c r="G209" s="5"/>
      <c r="H209" s="53">
        <f>Português!H209</f>
        <v>0</v>
      </c>
      <c r="I209" s="53">
        <f>Português!I209</f>
        <v>0</v>
      </c>
      <c r="J209" s="53">
        <f>Português!J209</f>
        <v>0</v>
      </c>
      <c r="K209" s="53">
        <f>Português!K209</f>
        <v>0</v>
      </c>
      <c r="L209" s="53">
        <f>Português!L209</f>
        <v>0</v>
      </c>
      <c r="M209" s="53">
        <f>Português!M209</f>
        <v>0</v>
      </c>
      <c r="N209" s="53">
        <f>Português!N209</f>
        <v>0</v>
      </c>
      <c r="O209" s="53">
        <f>Português!O209</f>
        <v>0</v>
      </c>
      <c r="P209" s="53">
        <f>Português!P209</f>
        <v>0</v>
      </c>
      <c r="Q209" s="53">
        <f>Português!Q209</f>
        <v>0</v>
      </c>
      <c r="R209" s="53">
        <f>Português!R209</f>
        <v>0</v>
      </c>
      <c r="S209" s="53">
        <f>Português!S209</f>
        <v>0</v>
      </c>
      <c r="T209" s="53">
        <f>Português!T209</f>
        <v>0</v>
      </c>
      <c r="U209" s="53">
        <f>Português!U209</f>
        <v>0</v>
      </c>
      <c r="V209" s="53">
        <f>Português!V209</f>
        <v>0</v>
      </c>
      <c r="W209" s="53">
        <f>Português!W209</f>
        <v>0</v>
      </c>
      <c r="X209" s="53">
        <f>Português!X209</f>
        <v>0</v>
      </c>
      <c r="Y209" s="53">
        <f>Português!Y209</f>
        <v>0</v>
      </c>
      <c r="Z209" s="53">
        <f>Português!Z209</f>
        <v>0</v>
      </c>
      <c r="AA209" s="53">
        <f>Português!AA209</f>
        <v>0</v>
      </c>
      <c r="AB209" s="53">
        <f>Português!AB209</f>
        <v>0</v>
      </c>
      <c r="AC209" s="53">
        <f>Português!AC209</f>
        <v>0</v>
      </c>
      <c r="AD209" s="53">
        <f>Português!AD209</f>
        <v>0</v>
      </c>
      <c r="AE209" s="53">
        <f>Português!AE209</f>
        <v>0</v>
      </c>
      <c r="AF209" s="53">
        <f>Português!AF209</f>
        <v>0</v>
      </c>
      <c r="AG209" s="53">
        <f>Português!AG209</f>
        <v>0</v>
      </c>
      <c r="AH209" s="53">
        <f>Português!AH209</f>
        <v>0</v>
      </c>
      <c r="AI209" s="53">
        <f>Português!AI209</f>
        <v>0</v>
      </c>
      <c r="AJ209" s="53">
        <f>Português!AJ209</f>
        <v>0</v>
      </c>
      <c r="AK209" s="53">
        <f>Português!AK209</f>
        <v>0</v>
      </c>
      <c r="AL209" s="53">
        <f>Português!AL209</f>
        <v>0</v>
      </c>
      <c r="AM209" s="53">
        <f>Português!AM209</f>
        <v>0</v>
      </c>
      <c r="AN209" s="53">
        <f>Português!AN209</f>
        <v>0</v>
      </c>
      <c r="AO209" s="53">
        <f>Português!AO209</f>
        <v>-25.849</v>
      </c>
      <c r="AP209" s="53">
        <f>Português!AP209</f>
        <v>0</v>
      </c>
      <c r="AQ209" s="53">
        <f>Português!AQ209</f>
        <v>0</v>
      </c>
      <c r="AR209" s="53">
        <f>Português!AR209</f>
        <v>0</v>
      </c>
      <c r="AS209" s="19"/>
      <c r="AT209" s="53"/>
      <c r="AU209" s="53"/>
      <c r="AV209" s="53"/>
      <c r="AW209" s="53"/>
      <c r="AX209" s="53"/>
      <c r="AY209" s="53"/>
      <c r="AZ209" s="53"/>
      <c r="BA209" s="53"/>
      <c r="BB209" s="53">
        <f t="shared" si="122"/>
        <v>-25.849</v>
      </c>
      <c r="BC209" s="37"/>
    </row>
    <row r="210" spans="1:55" outlineLevel="1">
      <c r="B210" s="14" t="s">
        <v>556</v>
      </c>
      <c r="C210" s="115" t="s">
        <v>390</v>
      </c>
      <c r="D210" s="5"/>
      <c r="E210" s="5"/>
      <c r="F210" s="5"/>
      <c r="G210" s="5"/>
      <c r="H210" s="53">
        <f>Português!H210</f>
        <v>0</v>
      </c>
      <c r="I210" s="53">
        <f>Português!I210</f>
        <v>0</v>
      </c>
      <c r="J210" s="53">
        <f>Português!J210</f>
        <v>0</v>
      </c>
      <c r="K210" s="53">
        <f>Português!K210</f>
        <v>0</v>
      </c>
      <c r="L210" s="53">
        <f>Português!L210</f>
        <v>0</v>
      </c>
      <c r="M210" s="53">
        <f>Português!M210</f>
        <v>0</v>
      </c>
      <c r="N210" s="53">
        <f>Português!N210</f>
        <v>0</v>
      </c>
      <c r="O210" s="53">
        <f>Português!O210</f>
        <v>0</v>
      </c>
      <c r="P210" s="53">
        <f>Português!P210</f>
        <v>0</v>
      </c>
      <c r="Q210" s="53">
        <f>Português!Q210</f>
        <v>0</v>
      </c>
      <c r="R210" s="53">
        <f>Português!R210</f>
        <v>0</v>
      </c>
      <c r="S210" s="53">
        <f>Português!S210</f>
        <v>2.6619999999999999</v>
      </c>
      <c r="T210" s="53">
        <f>Português!T210</f>
        <v>14.021000000000001</v>
      </c>
      <c r="U210" s="53">
        <f>Português!U210</f>
        <v>2.8729999999999976</v>
      </c>
      <c r="V210" s="53">
        <f>Português!V210</f>
        <v>2.6400000000000006</v>
      </c>
      <c r="W210" s="53">
        <f>Português!W210</f>
        <v>-2.5389999999999979</v>
      </c>
      <c r="X210" s="53">
        <f>Português!X210</f>
        <v>4.5979999999999999</v>
      </c>
      <c r="Y210" s="53">
        <f>Português!Y210</f>
        <v>-3.383</v>
      </c>
      <c r="Z210" s="53">
        <f>Português!Z210</f>
        <v>1.996</v>
      </c>
      <c r="AA210" s="53">
        <f>Português!AA210</f>
        <v>0.39400000000000013</v>
      </c>
      <c r="AB210" s="53">
        <f>Português!AB210</f>
        <v>5.5430000000000001</v>
      </c>
      <c r="AC210" s="53">
        <f>Português!AC210</f>
        <v>-10.558</v>
      </c>
      <c r="AD210" s="53">
        <f>Português!AD210</f>
        <v>-0.16600000000000001</v>
      </c>
      <c r="AE210" s="53">
        <f>Português!AE210</f>
        <v>0.27400000000000002</v>
      </c>
      <c r="AF210" s="53">
        <f>Português!AF210</f>
        <v>-3.6859999999999999</v>
      </c>
      <c r="AG210" s="53">
        <f>Português!AG210</f>
        <v>-13.305</v>
      </c>
      <c r="AH210" s="53">
        <f>Português!AH210</f>
        <v>9.4459999999999997</v>
      </c>
      <c r="AI210" s="53">
        <f>Português!AI210</f>
        <v>-10.258000000000001</v>
      </c>
      <c r="AJ210" s="53">
        <f>Português!AJ210</f>
        <v>5.0000000000000001E-3</v>
      </c>
      <c r="AK210" s="53">
        <f>Português!AK210</f>
        <v>34.093999999999994</v>
      </c>
      <c r="AL210" s="53">
        <f>Português!AL210</f>
        <v>8.7270000000000039</v>
      </c>
      <c r="AM210" s="53">
        <f>Português!AM210</f>
        <v>17.935000000000002</v>
      </c>
      <c r="AN210" s="53">
        <f>Português!AN210</f>
        <v>-19.513000000000002</v>
      </c>
      <c r="AO210" s="53">
        <f>Português!AO210</f>
        <v>-13.271999999999995</v>
      </c>
      <c r="AP210" s="53">
        <f>Português!AP210</f>
        <v>-6.9570000000000007</v>
      </c>
      <c r="AQ210" s="53">
        <f>Português!AQ210</f>
        <v>8.259999999999998</v>
      </c>
      <c r="AR210" s="53">
        <f>Português!AR210</f>
        <v>-12.21</v>
      </c>
      <c r="AS210" s="19"/>
      <c r="AT210" s="53">
        <f t="shared" si="123"/>
        <v>0</v>
      </c>
      <c r="AU210" s="53">
        <f t="shared" si="124"/>
        <v>0</v>
      </c>
      <c r="AV210" s="53">
        <f t="shared" si="125"/>
        <v>2.6619999999999999</v>
      </c>
      <c r="AW210" s="53">
        <f t="shared" si="126"/>
        <v>16.995000000000001</v>
      </c>
      <c r="AX210" s="53">
        <f t="shared" si="127"/>
        <v>3.605</v>
      </c>
      <c r="AY210" s="53">
        <f t="shared" si="128"/>
        <v>-4.907</v>
      </c>
      <c r="AZ210" s="53">
        <f t="shared" si="120"/>
        <v>-17.803000000000001</v>
      </c>
      <c r="BA210" s="53">
        <f t="shared" si="121"/>
        <v>60.761000000000003</v>
      </c>
      <c r="BB210" s="53">
        <f t="shared" si="122"/>
        <v>-31.481999999999999</v>
      </c>
      <c r="BC210" s="37"/>
    </row>
    <row r="211" spans="1:55" outlineLevel="1">
      <c r="B211" s="84" t="s">
        <v>557</v>
      </c>
      <c r="C211" s="115" t="s">
        <v>390</v>
      </c>
      <c r="D211" s="5"/>
      <c r="E211" s="5"/>
      <c r="F211" s="5"/>
      <c r="G211" s="5"/>
      <c r="H211" s="53">
        <f>Português!H211</f>
        <v>0</v>
      </c>
      <c r="I211" s="53">
        <f>Português!I211</f>
        <v>0</v>
      </c>
      <c r="J211" s="53">
        <f>Português!J211</f>
        <v>0</v>
      </c>
      <c r="K211" s="53">
        <f>Português!K211</f>
        <v>0</v>
      </c>
      <c r="L211" s="53">
        <f>Português!L211</f>
        <v>0</v>
      </c>
      <c r="M211" s="53">
        <f>Português!M211</f>
        <v>0</v>
      </c>
      <c r="N211" s="53">
        <f>Português!N211</f>
        <v>0</v>
      </c>
      <c r="O211" s="53">
        <f>Português!O211</f>
        <v>0</v>
      </c>
      <c r="P211" s="53">
        <f>Português!P211</f>
        <v>0</v>
      </c>
      <c r="Q211" s="53">
        <f>Português!Q211</f>
        <v>0</v>
      </c>
      <c r="R211" s="53">
        <f>Português!R211</f>
        <v>0</v>
      </c>
      <c r="S211" s="53">
        <f>Português!S211</f>
        <v>0</v>
      </c>
      <c r="T211" s="53">
        <f>Português!T211</f>
        <v>0</v>
      </c>
      <c r="U211" s="53">
        <f>Português!U211</f>
        <v>0</v>
      </c>
      <c r="V211" s="53">
        <f>Português!V211</f>
        <v>0</v>
      </c>
      <c r="W211" s="53">
        <f>Português!W211</f>
        <v>0</v>
      </c>
      <c r="X211" s="53">
        <f>Português!X211</f>
        <v>0</v>
      </c>
      <c r="Y211" s="53">
        <f>Português!Y211</f>
        <v>20.303000000000001</v>
      </c>
      <c r="Z211" s="53">
        <f>Português!Z211</f>
        <v>30.453999999999997</v>
      </c>
      <c r="AA211" s="53">
        <f>Português!AA211</f>
        <v>5.548</v>
      </c>
      <c r="AB211" s="53">
        <f>Português!AB211</f>
        <v>129.63399999999999</v>
      </c>
      <c r="AC211" s="53">
        <f>Português!AC211</f>
        <v>144.81299999999999</v>
      </c>
      <c r="AD211" s="53">
        <f>Português!AD211</f>
        <v>142.06399999999999</v>
      </c>
      <c r="AE211" s="53">
        <f>Português!AE211</f>
        <v>69.805000000000007</v>
      </c>
      <c r="AF211" s="53">
        <f>Português!AF211</f>
        <v>38.225000000000001</v>
      </c>
      <c r="AG211" s="53">
        <f>Português!AG211</f>
        <v>8.6169999999999973</v>
      </c>
      <c r="AH211" s="53">
        <f>Português!AH211</f>
        <v>35.332000000000008</v>
      </c>
      <c r="AI211" s="53">
        <f>Português!AI211</f>
        <v>-20.492000000000004</v>
      </c>
      <c r="AJ211" s="53">
        <f>Português!AJ211</f>
        <v>41.86</v>
      </c>
      <c r="AK211" s="53">
        <f>Português!AK211</f>
        <v>30.480000000000004</v>
      </c>
      <c r="AL211" s="53">
        <f>Português!AL211</f>
        <v>32.768000000000001</v>
      </c>
      <c r="AM211" s="53">
        <f>Português!AM211</f>
        <v>-2.3860000000000099</v>
      </c>
      <c r="AN211" s="53">
        <f>Português!AN211</f>
        <v>16.347000000000001</v>
      </c>
      <c r="AO211" s="53">
        <f>Português!AO211</f>
        <v>12.738999999999997</v>
      </c>
      <c r="AP211" s="53">
        <f>Português!AP211</f>
        <v>6.7590000000000003</v>
      </c>
      <c r="AQ211" s="53">
        <f>Português!AQ211</f>
        <v>-12.994999999999997</v>
      </c>
      <c r="AR211" s="53">
        <f>Português!AR211</f>
        <v>8.641</v>
      </c>
      <c r="AS211" s="19"/>
      <c r="AT211" s="53">
        <f t="shared" si="123"/>
        <v>0</v>
      </c>
      <c r="AU211" s="53">
        <f t="shared" si="124"/>
        <v>0</v>
      </c>
      <c r="AV211" s="53">
        <f t="shared" si="125"/>
        <v>0</v>
      </c>
      <c r="AW211" s="53">
        <f t="shared" si="126"/>
        <v>0</v>
      </c>
      <c r="AX211" s="53">
        <f t="shared" si="127"/>
        <v>56.305</v>
      </c>
      <c r="AY211" s="53">
        <f t="shared" si="128"/>
        <v>486.31599999999997</v>
      </c>
      <c r="AZ211" s="53">
        <f t="shared" si="120"/>
        <v>61.682000000000002</v>
      </c>
      <c r="BA211" s="53">
        <f t="shared" si="121"/>
        <v>102.72199999999999</v>
      </c>
      <c r="BB211" s="53">
        <f t="shared" si="122"/>
        <v>22.85</v>
      </c>
      <c r="BC211" s="37"/>
    </row>
    <row r="212" spans="1:55" outlineLevel="1">
      <c r="B212" s="14" t="s">
        <v>558</v>
      </c>
      <c r="C212" s="115" t="s">
        <v>390</v>
      </c>
      <c r="D212" s="5"/>
      <c r="E212" s="5"/>
      <c r="F212" s="5"/>
      <c r="G212" s="5"/>
      <c r="H212" s="53">
        <f>Português!H212</f>
        <v>0</v>
      </c>
      <c r="I212" s="53">
        <f>Português!I212</f>
        <v>0</v>
      </c>
      <c r="J212" s="53">
        <f>Português!J212</f>
        <v>0</v>
      </c>
      <c r="K212" s="53">
        <f>Português!K212</f>
        <v>0</v>
      </c>
      <c r="L212" s="53">
        <f>Português!L212</f>
        <v>0</v>
      </c>
      <c r="M212" s="53">
        <f>Português!M212</f>
        <v>0</v>
      </c>
      <c r="N212" s="53">
        <f>Português!N212</f>
        <v>0</v>
      </c>
      <c r="O212" s="53">
        <f>Português!O212</f>
        <v>0</v>
      </c>
      <c r="P212" s="53">
        <f>Português!P212</f>
        <v>0</v>
      </c>
      <c r="Q212" s="53">
        <f>Português!Q212</f>
        <v>0</v>
      </c>
      <c r="R212" s="53">
        <f>Português!R212</f>
        <v>0</v>
      </c>
      <c r="S212" s="53">
        <f>Português!S212</f>
        <v>0</v>
      </c>
      <c r="T212" s="53">
        <f>Português!T212</f>
        <v>0</v>
      </c>
      <c r="U212" s="53">
        <f>Português!U212</f>
        <v>0</v>
      </c>
      <c r="V212" s="53">
        <f>Português!V212</f>
        <v>0</v>
      </c>
      <c r="W212" s="53">
        <f>Português!W212</f>
        <v>0</v>
      </c>
      <c r="X212" s="53">
        <f>Português!X212</f>
        <v>0</v>
      </c>
      <c r="Y212" s="53">
        <f>Português!Y212</f>
        <v>0</v>
      </c>
      <c r="Z212" s="53">
        <f>Português!Z212</f>
        <v>40</v>
      </c>
      <c r="AA212" s="53">
        <f>Português!AA212</f>
        <v>0</v>
      </c>
      <c r="AB212" s="53">
        <f>Português!AB212</f>
        <v>0</v>
      </c>
      <c r="AC212" s="53">
        <f>Português!AC212</f>
        <v>0</v>
      </c>
      <c r="AD212" s="53">
        <f>Português!AD212</f>
        <v>-417.42</v>
      </c>
      <c r="AE212" s="53">
        <f>Português!AE212</f>
        <v>-86.359999999999957</v>
      </c>
      <c r="AF212" s="53">
        <f>Português!AF212</f>
        <v>0</v>
      </c>
      <c r="AG212" s="53">
        <f>Português!AG212</f>
        <v>0</v>
      </c>
      <c r="AH212" s="53">
        <f>Português!AH212</f>
        <v>0</v>
      </c>
      <c r="AI212" s="53">
        <f>Português!AI212</f>
        <v>0</v>
      </c>
      <c r="AJ212" s="53">
        <f>Português!AJ212</f>
        <v>0</v>
      </c>
      <c r="AK212" s="53">
        <f>Português!AK212</f>
        <v>0</v>
      </c>
      <c r="AL212" s="53">
        <f>Português!AL212</f>
        <v>0</v>
      </c>
      <c r="AM212" s="53">
        <f>Português!AM212</f>
        <v>0</v>
      </c>
      <c r="AN212" s="53">
        <f>Português!AN212</f>
        <v>0</v>
      </c>
      <c r="AO212" s="53">
        <f>Português!AO212</f>
        <v>0</v>
      </c>
      <c r="AP212" s="53">
        <f>Português!AP212</f>
        <v>0</v>
      </c>
      <c r="AQ212" s="53">
        <f>Português!AQ212</f>
        <v>0</v>
      </c>
      <c r="AR212" s="53">
        <f>Português!AR212</f>
        <v>0</v>
      </c>
      <c r="AS212" s="19"/>
      <c r="AT212" s="53">
        <f t="shared" si="123"/>
        <v>0</v>
      </c>
      <c r="AU212" s="53">
        <f t="shared" si="124"/>
        <v>0</v>
      </c>
      <c r="AV212" s="53">
        <f t="shared" si="125"/>
        <v>0</v>
      </c>
      <c r="AW212" s="53">
        <f t="shared" si="126"/>
        <v>0</v>
      </c>
      <c r="AX212" s="53">
        <f t="shared" si="127"/>
        <v>40</v>
      </c>
      <c r="AY212" s="53">
        <f t="shared" si="128"/>
        <v>-503.78</v>
      </c>
      <c r="AZ212" s="53">
        <f t="shared" si="120"/>
        <v>0</v>
      </c>
      <c r="BA212" s="53">
        <f t="shared" si="121"/>
        <v>0</v>
      </c>
      <c r="BB212" s="53">
        <f t="shared" si="122"/>
        <v>0</v>
      </c>
      <c r="BC212" s="37"/>
    </row>
    <row r="213" spans="1:55" outlineLevel="1">
      <c r="B213" s="14" t="s">
        <v>559</v>
      </c>
      <c r="C213" s="115" t="s">
        <v>390</v>
      </c>
      <c r="D213" s="5"/>
      <c r="E213" s="5"/>
      <c r="F213" s="5"/>
      <c r="G213" s="5"/>
      <c r="H213" s="53">
        <f>Português!H213</f>
        <v>0</v>
      </c>
      <c r="I213" s="53">
        <f>Português!I213</f>
        <v>0</v>
      </c>
      <c r="J213" s="53">
        <f>Português!J213</f>
        <v>0</v>
      </c>
      <c r="K213" s="53">
        <f>Português!K213</f>
        <v>0</v>
      </c>
      <c r="L213" s="53">
        <f>Português!L213</f>
        <v>0</v>
      </c>
      <c r="M213" s="53">
        <f>Português!M213</f>
        <v>0</v>
      </c>
      <c r="N213" s="53">
        <f>Português!N213</f>
        <v>0</v>
      </c>
      <c r="O213" s="53">
        <f>Português!O213</f>
        <v>0</v>
      </c>
      <c r="P213" s="53">
        <f>Português!P213</f>
        <v>0</v>
      </c>
      <c r="Q213" s="53">
        <f>Português!Q213</f>
        <v>0</v>
      </c>
      <c r="R213" s="53">
        <f>Português!R213</f>
        <v>0</v>
      </c>
      <c r="S213" s="53">
        <f>Português!S213</f>
        <v>0</v>
      </c>
      <c r="T213" s="53">
        <f>Português!T213</f>
        <v>0</v>
      </c>
      <c r="U213" s="53">
        <f>Português!U213</f>
        <v>0</v>
      </c>
      <c r="V213" s="53">
        <f>Português!V213</f>
        <v>0</v>
      </c>
      <c r="W213" s="53">
        <f>Português!W213</f>
        <v>0</v>
      </c>
      <c r="X213" s="53">
        <f>Português!X213</f>
        <v>0</v>
      </c>
      <c r="Y213" s="53">
        <f>Português!Y213</f>
        <v>0</v>
      </c>
      <c r="Z213" s="53">
        <f>Português!Z213</f>
        <v>-2.0430000000000001</v>
      </c>
      <c r="AA213" s="53">
        <f>Português!AA213</f>
        <v>-0.45599999999999996</v>
      </c>
      <c r="AB213" s="53">
        <f>Português!AB213</f>
        <v>0</v>
      </c>
      <c r="AC213" s="53">
        <f>Português!AC213</f>
        <v>-2.4009999999999998</v>
      </c>
      <c r="AD213" s="53">
        <f>Português!AD213</f>
        <v>-1.4730000000000001</v>
      </c>
      <c r="AE213" s="53">
        <f>Português!AE213</f>
        <v>-1.891</v>
      </c>
      <c r="AF213" s="53">
        <f>Português!AF213</f>
        <v>-0.53700000000000003</v>
      </c>
      <c r="AG213" s="53">
        <f>Português!AG213</f>
        <v>-6.5350000000000001</v>
      </c>
      <c r="AH213" s="53">
        <f>Português!AH213</f>
        <v>7.0720000000000001</v>
      </c>
      <c r="AI213" s="53">
        <f>Português!AI213</f>
        <v>0</v>
      </c>
      <c r="AJ213" s="53">
        <f>Português!AJ213</f>
        <v>0</v>
      </c>
      <c r="AK213" s="53">
        <f>Português!AK213</f>
        <v>0</v>
      </c>
      <c r="AL213" s="53">
        <f>Português!AL213</f>
        <v>0</v>
      </c>
      <c r="AM213" s="53">
        <f>Português!AM213</f>
        <v>0</v>
      </c>
      <c r="AN213" s="53">
        <f>Português!AN213</f>
        <v>0</v>
      </c>
      <c r="AO213" s="53">
        <f>Português!AO213</f>
        <v>0</v>
      </c>
      <c r="AP213" s="53">
        <f>Português!AP213</f>
        <v>0</v>
      </c>
      <c r="AQ213" s="53">
        <f>Português!AQ213</f>
        <v>0</v>
      </c>
      <c r="AR213" s="53">
        <f>Português!AR213</f>
        <v>0</v>
      </c>
      <c r="AS213" s="19"/>
      <c r="AT213" s="53">
        <f t="shared" si="123"/>
        <v>0</v>
      </c>
      <c r="AU213" s="53">
        <f t="shared" si="124"/>
        <v>0</v>
      </c>
      <c r="AV213" s="53">
        <f t="shared" si="125"/>
        <v>0</v>
      </c>
      <c r="AW213" s="53">
        <f t="shared" si="126"/>
        <v>0</v>
      </c>
      <c r="AX213" s="53">
        <f t="shared" si="127"/>
        <v>-2.4990000000000001</v>
      </c>
      <c r="AY213" s="53">
        <f t="shared" si="128"/>
        <v>-5.7649999999999997</v>
      </c>
      <c r="AZ213" s="53">
        <f t="shared" si="120"/>
        <v>0</v>
      </c>
      <c r="BA213" s="53">
        <f t="shared" si="121"/>
        <v>0</v>
      </c>
      <c r="BB213" s="53">
        <f t="shared" si="122"/>
        <v>0</v>
      </c>
      <c r="BC213" s="37"/>
    </row>
    <row r="214" spans="1:55" outlineLevel="1">
      <c r="B214" s="87" t="s">
        <v>560</v>
      </c>
      <c r="C214" s="115" t="s">
        <v>390</v>
      </c>
      <c r="D214" s="5"/>
      <c r="E214" s="5"/>
      <c r="F214" s="5"/>
      <c r="G214" s="5"/>
      <c r="H214" s="53">
        <f>Português!H214</f>
        <v>63.518999999999998</v>
      </c>
      <c r="I214" s="53">
        <f>Português!I214</f>
        <v>55.452999999999996</v>
      </c>
      <c r="J214" s="53">
        <f>Português!J214</f>
        <v>53.196000000000005</v>
      </c>
      <c r="K214" s="53">
        <f>Português!K214</f>
        <v>69.899000000000001</v>
      </c>
      <c r="L214" s="53">
        <f>Português!L214</f>
        <v>91.070999999999998</v>
      </c>
      <c r="M214" s="53">
        <f>Português!M214</f>
        <v>75.2</v>
      </c>
      <c r="N214" s="53">
        <f>Português!N214</f>
        <v>66.597999999999985</v>
      </c>
      <c r="O214" s="53">
        <f>Português!O214</f>
        <v>82.22</v>
      </c>
      <c r="P214" s="53">
        <f>Português!P214</f>
        <v>103.032</v>
      </c>
      <c r="Q214" s="53">
        <f>Português!Q214</f>
        <v>108.05499999999999</v>
      </c>
      <c r="R214" s="53">
        <f>Português!R214</f>
        <v>93.134000000000029</v>
      </c>
      <c r="S214" s="53">
        <f>Português!S214</f>
        <v>58.59699999999998</v>
      </c>
      <c r="T214" s="53">
        <f>Português!T214</f>
        <v>133.26400000000001</v>
      </c>
      <c r="U214" s="53">
        <f>Português!U214</f>
        <v>210.93899999999996</v>
      </c>
      <c r="V214" s="53">
        <f>Português!V214</f>
        <v>146.09300000000002</v>
      </c>
      <c r="W214" s="53">
        <f>Português!W214</f>
        <v>106.98700000000002</v>
      </c>
      <c r="X214" s="53">
        <f>Português!X214</f>
        <v>117.997</v>
      </c>
      <c r="Y214" s="53">
        <f>Português!Y214</f>
        <v>99.124000000000009</v>
      </c>
      <c r="Z214" s="53">
        <f>Português!Z214</f>
        <v>86.64</v>
      </c>
      <c r="AA214" s="53">
        <f>Português!AA214</f>
        <v>19.546999999999969</v>
      </c>
      <c r="AB214" s="53">
        <f>Português!AB214</f>
        <v>40.164999999999999</v>
      </c>
      <c r="AC214" s="53">
        <f>Português!AC214</f>
        <v>8.69</v>
      </c>
      <c r="AD214" s="53">
        <f>Português!AD214</f>
        <v>-3.4390000000000001</v>
      </c>
      <c r="AE214" s="53">
        <f>Português!AE214</f>
        <v>-22.834999999999997</v>
      </c>
      <c r="AF214" s="53">
        <f>Português!AF214</f>
        <v>66.165000000000006</v>
      </c>
      <c r="AG214" s="53">
        <f>Português!AG214</f>
        <v>147.85599999999999</v>
      </c>
      <c r="AH214" s="53">
        <f>Português!AH214</f>
        <v>-39.178000000000026</v>
      </c>
      <c r="AI214" s="53">
        <f>Português!AI214</f>
        <v>15.870000000000019</v>
      </c>
      <c r="AJ214" s="53">
        <f>Português!AJ214</f>
        <v>109.017</v>
      </c>
      <c r="AK214" s="53">
        <f>Português!AK214</f>
        <v>84.527999999999992</v>
      </c>
      <c r="AL214" s="53">
        <f>Português!AL214</f>
        <v>89.680000000000035</v>
      </c>
      <c r="AM214" s="53">
        <f>Português!AM214</f>
        <v>-163.97000000000003</v>
      </c>
      <c r="AN214" s="53">
        <f>Português!AN214</f>
        <v>56.32</v>
      </c>
      <c r="AO214" s="53">
        <f>Português!AO214</f>
        <v>44.092000000000006</v>
      </c>
      <c r="AP214" s="53">
        <f>Português!AP214</f>
        <v>-97.586000000000013</v>
      </c>
      <c r="AQ214" s="53">
        <f>Português!AQ214</f>
        <v>-11.503999999999994</v>
      </c>
      <c r="AR214" s="53">
        <f>Português!AR214</f>
        <v>28.6</v>
      </c>
      <c r="AS214" s="19"/>
      <c r="AT214" s="53">
        <f t="shared" si="123"/>
        <v>242.06700000000001</v>
      </c>
      <c r="AU214" s="53">
        <f t="shared" si="124"/>
        <v>315.089</v>
      </c>
      <c r="AV214" s="53">
        <f t="shared" si="125"/>
        <v>362.81799999999998</v>
      </c>
      <c r="AW214" s="53">
        <f t="shared" si="126"/>
        <v>597.28300000000002</v>
      </c>
      <c r="AX214" s="53">
        <f t="shared" si="127"/>
        <v>323.30799999999999</v>
      </c>
      <c r="AY214" s="53">
        <f t="shared" si="128"/>
        <v>22.581</v>
      </c>
      <c r="AZ214" s="53">
        <f t="shared" si="120"/>
        <v>190.71300000000002</v>
      </c>
      <c r="BA214" s="53">
        <f t="shared" si="121"/>
        <v>119.255</v>
      </c>
      <c r="BB214" s="53">
        <f t="shared" si="122"/>
        <v>-8.6780000000000008</v>
      </c>
      <c r="BC214" s="37"/>
    </row>
    <row r="215" spans="1:55" outlineLevel="1">
      <c r="B215" s="87" t="s">
        <v>488</v>
      </c>
      <c r="C215" s="115" t="s">
        <v>390</v>
      </c>
      <c r="D215" s="5"/>
      <c r="E215" s="5"/>
      <c r="F215" s="5"/>
      <c r="G215" s="5"/>
      <c r="H215" s="53">
        <f>Português!H215</f>
        <v>1.0640000000000001</v>
      </c>
      <c r="I215" s="53">
        <f>Português!I215</f>
        <v>4.0620000000000003</v>
      </c>
      <c r="J215" s="53">
        <f>Português!J215</f>
        <v>-3.7520000000000002</v>
      </c>
      <c r="K215" s="53">
        <f>Português!K215</f>
        <v>0.95699999999999985</v>
      </c>
      <c r="L215" s="53">
        <f>Português!L215</f>
        <v>-9.8829999999999991</v>
      </c>
      <c r="M215" s="53">
        <f>Português!M215</f>
        <v>10.7</v>
      </c>
      <c r="N215" s="53">
        <f>Português!N215</f>
        <v>-18.556000000000001</v>
      </c>
      <c r="O215" s="53">
        <f>Português!O215</f>
        <v>-43.349000000000004</v>
      </c>
      <c r="P215" s="53">
        <f>Português!P215</f>
        <v>-1.3240000000000001</v>
      </c>
      <c r="Q215" s="53">
        <f>Português!Q215</f>
        <v>-26.143999999999998</v>
      </c>
      <c r="R215" s="53">
        <f>Português!R215</f>
        <v>-23.289000000000001</v>
      </c>
      <c r="S215" s="53">
        <f>Português!S215</f>
        <v>-34.435999999999993</v>
      </c>
      <c r="T215" s="53">
        <f>Português!T215</f>
        <v>-42.722000000000001</v>
      </c>
      <c r="U215" s="53">
        <f>Português!U215</f>
        <v>-65.716000000000008</v>
      </c>
      <c r="V215" s="53">
        <f>Português!V215</f>
        <v>-83.527999999999992</v>
      </c>
      <c r="W215" s="53">
        <f>Português!W215</f>
        <v>-57.957999999999998</v>
      </c>
      <c r="X215" s="53">
        <f>Português!X215</f>
        <v>-49.014000000000003</v>
      </c>
      <c r="Y215" s="53">
        <f>Português!Y215</f>
        <v>-124.25799999999998</v>
      </c>
      <c r="Z215" s="53">
        <f>Português!Z215</f>
        <v>-71.441000000000003</v>
      </c>
      <c r="AA215" s="53">
        <f>Português!AA215</f>
        <v>-86.054999999999978</v>
      </c>
      <c r="AB215" s="53">
        <f>Português!AB215</f>
        <v>-62.35</v>
      </c>
      <c r="AC215" s="53">
        <f>Português!AC215</f>
        <v>-87.388000000000005</v>
      </c>
      <c r="AD215" s="53">
        <f>Português!AD215</f>
        <v>-267.988</v>
      </c>
      <c r="AE215" s="53">
        <f>Português!AE215</f>
        <v>-276.82500000000005</v>
      </c>
      <c r="AF215" s="53">
        <f>Português!AF215</f>
        <v>-61.302</v>
      </c>
      <c r="AG215" s="53">
        <f>Português!AG215</f>
        <v>-168.87300000000002</v>
      </c>
      <c r="AH215" s="53">
        <f>Português!AH215</f>
        <v>-19.774000000000001</v>
      </c>
      <c r="AI215" s="53">
        <f>Português!AI215</f>
        <v>125.41000000000003</v>
      </c>
      <c r="AJ215" s="53">
        <f>Português!AJ215</f>
        <v>-34.997999999999998</v>
      </c>
      <c r="AK215" s="53">
        <f>Português!AK215</f>
        <v>-25.585000000000001</v>
      </c>
      <c r="AL215" s="53">
        <f>Português!AL215</f>
        <v>-110.15600000000001</v>
      </c>
      <c r="AM215" s="53">
        <f>Português!AM215</f>
        <v>460.54999999999995</v>
      </c>
      <c r="AN215" s="53">
        <f>Português!AN215</f>
        <v>11.13</v>
      </c>
      <c r="AO215" s="53">
        <f>Português!AO215</f>
        <v>-104.34699999999999</v>
      </c>
      <c r="AP215" s="53">
        <f>Português!AP215</f>
        <v>-30.826999999999998</v>
      </c>
      <c r="AQ215" s="53">
        <f>Português!AQ215</f>
        <v>-8.1110000000000042</v>
      </c>
      <c r="AR215" s="53">
        <f>Português!AR215</f>
        <v>121.384</v>
      </c>
      <c r="AS215" s="19"/>
      <c r="AT215" s="53">
        <f t="shared" si="123"/>
        <v>2.331</v>
      </c>
      <c r="AU215" s="53">
        <f t="shared" si="124"/>
        <v>-61.088000000000008</v>
      </c>
      <c r="AV215" s="53">
        <f t="shared" si="125"/>
        <v>-85.192999999999998</v>
      </c>
      <c r="AW215" s="53">
        <f t="shared" si="126"/>
        <v>-249.92400000000001</v>
      </c>
      <c r="AX215" s="53">
        <f t="shared" si="127"/>
        <v>-330.76799999999997</v>
      </c>
      <c r="AY215" s="53">
        <f t="shared" si="128"/>
        <v>-694.55100000000004</v>
      </c>
      <c r="AZ215" s="53">
        <f t="shared" si="120"/>
        <v>-124.53899999999999</v>
      </c>
      <c r="BA215" s="53">
        <f t="shared" si="121"/>
        <v>289.81099999999992</v>
      </c>
      <c r="BB215" s="53">
        <f t="shared" si="122"/>
        <v>-132.155</v>
      </c>
      <c r="BC215" s="37"/>
    </row>
    <row r="216" spans="1:55" outlineLevel="1">
      <c r="A216" s="1"/>
      <c r="B216" s="87" t="s">
        <v>561</v>
      </c>
      <c r="C216" s="115" t="s">
        <v>390</v>
      </c>
      <c r="D216" s="5"/>
      <c r="E216" s="5"/>
      <c r="F216" s="5"/>
      <c r="G216" s="5"/>
      <c r="H216" s="53">
        <v>0</v>
      </c>
      <c r="I216" s="53">
        <v>0</v>
      </c>
      <c r="J216" s="53">
        <v>0</v>
      </c>
      <c r="K216" s="53">
        <v>0</v>
      </c>
      <c r="L216" s="53">
        <v>0</v>
      </c>
      <c r="M216" s="53">
        <v>0</v>
      </c>
      <c r="N216" s="53">
        <v>0</v>
      </c>
      <c r="O216" s="53">
        <v>0</v>
      </c>
      <c r="P216" s="53">
        <v>0</v>
      </c>
      <c r="Q216" s="53">
        <v>0</v>
      </c>
      <c r="R216" s="53">
        <v>0</v>
      </c>
      <c r="S216" s="53">
        <v>0</v>
      </c>
      <c r="T216" s="53">
        <v>0</v>
      </c>
      <c r="U216" s="53">
        <v>0</v>
      </c>
      <c r="V216" s="53">
        <v>0</v>
      </c>
      <c r="W216" s="53">
        <v>0</v>
      </c>
      <c r="X216" s="53">
        <v>0</v>
      </c>
      <c r="Y216" s="53">
        <v>0</v>
      </c>
      <c r="Z216" s="53">
        <v>0</v>
      </c>
      <c r="AA216" s="53">
        <f>Português!AX216</f>
        <v>211.149</v>
      </c>
      <c r="AB216" s="53">
        <f>Português!AB216</f>
        <v>136.798</v>
      </c>
      <c r="AC216" s="53">
        <f>Português!AC216</f>
        <v>155.51400000000001</v>
      </c>
      <c r="AD216" s="53">
        <f>Português!AD216</f>
        <v>0</v>
      </c>
      <c r="AE216" s="53">
        <f>Português!AE216</f>
        <v>353.37800000000004</v>
      </c>
      <c r="AF216" s="53">
        <f>Português!AF216</f>
        <v>164.91499999999999</v>
      </c>
      <c r="AG216" s="53">
        <f>Português!AG216</f>
        <v>158.518</v>
      </c>
      <c r="AH216" s="53">
        <f>Português!AH216</f>
        <v>175.46500000000003</v>
      </c>
      <c r="AI216" s="53">
        <f>Português!AI216</f>
        <v>165.51900000000001</v>
      </c>
      <c r="AJ216" s="53">
        <f>Português!AJ216</f>
        <v>161.351</v>
      </c>
      <c r="AK216" s="53">
        <f>Português!AK216</f>
        <v>157.37299999999999</v>
      </c>
      <c r="AL216" s="53">
        <f>Português!AL216</f>
        <v>163.38999999999999</v>
      </c>
      <c r="AM216" s="53">
        <f>Português!AM216</f>
        <v>124.21999999999997</v>
      </c>
      <c r="AN216" s="53">
        <f>Português!AN216</f>
        <v>132.983</v>
      </c>
      <c r="AO216" s="53">
        <f>Português!AO216</f>
        <v>103.334</v>
      </c>
      <c r="AP216" s="53">
        <f>Português!AP216</f>
        <v>133.33499999999998</v>
      </c>
      <c r="AQ216" s="53">
        <f>Português!AQ216</f>
        <v>139.93900000000002</v>
      </c>
      <c r="AR216" s="53">
        <f>Português!AR216</f>
        <v>144.72499999999999</v>
      </c>
      <c r="AS216" s="19"/>
      <c r="AT216" s="53">
        <v>0</v>
      </c>
      <c r="AU216" s="53">
        <v>0</v>
      </c>
      <c r="AV216" s="53">
        <v>0</v>
      </c>
      <c r="AW216" s="53">
        <v>0</v>
      </c>
      <c r="AX216" s="53">
        <f t="shared" si="127"/>
        <v>211.149</v>
      </c>
      <c r="AY216" s="53">
        <f t="shared" si="128"/>
        <v>645.69000000000005</v>
      </c>
      <c r="AZ216" s="53">
        <f t="shared" si="120"/>
        <v>664.41700000000003</v>
      </c>
      <c r="BA216" s="53">
        <f t="shared" si="121"/>
        <v>606.33399999999995</v>
      </c>
      <c r="BB216" s="53">
        <f t="shared" si="122"/>
        <v>509.59100000000001</v>
      </c>
      <c r="BC216" s="37"/>
    </row>
    <row r="217" spans="1:55" outlineLevel="1">
      <c r="A217" s="1"/>
      <c r="B217" s="87" t="s">
        <v>562</v>
      </c>
      <c r="C217" s="115" t="s">
        <v>390</v>
      </c>
      <c r="D217" s="5"/>
      <c r="E217" s="5"/>
      <c r="F217" s="5"/>
      <c r="G217" s="5"/>
      <c r="H217" s="53">
        <v>0</v>
      </c>
      <c r="I217" s="53">
        <v>0</v>
      </c>
      <c r="J217" s="53">
        <v>0</v>
      </c>
      <c r="K217" s="53">
        <v>0</v>
      </c>
      <c r="L217" s="53">
        <v>0</v>
      </c>
      <c r="M217" s="53">
        <v>0</v>
      </c>
      <c r="N217" s="53">
        <v>0</v>
      </c>
      <c r="O217" s="53">
        <v>0</v>
      </c>
      <c r="P217" s="53">
        <v>0</v>
      </c>
      <c r="Q217" s="53">
        <v>0</v>
      </c>
      <c r="R217" s="53">
        <v>0</v>
      </c>
      <c r="S217" s="53">
        <v>0</v>
      </c>
      <c r="T217" s="53">
        <v>0</v>
      </c>
      <c r="U217" s="53">
        <v>0</v>
      </c>
      <c r="V217" s="53">
        <v>0</v>
      </c>
      <c r="W217" s="53">
        <v>0</v>
      </c>
      <c r="X217" s="53">
        <v>0</v>
      </c>
      <c r="Y217" s="53">
        <v>0</v>
      </c>
      <c r="Z217" s="53">
        <v>0</v>
      </c>
      <c r="AA217" s="53">
        <v>0</v>
      </c>
      <c r="AB217" s="53">
        <v>0</v>
      </c>
      <c r="AC217" s="53">
        <v>0</v>
      </c>
      <c r="AD217" s="53">
        <v>0</v>
      </c>
      <c r="AE217" s="53">
        <v>0</v>
      </c>
      <c r="AF217" s="53">
        <f>Português!AF217</f>
        <v>-0.59699999999999998</v>
      </c>
      <c r="AG217" s="53">
        <f>Português!AG217</f>
        <v>1.208</v>
      </c>
      <c r="AH217" s="53">
        <f>Português!AH217</f>
        <v>-1.8220000000000001</v>
      </c>
      <c r="AI217" s="53">
        <f>Português!AI217</f>
        <v>-5.1999999999999824E-2</v>
      </c>
      <c r="AJ217" s="53">
        <f>Português!AJ217</f>
        <v>0.19700000000000001</v>
      </c>
      <c r="AK217" s="53">
        <f>Português!AK217</f>
        <v>0</v>
      </c>
      <c r="AL217" s="53">
        <f>Português!AL217</f>
        <v>0</v>
      </c>
      <c r="AM217" s="53">
        <f>Português!AM217</f>
        <v>0</v>
      </c>
      <c r="AN217" s="53">
        <f>Português!AN217</f>
        <v>0</v>
      </c>
      <c r="AO217" s="53">
        <f>Português!AO217</f>
        <v>0</v>
      </c>
      <c r="AP217" s="53">
        <f>Português!AP217</f>
        <v>0</v>
      </c>
      <c r="AQ217" s="53">
        <f>Português!AQ217</f>
        <v>0</v>
      </c>
      <c r="AR217" s="53">
        <f>Português!AR217</f>
        <v>0</v>
      </c>
      <c r="AS217" s="19"/>
      <c r="AT217" s="53">
        <v>0</v>
      </c>
      <c r="AU217" s="53">
        <v>0</v>
      </c>
      <c r="AV217" s="53">
        <v>0</v>
      </c>
      <c r="AW217" s="53">
        <v>0</v>
      </c>
      <c r="AX217" s="53">
        <v>0</v>
      </c>
      <c r="AY217" s="53">
        <f t="shared" si="128"/>
        <v>0</v>
      </c>
      <c r="AZ217" s="53">
        <f t="shared" si="120"/>
        <v>-1.2629999999999999</v>
      </c>
      <c r="BA217" s="53">
        <f t="shared" si="121"/>
        <v>0.19700000000000001</v>
      </c>
      <c r="BB217" s="53">
        <f t="shared" si="122"/>
        <v>0</v>
      </c>
      <c r="BC217" s="37"/>
    </row>
    <row r="218" spans="1:55" ht="13.5" outlineLevel="1">
      <c r="B218" s="11" t="s">
        <v>563</v>
      </c>
      <c r="C218" s="114" t="s">
        <v>390</v>
      </c>
      <c r="D218" s="11"/>
      <c r="E218" s="11"/>
      <c r="F218" s="11"/>
      <c r="G218" s="11"/>
      <c r="H218" s="57">
        <f t="shared" ref="H218:N218" si="129">SUM(H219:H226)</f>
        <v>-83.25</v>
      </c>
      <c r="I218" s="57">
        <f t="shared" si="129"/>
        <v>-117.751</v>
      </c>
      <c r="J218" s="57">
        <f t="shared" si="129"/>
        <v>-1.9870000000000019</v>
      </c>
      <c r="K218" s="57">
        <f t="shared" si="129"/>
        <v>-64.353999999999999</v>
      </c>
      <c r="L218" s="57">
        <f t="shared" si="129"/>
        <v>-37.18</v>
      </c>
      <c r="M218" s="57">
        <f t="shared" si="129"/>
        <v>-95.4</v>
      </c>
      <c r="N218" s="57">
        <f t="shared" si="129"/>
        <v>-100.00700000000001</v>
      </c>
      <c r="O218" s="57">
        <f>SUM(O219:O226)</f>
        <v>-59.447000000000003</v>
      </c>
      <c r="P218" s="57">
        <f>SUM(P219:P226)</f>
        <v>-81.704000000000008</v>
      </c>
      <c r="Q218" s="57">
        <f t="shared" ref="Q218:AC218" si="130">SUM(Q219:Q226)</f>
        <v>-127.304</v>
      </c>
      <c r="R218" s="57">
        <f t="shared" si="130"/>
        <v>-8.9429999999999872</v>
      </c>
      <c r="S218" s="57">
        <f t="shared" si="130"/>
        <v>-194.30500000000001</v>
      </c>
      <c r="T218" s="57">
        <f t="shared" si="130"/>
        <v>-175.34800000000001</v>
      </c>
      <c r="U218" s="57">
        <f t="shared" si="130"/>
        <v>-143.125</v>
      </c>
      <c r="V218" s="57">
        <f t="shared" si="130"/>
        <v>-50.019000000000013</v>
      </c>
      <c r="W218" s="57">
        <f t="shared" si="130"/>
        <v>-83.667999999999978</v>
      </c>
      <c r="X218" s="57">
        <f>SUM(X219:X226)</f>
        <v>-246.42699999999999</v>
      </c>
      <c r="Y218" s="57">
        <f t="shared" si="130"/>
        <v>-195.80200000000002</v>
      </c>
      <c r="Z218" s="57">
        <f t="shared" si="130"/>
        <v>43.739000000000019</v>
      </c>
      <c r="AA218" s="57">
        <f t="shared" si="130"/>
        <v>-343.82600000000002</v>
      </c>
      <c r="AB218" s="57">
        <f t="shared" si="130"/>
        <v>-272.33699999999999</v>
      </c>
      <c r="AC218" s="57">
        <f t="shared" si="130"/>
        <v>-592.24200000000008</v>
      </c>
      <c r="AD218" s="57">
        <f>SUM(AD219:AD226)</f>
        <v>-233.67099999999999</v>
      </c>
      <c r="AE218" s="57">
        <f t="shared" ref="AE218:AP218" si="131">SUM(AE219:AE226)</f>
        <v>-893.2969999999998</v>
      </c>
      <c r="AF218" s="57">
        <f t="shared" si="131"/>
        <v>-279.048</v>
      </c>
      <c r="AG218" s="57">
        <f t="shared" si="131"/>
        <v>-544.78</v>
      </c>
      <c r="AH218" s="57">
        <f t="shared" si="131"/>
        <v>-534.08600000000001</v>
      </c>
      <c r="AI218" s="57">
        <f t="shared" si="131"/>
        <v>-399.73900000000009</v>
      </c>
      <c r="AJ218" s="57">
        <f t="shared" si="131"/>
        <v>-524.98</v>
      </c>
      <c r="AK218" s="57">
        <f t="shared" si="131"/>
        <v>-659.69599999999991</v>
      </c>
      <c r="AL218" s="57">
        <f t="shared" si="131"/>
        <v>-424.03</v>
      </c>
      <c r="AM218" s="57">
        <f t="shared" si="131"/>
        <v>-186.91399999999999</v>
      </c>
      <c r="AN218" s="57">
        <f t="shared" si="131"/>
        <v>-579.39700000000005</v>
      </c>
      <c r="AO218" s="57">
        <f t="shared" si="131"/>
        <v>-319.60700000000008</v>
      </c>
      <c r="AP218" s="57">
        <f t="shared" si="131"/>
        <v>-583.702</v>
      </c>
      <c r="AQ218" s="57">
        <f>SUM(AQ219:AQ226)</f>
        <v>-380.59100000000007</v>
      </c>
      <c r="AR218" s="57">
        <f>SUM(AR219:AR226)</f>
        <v>-643.30899999999997</v>
      </c>
      <c r="AS218" s="19"/>
      <c r="AT218" s="57">
        <f t="shared" ref="AT218:AY218" si="132">SUM(AT219:AT226)</f>
        <v>-267.34200000000004</v>
      </c>
      <c r="AU218" s="57">
        <f t="shared" si="132"/>
        <v>-292.03399999999999</v>
      </c>
      <c r="AV218" s="57">
        <f t="shared" si="132"/>
        <v>-412.25600000000009</v>
      </c>
      <c r="AW218" s="57">
        <f t="shared" si="132"/>
        <v>-452.16</v>
      </c>
      <c r="AX218" s="57">
        <f t="shared" si="132"/>
        <v>-742.31600000000003</v>
      </c>
      <c r="AY218" s="57">
        <f t="shared" si="132"/>
        <v>-1991.5469999999998</v>
      </c>
      <c r="AZ218" s="57">
        <f>SUM(AZ219:AZ226)</f>
        <v>-1676.989</v>
      </c>
      <c r="BA218" s="57">
        <f t="shared" si="121"/>
        <v>-1795.62</v>
      </c>
      <c r="BB218" s="57">
        <f t="shared" si="122"/>
        <v>-1863.2970000000003</v>
      </c>
      <c r="BC218" s="37"/>
    </row>
    <row r="219" spans="1:55" outlineLevel="1">
      <c r="B219" s="87" t="s">
        <v>564</v>
      </c>
      <c r="C219" s="115" t="s">
        <v>390</v>
      </c>
      <c r="D219" s="5"/>
      <c r="E219" s="5"/>
      <c r="F219" s="5"/>
      <c r="G219" s="5"/>
      <c r="H219" s="53">
        <f>Português!H219</f>
        <v>-74.552999999999997</v>
      </c>
      <c r="I219" s="53">
        <f>Português!I219</f>
        <v>-63.093000000000004</v>
      </c>
      <c r="J219" s="53">
        <f>Português!J219</f>
        <v>-15.743</v>
      </c>
      <c r="K219" s="53">
        <f>Português!K219</f>
        <v>-31.272999999999996</v>
      </c>
      <c r="L219" s="53">
        <f>Português!L219</f>
        <v>-7.16</v>
      </c>
      <c r="M219" s="53">
        <f>Português!M219</f>
        <v>-65.7</v>
      </c>
      <c r="N219" s="53">
        <f>Português!N219</f>
        <v>-71.654999999999987</v>
      </c>
      <c r="O219" s="53">
        <f>Português!O219</f>
        <v>-12.137</v>
      </c>
      <c r="P219" s="53">
        <f>Português!P219</f>
        <v>-51.259</v>
      </c>
      <c r="Q219" s="53">
        <f>Português!Q219</f>
        <v>-46.608000000000004</v>
      </c>
      <c r="R219" s="53">
        <f>Português!R219</f>
        <v>-7.9099999999999966</v>
      </c>
      <c r="S219" s="53">
        <f>Português!S219</f>
        <v>-59.021000000000001</v>
      </c>
      <c r="T219" s="53">
        <f>Português!T219</f>
        <v>-109.905</v>
      </c>
      <c r="U219" s="53">
        <f>Português!U219</f>
        <v>-35.256</v>
      </c>
      <c r="V219" s="53">
        <f>Português!V219</f>
        <v>-35.347000000000008</v>
      </c>
      <c r="W219" s="53">
        <f>Português!W219</f>
        <v>-148.80699999999999</v>
      </c>
      <c r="X219" s="53">
        <f>Português!X219</f>
        <v>-94.97</v>
      </c>
      <c r="Y219" s="53">
        <f>Português!Y219</f>
        <v>-64.193000000000012</v>
      </c>
      <c r="Z219" s="53">
        <f>Português!Z219</f>
        <v>49.77000000000001</v>
      </c>
      <c r="AA219" s="53">
        <f>Português!AA219</f>
        <v>-104.50899999999999</v>
      </c>
      <c r="AB219" s="53">
        <f>Português!AB219</f>
        <v>-138.161</v>
      </c>
      <c r="AC219" s="53">
        <f>Português!AC219</f>
        <v>-291.30500000000001</v>
      </c>
      <c r="AD219" s="53">
        <f>Português!AD219</f>
        <v>-93.578000000000003</v>
      </c>
      <c r="AE219" s="53">
        <f>Português!AE219</f>
        <v>-363.95299999999997</v>
      </c>
      <c r="AF219" s="53">
        <f>Português!AF219</f>
        <v>-34.627000000000002</v>
      </c>
      <c r="AG219" s="53">
        <f>Português!AG219</f>
        <v>-205.71699999999998</v>
      </c>
      <c r="AH219" s="53">
        <f>Português!AH219</f>
        <v>-228.00900000000001</v>
      </c>
      <c r="AI219" s="53">
        <f>Português!AI219</f>
        <v>-194.55100000000004</v>
      </c>
      <c r="AJ219" s="53">
        <f>Português!AJ219</f>
        <v>-303.81900000000002</v>
      </c>
      <c r="AK219" s="53">
        <f>Português!AK219</f>
        <v>-129.16699999999997</v>
      </c>
      <c r="AL219" s="53">
        <f>Português!AL219</f>
        <v>-100.45299999999997</v>
      </c>
      <c r="AM219" s="53">
        <f>Português!AM219</f>
        <v>-80.13</v>
      </c>
      <c r="AN219" s="53">
        <f>Português!AN219</f>
        <v>-270.77699999999999</v>
      </c>
      <c r="AO219" s="53">
        <f>Português!AO219</f>
        <v>-225.01100000000002</v>
      </c>
      <c r="AP219" s="53">
        <f>Português!AP219</f>
        <v>-180.08199999999999</v>
      </c>
      <c r="AQ219" s="53">
        <f>Português!AQ219</f>
        <v>-127.38400000000001</v>
      </c>
      <c r="AR219" s="53">
        <f>Português!AR219</f>
        <v>-307.49299999999999</v>
      </c>
      <c r="AS219" s="19"/>
      <c r="AT219" s="53">
        <f t="shared" ref="AT219:AT226" si="133">SUM(H219:K219)</f>
        <v>-184.66200000000001</v>
      </c>
      <c r="AU219" s="53">
        <f t="shared" ref="AU219:AU226" si="134">SUM(L219:O219)</f>
        <v>-156.65199999999999</v>
      </c>
      <c r="AV219" s="53">
        <f t="shared" ref="AV219:AV226" si="135">SUM(P219:S219)</f>
        <v>-164.798</v>
      </c>
      <c r="AW219" s="53">
        <f t="shared" ref="AW219:AW226" si="136">SUM(T219:W219)</f>
        <v>-329.315</v>
      </c>
      <c r="AX219" s="53">
        <f t="shared" ref="AX219:AX226" si="137">SUM(X219:AA219)</f>
        <v>-213.90199999999999</v>
      </c>
      <c r="AY219" s="53">
        <f t="shared" ref="AY219:AY226" si="138">SUM(AB219:AE219)</f>
        <v>-886.99699999999996</v>
      </c>
      <c r="AZ219" s="53">
        <f t="shared" ref="AZ219:AZ226" si="139">SUM(AF219:AI219)</f>
        <v>-662.904</v>
      </c>
      <c r="BA219" s="53">
        <f t="shared" si="121"/>
        <v>-613.56899999999996</v>
      </c>
      <c r="BB219" s="53">
        <f t="shared" si="122"/>
        <v>-803.25400000000002</v>
      </c>
      <c r="BC219" s="37"/>
    </row>
    <row r="220" spans="1:55" outlineLevel="1">
      <c r="B220" s="87" t="s">
        <v>478</v>
      </c>
      <c r="C220" s="115" t="s">
        <v>390</v>
      </c>
      <c r="D220" s="5"/>
      <c r="E220" s="5"/>
      <c r="F220" s="5"/>
      <c r="G220" s="5"/>
      <c r="H220" s="53">
        <f>Português!H220</f>
        <v>8.2000000000000003E-2</v>
      </c>
      <c r="I220" s="53">
        <f>Português!I220</f>
        <v>-0.35600000000000004</v>
      </c>
      <c r="J220" s="53">
        <f>Português!J220</f>
        <v>-0.504</v>
      </c>
      <c r="K220" s="53">
        <f>Português!K220</f>
        <v>0.44</v>
      </c>
      <c r="L220" s="53">
        <f>Português!L220</f>
        <v>1.6719999999999999</v>
      </c>
      <c r="M220" s="53">
        <f>Português!M220</f>
        <v>-2.1</v>
      </c>
      <c r="N220" s="53">
        <f>Português!N220</f>
        <v>2.5620000000000003</v>
      </c>
      <c r="O220" s="53">
        <f>Português!O220</f>
        <v>-6.78</v>
      </c>
      <c r="P220" s="53">
        <f>Português!P220</f>
        <v>1.4370000000000001</v>
      </c>
      <c r="Q220" s="53">
        <f>Português!Q220</f>
        <v>-2.5209999999999999</v>
      </c>
      <c r="R220" s="53">
        <f>Português!R220</f>
        <v>-0.75499999999999989</v>
      </c>
      <c r="S220" s="53">
        <f>Português!S220</f>
        <v>-21.752000000000002</v>
      </c>
      <c r="T220" s="53">
        <f>Português!T220</f>
        <v>-12.837</v>
      </c>
      <c r="U220" s="53">
        <f>Português!U220</f>
        <v>-41.981999999999999</v>
      </c>
      <c r="V220" s="53">
        <f>Português!V220</f>
        <v>19.289999999999996</v>
      </c>
      <c r="W220" s="53">
        <f>Português!W220</f>
        <v>11.076000000000004</v>
      </c>
      <c r="X220" s="53">
        <f>Português!X220</f>
        <v>-33.893000000000001</v>
      </c>
      <c r="Y220" s="53">
        <f>Português!Y220</f>
        <v>-5.2980000000000018</v>
      </c>
      <c r="Z220" s="53">
        <f>Português!Z220</f>
        <v>2.8440000000000012</v>
      </c>
      <c r="AA220" s="53">
        <f>Português!AA220</f>
        <v>-13.888999999999999</v>
      </c>
      <c r="AB220" s="53">
        <f>Português!AB220</f>
        <v>26.888999999999999</v>
      </c>
      <c r="AC220" s="53">
        <f>Português!AC220</f>
        <v>-28.672999999999998</v>
      </c>
      <c r="AD220" s="53">
        <f>Português!AD220</f>
        <v>42.854999999999997</v>
      </c>
      <c r="AE220" s="53">
        <f>Português!AE220</f>
        <v>2.3840000000000003</v>
      </c>
      <c r="AF220" s="53">
        <f>Português!AF220</f>
        <v>20.533000000000001</v>
      </c>
      <c r="AG220" s="53">
        <f>Português!AG220</f>
        <v>-21.218</v>
      </c>
      <c r="AH220" s="53">
        <f>Português!AH220</f>
        <v>-0.64700000000000135</v>
      </c>
      <c r="AI220" s="53">
        <f>Português!AI220</f>
        <v>-32.589000000000006</v>
      </c>
      <c r="AJ220" s="53">
        <f>Português!AJ220</f>
        <v>-13.711</v>
      </c>
      <c r="AK220" s="53">
        <f>Português!AK220</f>
        <v>-71.623000000000005</v>
      </c>
      <c r="AL220" s="53">
        <f>Português!AL220</f>
        <v>14.421000000000006</v>
      </c>
      <c r="AM220" s="53">
        <f>Português!AM220</f>
        <v>23.089999999999996</v>
      </c>
      <c r="AN220" s="53">
        <f>Português!AN220</f>
        <v>-18.914999999999999</v>
      </c>
      <c r="AO220" s="53">
        <f>Português!AO220</f>
        <v>-32.916000000000004</v>
      </c>
      <c r="AP220" s="53">
        <f>Português!AP220</f>
        <v>61.203000000000003</v>
      </c>
      <c r="AQ220" s="53">
        <f>Português!AQ220</f>
        <v>-5.742</v>
      </c>
      <c r="AR220" s="53">
        <f>Português!AR220</f>
        <v>-84.745000000000005</v>
      </c>
      <c r="AS220" s="19"/>
      <c r="AT220" s="53">
        <f t="shared" si="133"/>
        <v>-0.33800000000000002</v>
      </c>
      <c r="AU220" s="53">
        <f t="shared" si="134"/>
        <v>-4.6459999999999999</v>
      </c>
      <c r="AV220" s="53">
        <f t="shared" si="135"/>
        <v>-23.591000000000001</v>
      </c>
      <c r="AW220" s="53">
        <f t="shared" si="136"/>
        <v>-24.453000000000007</v>
      </c>
      <c r="AX220" s="53">
        <f t="shared" si="137"/>
        <v>-50.236000000000004</v>
      </c>
      <c r="AY220" s="53">
        <f t="shared" si="138"/>
        <v>43.454999999999998</v>
      </c>
      <c r="AZ220" s="53">
        <f t="shared" si="139"/>
        <v>-33.921000000000006</v>
      </c>
      <c r="BA220" s="53">
        <f t="shared" si="121"/>
        <v>-47.823</v>
      </c>
      <c r="BB220" s="53">
        <f t="shared" si="122"/>
        <v>3.63</v>
      </c>
      <c r="BC220" s="37"/>
    </row>
    <row r="221" spans="1:55" outlineLevel="1">
      <c r="B221" s="87" t="s">
        <v>565</v>
      </c>
      <c r="C221" s="115" t="s">
        <v>390</v>
      </c>
      <c r="D221" s="5"/>
      <c r="E221" s="5"/>
      <c r="F221" s="5"/>
      <c r="G221" s="5"/>
      <c r="H221" s="53">
        <f>Português!H221</f>
        <v>1.2310000000000001</v>
      </c>
      <c r="I221" s="53">
        <f>Português!I221</f>
        <v>-0.56200000000000006</v>
      </c>
      <c r="J221" s="53">
        <f>Português!J221</f>
        <v>-4.0129999999999999</v>
      </c>
      <c r="K221" s="53">
        <f>Português!K221</f>
        <v>-6.109</v>
      </c>
      <c r="L221" s="53">
        <f>Português!L221</f>
        <v>4.9160000000000004</v>
      </c>
      <c r="M221" s="53">
        <f>Português!M221</f>
        <v>-1.7</v>
      </c>
      <c r="N221" s="53">
        <f>Português!N221</f>
        <v>-12.646000000000001</v>
      </c>
      <c r="O221" s="53">
        <f>Português!O221</f>
        <v>-29.351999999999997</v>
      </c>
      <c r="P221" s="53">
        <f>Português!P221</f>
        <v>-3.3149999999999999</v>
      </c>
      <c r="Q221" s="53">
        <f>Português!Q221</f>
        <v>-14.520000000000001</v>
      </c>
      <c r="R221" s="53">
        <f>Português!R221</f>
        <v>-13.189999999999996</v>
      </c>
      <c r="S221" s="53">
        <f>Português!S221</f>
        <v>-55.323</v>
      </c>
      <c r="T221" s="53">
        <f>Português!T221</f>
        <v>-4.6429999999999998</v>
      </c>
      <c r="U221" s="53">
        <f>Português!U221</f>
        <v>-8.4439999999999991</v>
      </c>
      <c r="V221" s="53">
        <f>Português!V221</f>
        <v>-7.1080000000000014</v>
      </c>
      <c r="W221" s="53">
        <f>Português!W221</f>
        <v>3.6760000000000028</v>
      </c>
      <c r="X221" s="53">
        <f>Português!X221</f>
        <v>-10.045</v>
      </c>
      <c r="Y221" s="53">
        <f>Português!Y221</f>
        <v>-8.4390000000000018</v>
      </c>
      <c r="Z221" s="53">
        <f>Português!Z221</f>
        <v>6.1330000000000009</v>
      </c>
      <c r="AA221" s="53">
        <f>Português!AA221</f>
        <v>-35.634</v>
      </c>
      <c r="AB221" s="53">
        <f>Português!AB221</f>
        <v>-87.16</v>
      </c>
      <c r="AC221" s="53">
        <f>Português!AC221</f>
        <v>-62.62</v>
      </c>
      <c r="AD221" s="53">
        <f>Português!AD221</f>
        <v>-100.91</v>
      </c>
      <c r="AE221" s="53">
        <f>Português!AE221</f>
        <v>-79.173999999999978</v>
      </c>
      <c r="AF221" s="53">
        <f>Português!AF221</f>
        <v>-27.952000000000002</v>
      </c>
      <c r="AG221" s="53">
        <f>Português!AG221</f>
        <v>-40.56</v>
      </c>
      <c r="AH221" s="53">
        <f>Português!AH221</f>
        <v>-40.876000000000005</v>
      </c>
      <c r="AI221" s="53">
        <f>Português!AI221</f>
        <v>4.4759999999999991</v>
      </c>
      <c r="AJ221" s="53">
        <f>Português!AJ221</f>
        <v>2.1709999999999998</v>
      </c>
      <c r="AK221" s="53">
        <f>Português!AK221</f>
        <v>-30.071999999999999</v>
      </c>
      <c r="AL221" s="53">
        <f>Português!AL221</f>
        <v>24.576000000000001</v>
      </c>
      <c r="AM221" s="53">
        <f>Português!AM221</f>
        <v>28.785999999999994</v>
      </c>
      <c r="AN221" s="53">
        <f>Português!AN221</f>
        <v>-30.738</v>
      </c>
      <c r="AO221" s="53">
        <f>Português!AO221</f>
        <v>231.61799999999999</v>
      </c>
      <c r="AP221" s="53">
        <f>Português!AP221</f>
        <v>-9.2579999999999814</v>
      </c>
      <c r="AQ221" s="53">
        <f>Português!AQ221</f>
        <v>46.053999999999974</v>
      </c>
      <c r="AR221" s="53">
        <f>Português!AR221</f>
        <v>133.452</v>
      </c>
      <c r="AS221" s="19"/>
      <c r="AT221" s="53">
        <f t="shared" si="133"/>
        <v>-9.4529999999999994</v>
      </c>
      <c r="AU221" s="53">
        <f t="shared" si="134"/>
        <v>-38.781999999999996</v>
      </c>
      <c r="AV221" s="53">
        <f t="shared" si="135"/>
        <v>-86.347999999999999</v>
      </c>
      <c r="AW221" s="53">
        <f t="shared" si="136"/>
        <v>-16.518999999999998</v>
      </c>
      <c r="AX221" s="53">
        <f t="shared" si="137"/>
        <v>-47.984999999999999</v>
      </c>
      <c r="AY221" s="53">
        <f t="shared" si="138"/>
        <v>-329.86399999999998</v>
      </c>
      <c r="AZ221" s="53">
        <f t="shared" si="139"/>
        <v>-104.91200000000001</v>
      </c>
      <c r="BA221" s="53">
        <f t="shared" si="121"/>
        <v>25.460999999999995</v>
      </c>
      <c r="BB221" s="53">
        <f t="shared" si="122"/>
        <v>237.67599999999999</v>
      </c>
      <c r="BC221" s="37"/>
    </row>
    <row r="222" spans="1:55" outlineLevel="1">
      <c r="B222" s="87" t="s">
        <v>566</v>
      </c>
      <c r="C222" s="115" t="s">
        <v>390</v>
      </c>
      <c r="D222" s="5"/>
      <c r="E222" s="5"/>
      <c r="F222" s="5"/>
      <c r="G222" s="5"/>
      <c r="H222" s="53">
        <f>Português!H222</f>
        <v>1.8049999999999999</v>
      </c>
      <c r="I222" s="53">
        <f>Português!I222</f>
        <v>-22.332999999999998</v>
      </c>
      <c r="J222" s="53">
        <f>Português!J222</f>
        <v>18.178999999999998</v>
      </c>
      <c r="K222" s="53">
        <f>Português!K222</f>
        <v>4.597999999999999</v>
      </c>
      <c r="L222" s="53">
        <f>Português!L222</f>
        <v>0.64600000000000002</v>
      </c>
      <c r="M222" s="53">
        <f>Português!M222</f>
        <v>-1.9</v>
      </c>
      <c r="N222" s="53">
        <f>Português!N222</f>
        <v>-0.7</v>
      </c>
      <c r="O222" s="53">
        <f>Português!O222</f>
        <v>42.358000000000004</v>
      </c>
      <c r="P222" s="53">
        <f>Português!P222</f>
        <v>0</v>
      </c>
      <c r="Q222" s="53">
        <f>Português!Q222</f>
        <v>0</v>
      </c>
      <c r="R222" s="53">
        <f>Português!R222</f>
        <v>0</v>
      </c>
      <c r="S222" s="53">
        <f>Português!S222</f>
        <v>0</v>
      </c>
      <c r="T222" s="53">
        <f>Português!T222</f>
        <v>0</v>
      </c>
      <c r="U222" s="53">
        <f>Português!U222</f>
        <v>0</v>
      </c>
      <c r="V222" s="53">
        <f>Português!V222</f>
        <v>0</v>
      </c>
      <c r="W222" s="53">
        <f>Português!W222</f>
        <v>0</v>
      </c>
      <c r="X222" s="53">
        <f>Português!X222</f>
        <v>0</v>
      </c>
      <c r="Y222" s="53">
        <f>Português!Y222</f>
        <v>0</v>
      </c>
      <c r="Z222" s="53">
        <f>Português!Z222</f>
        <v>0</v>
      </c>
      <c r="AA222" s="53">
        <f>Português!AA222</f>
        <v>0</v>
      </c>
      <c r="AB222" s="53">
        <f>Português!AB222</f>
        <v>0</v>
      </c>
      <c r="AC222" s="53">
        <f>Português!AC222</f>
        <v>0</v>
      </c>
      <c r="AD222" s="53">
        <f>Português!AD222</f>
        <v>0</v>
      </c>
      <c r="AE222" s="53">
        <f>Português!AE222</f>
        <v>0</v>
      </c>
      <c r="AF222" s="53">
        <f>Português!AF222</f>
        <v>0</v>
      </c>
      <c r="AG222" s="53">
        <f>Português!AG222</f>
        <v>0</v>
      </c>
      <c r="AH222" s="53">
        <f>Português!AH222</f>
        <v>0</v>
      </c>
      <c r="AI222" s="53">
        <f>Português!AI222</f>
        <v>0</v>
      </c>
      <c r="AJ222" s="53">
        <f>Português!AJ222</f>
        <v>0</v>
      </c>
      <c r="AK222" s="53">
        <f>Português!AK222</f>
        <v>0</v>
      </c>
      <c r="AL222" s="53">
        <f>Português!AL222</f>
        <v>0</v>
      </c>
      <c r="AM222" s="53">
        <f>Português!AM222</f>
        <v>0</v>
      </c>
      <c r="AN222" s="53">
        <f>Português!AN222</f>
        <v>0</v>
      </c>
      <c r="AO222" s="53">
        <f>Português!AO222</f>
        <v>0</v>
      </c>
      <c r="AP222" s="53">
        <f>Português!AP222</f>
        <v>0</v>
      </c>
      <c r="AQ222" s="53">
        <f>Português!AQ222</f>
        <v>0</v>
      </c>
      <c r="AR222" s="53">
        <f>Português!AR222</f>
        <v>0</v>
      </c>
      <c r="AS222" s="19"/>
      <c r="AT222" s="53">
        <f t="shared" si="133"/>
        <v>2.2489999999999988</v>
      </c>
      <c r="AU222" s="53">
        <f t="shared" si="134"/>
        <v>40.404000000000003</v>
      </c>
      <c r="AV222" s="53">
        <f t="shared" si="135"/>
        <v>0</v>
      </c>
      <c r="AW222" s="53">
        <f t="shared" si="136"/>
        <v>0</v>
      </c>
      <c r="AX222" s="53">
        <f t="shared" si="137"/>
        <v>0</v>
      </c>
      <c r="AY222" s="53">
        <f t="shared" si="138"/>
        <v>0</v>
      </c>
      <c r="AZ222" s="53">
        <f t="shared" si="139"/>
        <v>0</v>
      </c>
      <c r="BA222" s="53">
        <f t="shared" si="121"/>
        <v>0</v>
      </c>
      <c r="BB222" s="53">
        <f t="shared" si="122"/>
        <v>0</v>
      </c>
      <c r="BC222" s="37"/>
    </row>
    <row r="223" spans="1:55" outlineLevel="1">
      <c r="B223" s="87" t="s">
        <v>490</v>
      </c>
      <c r="C223" s="115" t="s">
        <v>390</v>
      </c>
      <c r="D223" s="5"/>
      <c r="E223" s="5"/>
      <c r="F223" s="5"/>
      <c r="G223" s="5"/>
      <c r="H223" s="53">
        <f>Português!H223</f>
        <v>8.9719999999999995</v>
      </c>
      <c r="I223" s="53">
        <f>Português!I223</f>
        <v>-11.823</v>
      </c>
      <c r="J223" s="53">
        <f>Português!J223</f>
        <v>-3.4800000000000004</v>
      </c>
      <c r="K223" s="53">
        <f>Português!K223</f>
        <v>-27.824999999999999</v>
      </c>
      <c r="L223" s="53">
        <f>Português!L223</f>
        <v>-10.194000000000001</v>
      </c>
      <c r="M223" s="53">
        <f>Português!M223</f>
        <v>-13.2</v>
      </c>
      <c r="N223" s="53">
        <f>Português!N223</f>
        <v>-18.28</v>
      </c>
      <c r="O223" s="53">
        <f>Português!O223</f>
        <v>-18.158000000000001</v>
      </c>
      <c r="P223" s="53">
        <f>Português!P223</f>
        <v>-7.6239999999999997</v>
      </c>
      <c r="Q223" s="53">
        <f>Português!Q223</f>
        <v>-23.781000000000002</v>
      </c>
      <c r="R223" s="53">
        <f>Português!R223</f>
        <v>-33.188000000000002</v>
      </c>
      <c r="S223" s="53">
        <f>Português!S223</f>
        <v>-38.113</v>
      </c>
      <c r="T223" s="53">
        <f>Português!T223</f>
        <v>-18.945</v>
      </c>
      <c r="U223" s="53">
        <f>Português!U223</f>
        <v>-27.600999999999999</v>
      </c>
      <c r="V223" s="53">
        <f>Português!V223</f>
        <v>-53.514000000000003</v>
      </c>
      <c r="W223" s="53">
        <f>Português!W223</f>
        <v>12.648999999999994</v>
      </c>
      <c r="X223" s="53">
        <f>Português!X223</f>
        <v>-65.111000000000004</v>
      </c>
      <c r="Y223" s="53">
        <f>Português!Y223</f>
        <v>-59.624000000000002</v>
      </c>
      <c r="Z223" s="53">
        <f>Português!Z223</f>
        <v>-33.891999999999996</v>
      </c>
      <c r="AA223" s="55">
        <f>Português!AA223</f>
        <v>-3.22199999999998</v>
      </c>
      <c r="AB223" s="53">
        <f>Português!AB223</f>
        <v>-35.412999999999997</v>
      </c>
      <c r="AC223" s="53">
        <f>Português!AC223</f>
        <v>-64.242000000000004</v>
      </c>
      <c r="AD223" s="53">
        <f>Português!AD223</f>
        <v>-61.540999999999997</v>
      </c>
      <c r="AE223" s="53">
        <f>Português!AE223</f>
        <v>-96.054999999999978</v>
      </c>
      <c r="AF223" s="53">
        <f>Português!AF223</f>
        <v>-84.790999999999997</v>
      </c>
      <c r="AG223" s="53">
        <f>Português!AG223</f>
        <v>-108.43700000000001</v>
      </c>
      <c r="AH223" s="53">
        <f>Português!AH223</f>
        <v>-125.38099999999997</v>
      </c>
      <c r="AI223" s="53">
        <f>Português!AI223</f>
        <v>-80.349000000000046</v>
      </c>
      <c r="AJ223" s="53">
        <f>Português!AJ223</f>
        <v>-158.88399999999999</v>
      </c>
      <c r="AK223" s="53">
        <f>Português!AK223</f>
        <v>-195.10600000000002</v>
      </c>
      <c r="AL223" s="53">
        <f>Português!AL223</f>
        <v>-226.874</v>
      </c>
      <c r="AM223" s="53">
        <f>Português!AM223</f>
        <v>3.9740000000000464</v>
      </c>
      <c r="AN223" s="53">
        <f>Português!AN223</f>
        <v>-133.226</v>
      </c>
      <c r="AO223" s="53">
        <f>Português!AO223</f>
        <v>-183.37900000000002</v>
      </c>
      <c r="AP223" s="53">
        <f>Português!AP223</f>
        <v>-167.79199999999997</v>
      </c>
      <c r="AQ223" s="53">
        <f>Português!AQ223</f>
        <v>-64.021000000000015</v>
      </c>
      <c r="AR223" s="53">
        <f>Português!AR223</f>
        <v>-102.812</v>
      </c>
      <c r="AS223" s="19"/>
      <c r="AT223" s="53">
        <f t="shared" si="133"/>
        <v>-34.155999999999999</v>
      </c>
      <c r="AU223" s="53">
        <f t="shared" si="134"/>
        <v>-59.832000000000001</v>
      </c>
      <c r="AV223" s="53">
        <f t="shared" si="135"/>
        <v>-102.706</v>
      </c>
      <c r="AW223" s="53">
        <f t="shared" si="136"/>
        <v>-87.411000000000001</v>
      </c>
      <c r="AX223" s="55">
        <f t="shared" si="137"/>
        <v>-161.84899999999999</v>
      </c>
      <c r="AY223" s="53">
        <f t="shared" si="138"/>
        <v>-257.25099999999998</v>
      </c>
      <c r="AZ223" s="53">
        <v>-377.8</v>
      </c>
      <c r="BA223" s="53">
        <f t="shared" si="121"/>
        <v>-576.89</v>
      </c>
      <c r="BB223" s="53">
        <f t="shared" si="122"/>
        <v>-548.41800000000001</v>
      </c>
      <c r="BC223" s="37"/>
    </row>
    <row r="224" spans="1:55" outlineLevel="1">
      <c r="B224" s="87" t="s">
        <v>484</v>
      </c>
      <c r="C224" s="115" t="s">
        <v>390</v>
      </c>
      <c r="D224" s="5"/>
      <c r="E224" s="5"/>
      <c r="F224" s="5"/>
      <c r="G224" s="5"/>
      <c r="H224" s="53">
        <f>Português!H224</f>
        <v>-0.38100000000000001</v>
      </c>
      <c r="I224" s="53">
        <f>Português!I224</f>
        <v>0.189</v>
      </c>
      <c r="J224" s="53">
        <f>Português!J224</f>
        <v>-3.4409999999999998</v>
      </c>
      <c r="K224" s="53">
        <f>Português!K224</f>
        <v>-3.5149999999999997</v>
      </c>
      <c r="L224" s="53">
        <f>Português!L224</f>
        <v>-5.798</v>
      </c>
      <c r="M224" s="53">
        <f>Português!M224</f>
        <v>-13.8</v>
      </c>
      <c r="N224" s="53">
        <f>Português!N224</f>
        <v>1.4450000000000003</v>
      </c>
      <c r="O224" s="53">
        <f>Português!O224</f>
        <v>-22.837000000000003</v>
      </c>
      <c r="P224" s="53">
        <f>Português!P224</f>
        <v>-22.329000000000001</v>
      </c>
      <c r="Q224" s="53">
        <f>Português!Q224</f>
        <v>-38.725000000000001</v>
      </c>
      <c r="R224" s="53">
        <f>Português!R224</f>
        <v>52.376000000000005</v>
      </c>
      <c r="S224" s="53">
        <f>Português!S224</f>
        <v>-11.648000000000003</v>
      </c>
      <c r="T224" s="53">
        <f>Português!T224</f>
        <v>-13.814</v>
      </c>
      <c r="U224" s="53">
        <f>Português!U224</f>
        <v>-29.908000000000001</v>
      </c>
      <c r="V224" s="53">
        <f>Português!V224</f>
        <v>34.968000000000004</v>
      </c>
      <c r="W224" s="53">
        <f>Português!W224</f>
        <v>46.807000000000002</v>
      </c>
      <c r="X224" s="53">
        <f>Português!X224</f>
        <v>-16.207000000000001</v>
      </c>
      <c r="Y224" s="53">
        <f>Português!Y224</f>
        <v>-36.552999999999997</v>
      </c>
      <c r="Z224" s="53">
        <f>Português!Z224</f>
        <v>34.098999999999997</v>
      </c>
      <c r="AA224" s="55">
        <f>Português!AA224</f>
        <v>10.319000000000001</v>
      </c>
      <c r="AB224" s="53">
        <f>Português!AB224</f>
        <v>103.312</v>
      </c>
      <c r="AC224" s="53">
        <f>Português!AC224</f>
        <v>53.165999999999997</v>
      </c>
      <c r="AD224" s="53">
        <f>Português!AD224</f>
        <v>2.548</v>
      </c>
      <c r="AE224" s="53">
        <f>Português!AE224</f>
        <v>26.33499999999998</v>
      </c>
      <c r="AF224" s="53">
        <f>Português!AF224</f>
        <v>26.81</v>
      </c>
      <c r="AG224" s="53">
        <f>Português!AG224</f>
        <v>13.391000000000002</v>
      </c>
      <c r="AH224" s="53">
        <f>Português!AH224</f>
        <v>7.2620000000000005</v>
      </c>
      <c r="AI224" s="53">
        <f>Português!AI224</f>
        <v>39.203999999999994</v>
      </c>
      <c r="AJ224" s="53">
        <f>Português!AJ224</f>
        <v>72.33</v>
      </c>
      <c r="AK224" s="53">
        <f>Português!AK224</f>
        <v>-66.367999999999995</v>
      </c>
      <c r="AL224" s="53">
        <f>Português!AL224</f>
        <v>49.907999999999994</v>
      </c>
      <c r="AM224" s="53">
        <f>Português!AM224</f>
        <v>-25.002999999999993</v>
      </c>
      <c r="AN224" s="53">
        <f>Português!AN224</f>
        <v>12.332000000000001</v>
      </c>
      <c r="AO224" s="53">
        <f>Português!AO224</f>
        <v>33.345999999999997</v>
      </c>
      <c r="AP224" s="53">
        <f>Português!AP224</f>
        <v>-138.749</v>
      </c>
      <c r="AQ224" s="53">
        <f>Português!AQ224</f>
        <v>-91.828000000000003</v>
      </c>
      <c r="AR224" s="53">
        <f>Português!AR224</f>
        <v>-136.761</v>
      </c>
      <c r="AS224" s="19"/>
      <c r="AT224" s="53">
        <f t="shared" si="133"/>
        <v>-7.1479999999999997</v>
      </c>
      <c r="AU224" s="53">
        <f t="shared" si="134"/>
        <v>-40.99</v>
      </c>
      <c r="AV224" s="53">
        <f t="shared" si="135"/>
        <v>-20.326000000000001</v>
      </c>
      <c r="AW224" s="53">
        <f t="shared" si="136"/>
        <v>38.053000000000004</v>
      </c>
      <c r="AX224" s="55">
        <f t="shared" si="137"/>
        <v>-8.3420000000000005</v>
      </c>
      <c r="AY224" s="53">
        <f t="shared" si="138"/>
        <v>185.36099999999999</v>
      </c>
      <c r="AZ224" s="53">
        <v>146.173</v>
      </c>
      <c r="BA224" s="53">
        <f t="shared" si="121"/>
        <v>30.867000000000004</v>
      </c>
      <c r="BB224" s="53">
        <f t="shared" si="122"/>
        <v>-184.899</v>
      </c>
      <c r="BC224" s="37"/>
    </row>
    <row r="225" spans="1:55" outlineLevel="1">
      <c r="B225" s="87" t="s">
        <v>567</v>
      </c>
      <c r="C225" s="115" t="s">
        <v>390</v>
      </c>
      <c r="D225" s="5"/>
      <c r="E225" s="5"/>
      <c r="F225" s="5"/>
      <c r="G225" s="5"/>
      <c r="H225" s="53">
        <f>Português!H225</f>
        <v>-4.3479999999999999</v>
      </c>
      <c r="I225" s="53">
        <f>Português!I225</f>
        <v>-6.7450000000000001</v>
      </c>
      <c r="J225" s="53">
        <f>Português!J225</f>
        <v>2.2850000000000001</v>
      </c>
      <c r="K225" s="53">
        <f>Português!K225</f>
        <v>3.8949999999999996</v>
      </c>
      <c r="L225" s="53">
        <f>Português!L225</f>
        <v>-2.536</v>
      </c>
      <c r="M225" s="53">
        <f>Português!M225</f>
        <v>-1</v>
      </c>
      <c r="N225" s="53">
        <f>Português!N225</f>
        <v>2.1</v>
      </c>
      <c r="O225" s="53">
        <f>Português!O225</f>
        <v>1.4359999999999999</v>
      </c>
      <c r="P225" s="53">
        <f>Português!P225</f>
        <v>0</v>
      </c>
      <c r="Q225" s="53">
        <f>Português!Q225</f>
        <v>0</v>
      </c>
      <c r="R225" s="53">
        <f>Português!R225</f>
        <v>0</v>
      </c>
      <c r="S225" s="53">
        <f>Português!S225</f>
        <v>0</v>
      </c>
      <c r="T225" s="53">
        <f>Português!T225</f>
        <v>0</v>
      </c>
      <c r="U225" s="53">
        <f>Português!U225</f>
        <v>0</v>
      </c>
      <c r="V225" s="53">
        <f>Português!V225</f>
        <v>0</v>
      </c>
      <c r="W225" s="53">
        <f>Português!W225</f>
        <v>0</v>
      </c>
      <c r="X225" s="53">
        <f>Português!X225</f>
        <v>0</v>
      </c>
      <c r="Y225" s="53">
        <f>Português!Y225</f>
        <v>0</v>
      </c>
      <c r="Z225" s="53">
        <f>Português!Z225</f>
        <v>0</v>
      </c>
      <c r="AA225" s="55">
        <f>Português!AA225</f>
        <v>0</v>
      </c>
      <c r="AB225" s="53">
        <f>Português!AB225</f>
        <v>0</v>
      </c>
      <c r="AC225" s="53">
        <f>Português!AC225</f>
        <v>0</v>
      </c>
      <c r="AD225" s="53">
        <f>Português!AD225</f>
        <v>0</v>
      </c>
      <c r="AE225" s="53">
        <f>Português!AE225</f>
        <v>0</v>
      </c>
      <c r="AF225" s="53">
        <f>Português!AF225</f>
        <v>0</v>
      </c>
      <c r="AG225" s="53">
        <f>Português!AG225</f>
        <v>0</v>
      </c>
      <c r="AH225" s="53">
        <f>Português!AH225</f>
        <v>0</v>
      </c>
      <c r="AI225" s="53">
        <f>Português!AI225</f>
        <v>0</v>
      </c>
      <c r="AJ225" s="53">
        <f>Português!AJ225</f>
        <v>0</v>
      </c>
      <c r="AK225" s="53">
        <f>Português!AK225</f>
        <v>0</v>
      </c>
      <c r="AL225" s="53">
        <f>Português!AL225</f>
        <v>0</v>
      </c>
      <c r="AM225" s="53">
        <f>Português!AM225</f>
        <v>0</v>
      </c>
      <c r="AN225" s="53">
        <f>Português!AN225</f>
        <v>0</v>
      </c>
      <c r="AO225" s="53">
        <f>Português!AO225</f>
        <v>0</v>
      </c>
      <c r="AP225" s="53">
        <f>Português!AP225</f>
        <v>0</v>
      </c>
      <c r="AQ225" s="53">
        <f>Português!AQ225</f>
        <v>0</v>
      </c>
      <c r="AR225" s="53">
        <f>Português!AR225</f>
        <v>0</v>
      </c>
      <c r="AS225" s="19"/>
      <c r="AT225" s="53">
        <f t="shared" si="133"/>
        <v>-4.9130000000000003</v>
      </c>
      <c r="AU225" s="53">
        <f t="shared" si="134"/>
        <v>0</v>
      </c>
      <c r="AV225" s="53">
        <f t="shared" si="135"/>
        <v>0</v>
      </c>
      <c r="AW225" s="53">
        <f t="shared" si="136"/>
        <v>0</v>
      </c>
      <c r="AX225" s="55">
        <f t="shared" si="137"/>
        <v>0</v>
      </c>
      <c r="AY225" s="53">
        <f t="shared" si="138"/>
        <v>0</v>
      </c>
      <c r="AZ225" s="53">
        <f t="shared" si="139"/>
        <v>0</v>
      </c>
      <c r="BA225" s="53">
        <f t="shared" si="121"/>
        <v>0</v>
      </c>
      <c r="BB225" s="53">
        <f t="shared" si="122"/>
        <v>0</v>
      </c>
      <c r="BC225" s="37"/>
    </row>
    <row r="226" spans="1:55" outlineLevel="1">
      <c r="A226" s="1"/>
      <c r="B226" s="87" t="s">
        <v>568</v>
      </c>
      <c r="C226" s="115" t="s">
        <v>390</v>
      </c>
      <c r="D226" s="5"/>
      <c r="E226" s="5"/>
      <c r="F226" s="5"/>
      <c r="G226" s="5"/>
      <c r="H226" s="53">
        <f>Português!H226</f>
        <v>-16.058</v>
      </c>
      <c r="I226" s="53">
        <f>Português!I226</f>
        <v>-13.027999999999999</v>
      </c>
      <c r="J226" s="53">
        <f>Português!J226</f>
        <v>4.7299999999999969</v>
      </c>
      <c r="K226" s="53">
        <f>Português!K226</f>
        <v>-4.5649999999999977</v>
      </c>
      <c r="L226" s="53">
        <f>Português!L226</f>
        <v>-18.725999999999999</v>
      </c>
      <c r="M226" s="53">
        <f>Português!M226</f>
        <v>4</v>
      </c>
      <c r="N226" s="53">
        <f>Português!N226</f>
        <v>-2.833000000000002</v>
      </c>
      <c r="O226" s="53">
        <f>Português!O226</f>
        <v>-13.977</v>
      </c>
      <c r="P226" s="53">
        <f>Português!P226</f>
        <v>1.3859999999999999</v>
      </c>
      <c r="Q226" s="53">
        <f>Português!Q226</f>
        <v>-1.149</v>
      </c>
      <c r="R226" s="53">
        <f>Português!R226</f>
        <v>-6.2759999999999998</v>
      </c>
      <c r="S226" s="53">
        <f>Português!S226</f>
        <v>-8.4480000000000004</v>
      </c>
      <c r="T226" s="53">
        <f>Português!T226</f>
        <v>-15.204000000000001</v>
      </c>
      <c r="U226" s="53">
        <f>Português!U226</f>
        <v>6.6000000000000003E-2</v>
      </c>
      <c r="V226" s="53">
        <f>Português!V226</f>
        <v>-8.3079999999999998</v>
      </c>
      <c r="W226" s="53">
        <f>Português!W226</f>
        <v>-9.0689999999999991</v>
      </c>
      <c r="X226" s="53">
        <f>Português!X226</f>
        <v>-26.201000000000001</v>
      </c>
      <c r="Y226" s="53">
        <f>Português!Y226</f>
        <v>-21.695</v>
      </c>
      <c r="Z226" s="53">
        <f>Português!Z226</f>
        <v>-15.214999999999996</v>
      </c>
      <c r="AA226" s="53">
        <f>Português!AA226</f>
        <v>-196.89100000000002</v>
      </c>
      <c r="AB226" s="53">
        <f>Português!AB226</f>
        <v>-141.804</v>
      </c>
      <c r="AC226" s="53">
        <f>Português!AC226</f>
        <v>-198.56800000000001</v>
      </c>
      <c r="AD226" s="53">
        <f>Português!AD226</f>
        <v>-23.045000000000002</v>
      </c>
      <c r="AE226" s="53">
        <f>Português!AE226</f>
        <v>-382.83399999999995</v>
      </c>
      <c r="AF226" s="53">
        <f>Português!AF226</f>
        <v>-179.02099999999999</v>
      </c>
      <c r="AG226" s="53">
        <f>Português!AG226</f>
        <v>-182.239</v>
      </c>
      <c r="AH226" s="53">
        <f>Português!AH226</f>
        <v>-146.435</v>
      </c>
      <c r="AI226" s="53">
        <f>Português!AI226</f>
        <v>-135.93</v>
      </c>
      <c r="AJ226" s="53">
        <f>Português!AJ226</f>
        <v>-123.06699999999999</v>
      </c>
      <c r="AK226" s="53">
        <f>Português!AK226</f>
        <v>-167.36</v>
      </c>
      <c r="AL226" s="53">
        <f>Português!AL226</f>
        <v>-185.608</v>
      </c>
      <c r="AM226" s="53">
        <f>Português!AM226</f>
        <v>-137.63100000000003</v>
      </c>
      <c r="AN226" s="53">
        <f>Português!AN226</f>
        <v>-138.07300000000001</v>
      </c>
      <c r="AO226" s="53">
        <f>Português!AO226</f>
        <v>-143.26500000000001</v>
      </c>
      <c r="AP226" s="53">
        <f>Português!AP226</f>
        <v>-149.024</v>
      </c>
      <c r="AQ226" s="53">
        <f>Português!AQ226</f>
        <v>-137.67000000000002</v>
      </c>
      <c r="AR226" s="53">
        <f>Português!AR226</f>
        <v>-144.94999999999999</v>
      </c>
      <c r="AS226" s="19"/>
      <c r="AT226" s="53">
        <f t="shared" si="133"/>
        <v>-28.920999999999999</v>
      </c>
      <c r="AU226" s="53">
        <f t="shared" si="134"/>
        <v>-31.536000000000001</v>
      </c>
      <c r="AV226" s="53">
        <f t="shared" si="135"/>
        <v>-14.487</v>
      </c>
      <c r="AW226" s="53">
        <f t="shared" si="136"/>
        <v>-32.515000000000001</v>
      </c>
      <c r="AX226" s="55">
        <f t="shared" si="137"/>
        <v>-260.00200000000001</v>
      </c>
      <c r="AY226" s="53">
        <f t="shared" si="138"/>
        <v>-746.25099999999998</v>
      </c>
      <c r="AZ226" s="53">
        <f t="shared" si="139"/>
        <v>-643.625</v>
      </c>
      <c r="BA226" s="53">
        <f t="shared" si="121"/>
        <v>-613.66600000000005</v>
      </c>
      <c r="BB226" s="53">
        <f t="shared" si="122"/>
        <v>-568.03200000000004</v>
      </c>
      <c r="BC226" s="37"/>
    </row>
    <row r="227" spans="1:55" ht="13.5" outlineLevel="1">
      <c r="B227" s="11" t="s">
        <v>569</v>
      </c>
      <c r="C227" s="114" t="s">
        <v>390</v>
      </c>
      <c r="D227" s="11"/>
      <c r="E227" s="11"/>
      <c r="F227" s="11"/>
      <c r="G227" s="11"/>
      <c r="H227" s="57">
        <f t="shared" ref="H227:AB227" si="140">SUM(H228:H235)</f>
        <v>11.275000000000006</v>
      </c>
      <c r="I227" s="57">
        <f t="shared" si="140"/>
        <v>-46.897999999999996</v>
      </c>
      <c r="J227" s="57">
        <f t="shared" si="140"/>
        <v>-41.878</v>
      </c>
      <c r="K227" s="57">
        <f t="shared" si="140"/>
        <v>-54.433999999999997</v>
      </c>
      <c r="L227" s="57">
        <f t="shared" si="140"/>
        <v>-159.053</v>
      </c>
      <c r="M227" s="57">
        <f t="shared" si="140"/>
        <v>-49.900000000000006</v>
      </c>
      <c r="N227" s="57">
        <f t="shared" si="140"/>
        <v>-32.83299999999997</v>
      </c>
      <c r="O227" s="57">
        <f t="shared" si="140"/>
        <v>-130.142</v>
      </c>
      <c r="P227" s="57">
        <f t="shared" si="140"/>
        <v>-48.725999999999999</v>
      </c>
      <c r="Q227" s="57">
        <f t="shared" si="140"/>
        <v>-114.306</v>
      </c>
      <c r="R227" s="57">
        <f t="shared" si="140"/>
        <v>-46.179000000000016</v>
      </c>
      <c r="S227" s="57">
        <f t="shared" si="140"/>
        <v>-135.39099999999996</v>
      </c>
      <c r="T227" s="57">
        <f t="shared" si="140"/>
        <v>19.449000000000012</v>
      </c>
      <c r="U227" s="57">
        <f t="shared" si="140"/>
        <v>22.294000000000011</v>
      </c>
      <c r="V227" s="57">
        <f t="shared" si="140"/>
        <v>-254.17600000000002</v>
      </c>
      <c r="W227" s="57">
        <f t="shared" si="140"/>
        <v>-228.833</v>
      </c>
      <c r="X227" s="57">
        <f>SUM(X228:X235)</f>
        <v>-0.65899999999999004</v>
      </c>
      <c r="Y227" s="57">
        <f t="shared" si="140"/>
        <v>-422.03700000000003</v>
      </c>
      <c r="Z227" s="57">
        <f t="shared" si="140"/>
        <v>-286.58099999999996</v>
      </c>
      <c r="AA227" s="57">
        <f t="shared" si="140"/>
        <v>-215.85900000000001</v>
      </c>
      <c r="AB227" s="57">
        <f t="shared" si="140"/>
        <v>-670.3610000000001</v>
      </c>
      <c r="AC227" s="57">
        <f t="shared" ref="AC227:AP227" si="141">SUM(AC228:AC235)</f>
        <v>492.90599999999995</v>
      </c>
      <c r="AD227" s="57">
        <f t="shared" si="141"/>
        <v>-6.8620000000000019</v>
      </c>
      <c r="AE227" s="57">
        <f t="shared" si="141"/>
        <v>9.3430000000000035</v>
      </c>
      <c r="AF227" s="57">
        <f t="shared" si="141"/>
        <v>-61.596999999999994</v>
      </c>
      <c r="AG227" s="57">
        <f t="shared" si="141"/>
        <v>-81.577999999999946</v>
      </c>
      <c r="AH227" s="57">
        <f t="shared" si="141"/>
        <v>164.42699999999996</v>
      </c>
      <c r="AI227" s="57">
        <f t="shared" si="141"/>
        <v>-161.39200000000005</v>
      </c>
      <c r="AJ227" s="57">
        <f t="shared" si="141"/>
        <v>34.256999999999977</v>
      </c>
      <c r="AK227" s="57">
        <f t="shared" si="141"/>
        <v>-94.804999999999993</v>
      </c>
      <c r="AL227" s="57">
        <f t="shared" si="141"/>
        <v>-147.77999999999997</v>
      </c>
      <c r="AM227" s="57">
        <f t="shared" si="141"/>
        <v>-1222.078</v>
      </c>
      <c r="AN227" s="57">
        <f t="shared" si="141"/>
        <v>-1.7440000000000211</v>
      </c>
      <c r="AO227" s="57">
        <f t="shared" si="141"/>
        <v>-362.50399999999991</v>
      </c>
      <c r="AP227" s="57">
        <f t="shared" si="141"/>
        <v>-526.13499999999999</v>
      </c>
      <c r="AQ227" s="57">
        <f>SUM(AQ228:AQ235)</f>
        <v>-729.59400000000005</v>
      </c>
      <c r="AR227" s="57">
        <f>SUM(AR228:AR235)</f>
        <v>-272.85000000000002</v>
      </c>
      <c r="AS227" s="19"/>
      <c r="AT227" s="57">
        <f t="shared" ref="AT227:BA227" si="142">SUM(AT228:AT235)</f>
        <v>-131.935</v>
      </c>
      <c r="AU227" s="57">
        <f t="shared" si="142"/>
        <v>-371.928</v>
      </c>
      <c r="AV227" s="57">
        <f t="shared" si="142"/>
        <v>-344.60199999999998</v>
      </c>
      <c r="AW227" s="57">
        <f t="shared" si="142"/>
        <v>-441.26599999999996</v>
      </c>
      <c r="AX227" s="57">
        <f t="shared" si="142"/>
        <v>-925.13599999999997</v>
      </c>
      <c r="AY227" s="57">
        <f t="shared" si="142"/>
        <v>-174.97400000000002</v>
      </c>
      <c r="AZ227" s="57">
        <f t="shared" si="142"/>
        <v>-140.13999999999999</v>
      </c>
      <c r="BA227" s="57">
        <f t="shared" si="142"/>
        <v>-1430.4059999999999</v>
      </c>
      <c r="BB227" s="57">
        <f t="shared" si="122"/>
        <v>-1619.9769999999999</v>
      </c>
      <c r="BC227" s="37"/>
    </row>
    <row r="228" spans="1:55" outlineLevel="1">
      <c r="B228" s="87" t="s">
        <v>500</v>
      </c>
      <c r="C228" s="115" t="s">
        <v>390</v>
      </c>
      <c r="D228" s="5"/>
      <c r="E228" s="5"/>
      <c r="F228" s="5"/>
      <c r="G228" s="5"/>
      <c r="H228" s="53">
        <f>Português!H228</f>
        <v>46.195</v>
      </c>
      <c r="I228" s="53">
        <f>Português!I228</f>
        <v>16.841999999999999</v>
      </c>
      <c r="J228" s="53">
        <f>Português!J228</f>
        <v>-22.196000000000002</v>
      </c>
      <c r="K228" s="53">
        <f>Português!K228</f>
        <v>-20.616999999999994</v>
      </c>
      <c r="L228" s="53">
        <f>Português!L228</f>
        <v>-48.026000000000003</v>
      </c>
      <c r="M228" s="53">
        <f>Português!M228</f>
        <v>44.5</v>
      </c>
      <c r="N228" s="53">
        <f>Português!N228</f>
        <v>28.446000000000005</v>
      </c>
      <c r="O228" s="53">
        <f>Português!O228</f>
        <v>-25.799000000000003</v>
      </c>
      <c r="P228" s="53">
        <f>Português!P228</f>
        <v>-2.4039999999999999</v>
      </c>
      <c r="Q228" s="53">
        <f>Português!Q228</f>
        <v>-2.1260000000000003</v>
      </c>
      <c r="R228" s="53">
        <f>Português!R228</f>
        <v>75.686999999999998</v>
      </c>
      <c r="S228" s="53">
        <f>Português!S228</f>
        <v>150.47800000000001</v>
      </c>
      <c r="T228" s="53">
        <f>Português!T228</f>
        <v>100.40600000000001</v>
      </c>
      <c r="U228" s="53">
        <f>Português!U228</f>
        <v>11.012</v>
      </c>
      <c r="V228" s="53">
        <f>Português!V228</f>
        <v>19.757000000000005</v>
      </c>
      <c r="W228" s="53">
        <f>Português!W228</f>
        <v>77.378999999999991</v>
      </c>
      <c r="X228" s="53">
        <f>Português!X228</f>
        <v>93.727000000000004</v>
      </c>
      <c r="Y228" s="53">
        <f>Português!Y228</f>
        <v>10.932000000000002</v>
      </c>
      <c r="Z228" s="53">
        <f>Português!Z228</f>
        <v>-61.104000000000006</v>
      </c>
      <c r="AA228" s="53">
        <f>Português!AA228</f>
        <v>-18.195999999999998</v>
      </c>
      <c r="AB228" s="53">
        <f>Português!AB228</f>
        <v>-386.23200000000003</v>
      </c>
      <c r="AC228" s="53">
        <f>Português!AC228</f>
        <v>505.08600000000001</v>
      </c>
      <c r="AD228" s="53">
        <f>Português!AD228</f>
        <v>2.1659999999999968</v>
      </c>
      <c r="AE228" s="53">
        <f>Português!AE228</f>
        <v>29.234000000000009</v>
      </c>
      <c r="AF228" s="53">
        <f>Português!AF228</f>
        <v>49.808999999999997</v>
      </c>
      <c r="AG228" s="53">
        <f>Português!AG228</f>
        <v>131.31800000000001</v>
      </c>
      <c r="AH228" s="53">
        <f>Português!AH228</f>
        <v>53.569999999999993</v>
      </c>
      <c r="AI228" s="53">
        <f>Português!AI228</f>
        <v>154.44300000000001</v>
      </c>
      <c r="AJ228" s="53">
        <f>Português!AJ228</f>
        <v>182.25399999999999</v>
      </c>
      <c r="AK228" s="53">
        <f>Português!AK228</f>
        <v>55.168999999999997</v>
      </c>
      <c r="AL228" s="53">
        <f>Português!AL228</f>
        <v>154.77600000000001</v>
      </c>
      <c r="AM228" s="53">
        <f>Português!AM228</f>
        <v>-889.24800000000005</v>
      </c>
      <c r="AN228" s="53">
        <f>Português!AN228</f>
        <v>286.60199999999998</v>
      </c>
      <c r="AO228" s="53">
        <f>Português!AO228</f>
        <v>-18.102</v>
      </c>
      <c r="AP228" s="53">
        <f>Português!AP228</f>
        <v>-85.341000000000008</v>
      </c>
      <c r="AQ228" s="53">
        <f>Português!AQ228</f>
        <v>-227.988</v>
      </c>
      <c r="AR228" s="53">
        <f>Português!AR228</f>
        <v>-108.828</v>
      </c>
      <c r="AS228" s="19"/>
      <c r="AT228" s="53">
        <f t="shared" ref="AT228:AT237" si="143">SUM(H228:K228)</f>
        <v>20.224</v>
      </c>
      <c r="AU228" s="53">
        <f t="shared" ref="AU228:AU237" si="144">SUM(L228:O228)</f>
        <v>-0.87900000000000134</v>
      </c>
      <c r="AV228" s="53">
        <f t="shared" ref="AV228:AV237" si="145">SUM(P228:S228)</f>
        <v>221.63499999999999</v>
      </c>
      <c r="AW228" s="53">
        <f t="shared" ref="AW228:AW237" si="146">SUM(T228:W228)</f>
        <v>208.554</v>
      </c>
      <c r="AX228" s="53">
        <f t="shared" ref="AX228:AX237" si="147">SUM(X228:AA228)</f>
        <v>25.359000000000002</v>
      </c>
      <c r="AY228" s="53">
        <f t="shared" ref="AY228:AY237" si="148">SUM(AB228:AE228)</f>
        <v>150.25399999999999</v>
      </c>
      <c r="AZ228" s="53">
        <f t="shared" ref="AZ228:AZ235" si="149">SUM(AF228:AI228)</f>
        <v>389.14</v>
      </c>
      <c r="BA228" s="53">
        <f>SUM(AJ228:AM228)</f>
        <v>-497.04900000000004</v>
      </c>
      <c r="BB228" s="53">
        <f t="shared" si="122"/>
        <v>-44.829000000000008</v>
      </c>
      <c r="BC228" s="37"/>
    </row>
    <row r="229" spans="1:55" outlineLevel="1">
      <c r="B229" s="87" t="s">
        <v>570</v>
      </c>
      <c r="C229" s="115" t="s">
        <v>390</v>
      </c>
      <c r="D229" s="5"/>
      <c r="E229" s="5"/>
      <c r="F229" s="5"/>
      <c r="G229" s="5"/>
      <c r="H229" s="53">
        <f>Português!H229</f>
        <v>7.601</v>
      </c>
      <c r="I229" s="53">
        <f>Português!I229</f>
        <v>4.1559999999999997</v>
      </c>
      <c r="J229" s="53">
        <f>Português!J229</f>
        <v>-4.3679999999999994</v>
      </c>
      <c r="K229" s="53">
        <f>Português!K229</f>
        <v>0.87300000000000022</v>
      </c>
      <c r="L229" s="53">
        <f>Português!L229</f>
        <v>-0.43099999999999999</v>
      </c>
      <c r="M229" s="53">
        <f>Português!M229</f>
        <v>7.6</v>
      </c>
      <c r="N229" s="53">
        <f>Português!N229</f>
        <v>-2.0209999999999999</v>
      </c>
      <c r="O229" s="53">
        <f>Português!O229</f>
        <v>4.8770000000000007</v>
      </c>
      <c r="P229" s="53">
        <f>Português!P229</f>
        <v>-2.516</v>
      </c>
      <c r="Q229" s="53">
        <f>Português!Q229</f>
        <v>3.6029999999999998</v>
      </c>
      <c r="R229" s="53">
        <f>Português!R229</f>
        <v>-41.271000000000001</v>
      </c>
      <c r="S229" s="53">
        <f>Português!S229</f>
        <v>-22.929000000000002</v>
      </c>
      <c r="T229" s="53">
        <f>Português!T229</f>
        <v>-3.0790000000000002</v>
      </c>
      <c r="U229" s="53">
        <f>Português!U229</f>
        <v>1.4830000000000001</v>
      </c>
      <c r="V229" s="53">
        <f>Português!V229</f>
        <v>-3.6739999999999999</v>
      </c>
      <c r="W229" s="53">
        <f>Português!W229</f>
        <v>0.64100000000000046</v>
      </c>
      <c r="X229" s="53">
        <f>Português!X229</f>
        <v>5.9470000000000001</v>
      </c>
      <c r="Y229" s="53">
        <f>Português!Y229</f>
        <v>1.9900000000000002</v>
      </c>
      <c r="Z229" s="53">
        <f>Português!Z229</f>
        <v>2.617</v>
      </c>
      <c r="AA229" s="53">
        <f>Português!AA229</f>
        <v>-10.742000000000001</v>
      </c>
      <c r="AB229" s="53">
        <f>Português!AB229</f>
        <v>3.0779999999999998</v>
      </c>
      <c r="AC229" s="53">
        <f>Português!AC229</f>
        <v>-1.22</v>
      </c>
      <c r="AD229" s="53">
        <f>Português!AD229</f>
        <v>1.159</v>
      </c>
      <c r="AE229" s="53">
        <f>Português!AE229</f>
        <v>-1.607</v>
      </c>
      <c r="AF229" s="53">
        <f>Português!AF229</f>
        <v>0.84299999999999997</v>
      </c>
      <c r="AG229" s="53">
        <f>Português!AG229</f>
        <v>25.442</v>
      </c>
      <c r="AH229" s="53">
        <f>Português!AH229</f>
        <v>50.915999999999997</v>
      </c>
      <c r="AI229" s="53">
        <f>Português!AI229</f>
        <v>-34.106999999999992</v>
      </c>
      <c r="AJ229" s="53">
        <f>Português!AJ229</f>
        <v>1.661</v>
      </c>
      <c r="AK229" s="53">
        <f>Português!AK229</f>
        <v>9.2319999999999993</v>
      </c>
      <c r="AL229" s="53">
        <f>Português!AL229</f>
        <v>-1.4579999999999984</v>
      </c>
      <c r="AM229" s="53">
        <f>Português!AM229</f>
        <v>32.096999999999994</v>
      </c>
      <c r="AN229" s="53">
        <f>Português!AN229</f>
        <v>-43.488</v>
      </c>
      <c r="AO229" s="53">
        <f>Português!AO229</f>
        <v>-2.0140000000000029</v>
      </c>
      <c r="AP229" s="53">
        <f>Português!AP229</f>
        <v>8.480000000000004</v>
      </c>
      <c r="AQ229" s="53">
        <f>Português!AQ229</f>
        <v>-5.7060000000000031</v>
      </c>
      <c r="AR229" s="53">
        <f>Português!AR229</f>
        <v>10.346</v>
      </c>
      <c r="AS229" s="19"/>
      <c r="AT229" s="53">
        <f t="shared" si="143"/>
        <v>8.2620000000000005</v>
      </c>
      <c r="AU229" s="53">
        <f t="shared" si="144"/>
        <v>10.025</v>
      </c>
      <c r="AV229" s="53">
        <f t="shared" si="145"/>
        <v>-63.113</v>
      </c>
      <c r="AW229" s="53">
        <f t="shared" si="146"/>
        <v>-4.6289999999999996</v>
      </c>
      <c r="AX229" s="53">
        <f t="shared" si="147"/>
        <v>-0.18800000000000061</v>
      </c>
      <c r="AY229" s="53">
        <f t="shared" si="148"/>
        <v>1.41</v>
      </c>
      <c r="AZ229" s="53">
        <f t="shared" si="149"/>
        <v>43.094000000000001</v>
      </c>
      <c r="BA229" s="53">
        <f t="shared" ref="BA229:BA234" si="150">SUM(AJ229:AM229)</f>
        <v>41.531999999999996</v>
      </c>
      <c r="BB229" s="53">
        <f t="shared" si="122"/>
        <v>-42.728000000000002</v>
      </c>
      <c r="BC229" s="37"/>
    </row>
    <row r="230" spans="1:55" outlineLevel="1">
      <c r="B230" s="87" t="s">
        <v>571</v>
      </c>
      <c r="C230" s="115" t="s">
        <v>390</v>
      </c>
      <c r="D230" s="5"/>
      <c r="E230" s="5"/>
      <c r="F230" s="5"/>
      <c r="G230" s="5"/>
      <c r="H230" s="53">
        <f>Português!H230</f>
        <v>11.19</v>
      </c>
      <c r="I230" s="53">
        <f>Português!I230</f>
        <v>12.919000000000002</v>
      </c>
      <c r="J230" s="53">
        <f>Português!J230</f>
        <v>14.861999999999997</v>
      </c>
      <c r="K230" s="53">
        <f>Português!K230</f>
        <v>-3.465999999999994</v>
      </c>
      <c r="L230" s="53">
        <f>Português!L230</f>
        <v>-7.4589999999999996</v>
      </c>
      <c r="M230" s="53">
        <f>Português!M230</f>
        <v>14.8</v>
      </c>
      <c r="N230" s="53">
        <f>Português!N230</f>
        <v>12.596999999999998</v>
      </c>
      <c r="O230" s="53">
        <f>Português!O230</f>
        <v>-5.1359999999999992</v>
      </c>
      <c r="P230" s="53">
        <f>Português!P230</f>
        <v>-2.625</v>
      </c>
      <c r="Q230" s="53">
        <f>Português!Q230</f>
        <v>15.339</v>
      </c>
      <c r="R230" s="53">
        <f>Português!R230</f>
        <v>13.636000000000001</v>
      </c>
      <c r="S230" s="53">
        <f>Português!S230</f>
        <v>-158.566</v>
      </c>
      <c r="T230" s="53">
        <f>Português!T230</f>
        <v>15.893000000000001</v>
      </c>
      <c r="U230" s="53">
        <f>Português!U230</f>
        <v>28.929000000000002</v>
      </c>
      <c r="V230" s="53">
        <f>Português!V230</f>
        <v>17.350999999999999</v>
      </c>
      <c r="W230" s="53">
        <f>Português!W230</f>
        <v>-53.122</v>
      </c>
      <c r="X230" s="53">
        <f>Português!X230</f>
        <v>35.337000000000003</v>
      </c>
      <c r="Y230" s="53">
        <f>Português!Y230</f>
        <v>32.36399999999999</v>
      </c>
      <c r="Z230" s="53">
        <f>Português!Z230</f>
        <v>39.323000000000008</v>
      </c>
      <c r="AA230" s="53">
        <f>Português!AA230</f>
        <v>-62.375</v>
      </c>
      <c r="AB230" s="53">
        <f>Português!AB230</f>
        <v>87.43</v>
      </c>
      <c r="AC230" s="53">
        <f>Português!AC230</f>
        <v>56.615000000000002</v>
      </c>
      <c r="AD230" s="53">
        <f>Português!AD230</f>
        <v>108.67400000000001</v>
      </c>
      <c r="AE230" s="53">
        <f>Português!AE230</f>
        <v>-118.93000000000004</v>
      </c>
      <c r="AF230" s="53">
        <f>Português!AF230</f>
        <v>30.227</v>
      </c>
      <c r="AG230" s="53">
        <f>Português!AG230</f>
        <v>49.39</v>
      </c>
      <c r="AH230" s="53">
        <f>Português!AH230</f>
        <v>113.616</v>
      </c>
      <c r="AI230" s="53">
        <f>Português!AI230</f>
        <v>-186.77199999999999</v>
      </c>
      <c r="AJ230" s="53">
        <f>Português!AJ230</f>
        <v>43.734999999999999</v>
      </c>
      <c r="AK230" s="53">
        <f>Português!AK230</f>
        <v>172.005</v>
      </c>
      <c r="AL230" s="53">
        <f>Português!AL230</f>
        <v>71.942000000000007</v>
      </c>
      <c r="AM230" s="53">
        <f>Português!AM230</f>
        <v>-154.54000000000002</v>
      </c>
      <c r="AN230" s="53">
        <f>Português!AN230</f>
        <v>66.778000000000006</v>
      </c>
      <c r="AO230" s="53">
        <f>Português!AO230</f>
        <v>109.443</v>
      </c>
      <c r="AP230" s="53">
        <f>Português!AP230</f>
        <v>201.28699999999998</v>
      </c>
      <c r="AQ230" s="53">
        <f>Português!AQ230</f>
        <v>-189.66199999999998</v>
      </c>
      <c r="AR230" s="53">
        <f>Português!AR230</f>
        <v>203.601</v>
      </c>
      <c r="AS230" s="19"/>
      <c r="AT230" s="53">
        <f t="shared" si="143"/>
        <v>35.505000000000003</v>
      </c>
      <c r="AU230" s="53">
        <f t="shared" si="144"/>
        <v>14.802</v>
      </c>
      <c r="AV230" s="53">
        <f t="shared" si="145"/>
        <v>-132.21600000000001</v>
      </c>
      <c r="AW230" s="53">
        <f t="shared" si="146"/>
        <v>9.0510000000000019</v>
      </c>
      <c r="AX230" s="53">
        <f t="shared" si="147"/>
        <v>44.649000000000001</v>
      </c>
      <c r="AY230" s="53">
        <f t="shared" si="148"/>
        <v>133.78899999999999</v>
      </c>
      <c r="AZ230" s="53">
        <f t="shared" si="149"/>
        <v>6.4610000000000127</v>
      </c>
      <c r="BA230" s="53">
        <f t="shared" si="150"/>
        <v>133.142</v>
      </c>
      <c r="BB230" s="53">
        <f t="shared" si="122"/>
        <v>187.846</v>
      </c>
      <c r="BC230" s="37"/>
    </row>
    <row r="231" spans="1:55" outlineLevel="1">
      <c r="B231" s="87" t="s">
        <v>572</v>
      </c>
      <c r="C231" s="115" t="s">
        <v>390</v>
      </c>
      <c r="D231" s="5"/>
      <c r="E231" s="5"/>
      <c r="F231" s="5"/>
      <c r="G231" s="5"/>
      <c r="H231" s="53">
        <f>Português!H231</f>
        <v>-3.3319999999999999</v>
      </c>
      <c r="I231" s="53">
        <f>Português!I231</f>
        <v>7.2929999999999993</v>
      </c>
      <c r="J231" s="53">
        <f>Português!J231</f>
        <v>3.5420000000000016</v>
      </c>
      <c r="K231" s="53">
        <f>Português!K231</f>
        <v>5.2509999999999977</v>
      </c>
      <c r="L231" s="53">
        <f>Português!L231</f>
        <v>5.4870000000000001</v>
      </c>
      <c r="M231" s="53">
        <f>Português!M231</f>
        <v>-0.5</v>
      </c>
      <c r="N231" s="53">
        <f>Português!N231</f>
        <v>-5.1070000000000002</v>
      </c>
      <c r="O231" s="53">
        <f>Português!O231</f>
        <v>3.0369999999999999</v>
      </c>
      <c r="P231" s="53">
        <f>Português!P231</f>
        <v>1.1259999999999999</v>
      </c>
      <c r="Q231" s="53">
        <f>Português!Q231</f>
        <v>-17.204000000000001</v>
      </c>
      <c r="R231" s="53">
        <f>Português!R231</f>
        <v>-6.0399999999999991</v>
      </c>
      <c r="S231" s="53">
        <f>Português!S231</f>
        <v>-21.151</v>
      </c>
      <c r="T231" s="53">
        <f>Português!T231</f>
        <v>17.48</v>
      </c>
      <c r="U231" s="53">
        <f>Português!U231</f>
        <v>3.4029999999999987</v>
      </c>
      <c r="V231" s="53">
        <f>Português!V231</f>
        <v>0.45200000000000001</v>
      </c>
      <c r="W231" s="53">
        <f>Português!W231</f>
        <v>-2.8509999999999973</v>
      </c>
      <c r="X231" s="53">
        <f>Português!X231</f>
        <v>61.878999999999998</v>
      </c>
      <c r="Y231" s="53">
        <f>Português!Y231</f>
        <v>-48.616</v>
      </c>
      <c r="Z231" s="53">
        <f>Português!Z231</f>
        <v>-9.89</v>
      </c>
      <c r="AA231" s="53">
        <f>Português!AA231</f>
        <v>-47.906999999999996</v>
      </c>
      <c r="AB231" s="53">
        <f>Português!AB231</f>
        <v>-74.686000000000007</v>
      </c>
      <c r="AC231" s="53">
        <f>Português!AC231</f>
        <v>40.551000000000002</v>
      </c>
      <c r="AD231" s="53">
        <f>Português!AD231</f>
        <v>-56.639000000000003</v>
      </c>
      <c r="AE231" s="53">
        <f>Português!AE231</f>
        <v>61.713999999999999</v>
      </c>
      <c r="AF231" s="53">
        <f>Português!AF231</f>
        <v>-57.027000000000001</v>
      </c>
      <c r="AG231" s="53">
        <f>Português!AG231</f>
        <v>-19.185999999999993</v>
      </c>
      <c r="AH231" s="53">
        <f>Português!AH231</f>
        <v>17.632999999999996</v>
      </c>
      <c r="AI231" s="53">
        <f>Português!AI231</f>
        <v>-65.997</v>
      </c>
      <c r="AJ231" s="53">
        <f>Português!AJ231</f>
        <v>-11.223000000000001</v>
      </c>
      <c r="AK231" s="53">
        <f>Português!AK231</f>
        <v>-9.5080000000000009</v>
      </c>
      <c r="AL231" s="53">
        <f>Português!AL231</f>
        <v>-46.552</v>
      </c>
      <c r="AM231" s="53">
        <f>Português!AM231</f>
        <v>72.53</v>
      </c>
      <c r="AN231" s="53">
        <f>Português!AN231</f>
        <v>37.414000000000001</v>
      </c>
      <c r="AO231" s="53">
        <f>Português!AO231</f>
        <v>42.703000000000003</v>
      </c>
      <c r="AP231" s="53">
        <f>Português!AP231</f>
        <v>-55.113</v>
      </c>
      <c r="AQ231" s="53">
        <f>Português!AQ231</f>
        <v>7.7019999999999982</v>
      </c>
      <c r="AR231" s="53">
        <f>Português!AR231</f>
        <v>82.899000000000001</v>
      </c>
      <c r="AS231" s="19"/>
      <c r="AT231" s="53">
        <f t="shared" si="143"/>
        <v>12.753999999999998</v>
      </c>
      <c r="AU231" s="53">
        <f t="shared" si="144"/>
        <v>2.9169999999999998</v>
      </c>
      <c r="AV231" s="53">
        <f t="shared" si="145"/>
        <v>-43.268999999999998</v>
      </c>
      <c r="AW231" s="53">
        <f t="shared" si="146"/>
        <v>18.484000000000002</v>
      </c>
      <c r="AX231" s="53">
        <f t="shared" si="147"/>
        <v>-44.533999999999999</v>
      </c>
      <c r="AY231" s="53">
        <f t="shared" si="148"/>
        <v>-29.060000000000002</v>
      </c>
      <c r="AZ231" s="53">
        <f t="shared" si="149"/>
        <v>-124.577</v>
      </c>
      <c r="BA231" s="53">
        <f t="shared" si="150"/>
        <v>5.2469999999999999</v>
      </c>
      <c r="BB231" s="53">
        <f t="shared" si="122"/>
        <v>32.706000000000003</v>
      </c>
      <c r="BC231" s="37"/>
    </row>
    <row r="232" spans="1:55" outlineLevel="1">
      <c r="B232" s="87" t="s">
        <v>503</v>
      </c>
      <c r="C232" s="115" t="s">
        <v>390</v>
      </c>
      <c r="D232" s="5"/>
      <c r="E232" s="5"/>
      <c r="F232" s="5"/>
      <c r="G232" s="5"/>
      <c r="H232" s="53">
        <f>Português!H232</f>
        <v>-1.5429999999999999</v>
      </c>
      <c r="I232" s="53">
        <f>Português!I232</f>
        <v>-3.7619999999999996</v>
      </c>
      <c r="J232" s="53">
        <f>Português!J232</f>
        <v>18.154</v>
      </c>
      <c r="K232" s="53">
        <f>Português!K232</f>
        <v>5.1310000000000002</v>
      </c>
      <c r="L232" s="53">
        <f>Português!L232</f>
        <v>-23.795000000000002</v>
      </c>
      <c r="M232" s="53">
        <f>Português!M232</f>
        <v>2.8</v>
      </c>
      <c r="N232" s="53">
        <f>Português!N232</f>
        <v>7.511000000000001</v>
      </c>
      <c r="O232" s="53">
        <f>Português!O232</f>
        <v>-19.387999999999998</v>
      </c>
      <c r="P232" s="53">
        <f>Português!P232</f>
        <v>7.4640000000000004</v>
      </c>
      <c r="Q232" s="53">
        <f>Português!Q232</f>
        <v>-3.2170000000000005</v>
      </c>
      <c r="R232" s="53">
        <f>Português!R232</f>
        <v>7.59</v>
      </c>
      <c r="S232" s="53">
        <f>Português!S232</f>
        <v>45.58</v>
      </c>
      <c r="T232" s="53">
        <f>Português!T232</f>
        <v>-36.555999999999997</v>
      </c>
      <c r="U232" s="53">
        <f>Português!U232</f>
        <v>114.858</v>
      </c>
      <c r="V232" s="53">
        <f>Português!V232</f>
        <v>-71.042000000000002</v>
      </c>
      <c r="W232" s="53">
        <f>Português!W232</f>
        <v>-42.290999999999997</v>
      </c>
      <c r="X232" s="53">
        <f>Português!X232</f>
        <v>-37.350999999999999</v>
      </c>
      <c r="Y232" s="53">
        <f>Português!Y232</f>
        <v>-3.4359999999999999</v>
      </c>
      <c r="Z232" s="53">
        <f>Português!Z232</f>
        <v>-30.475000000000001</v>
      </c>
      <c r="AA232" s="53">
        <f>Português!AA232</f>
        <v>-23.872</v>
      </c>
      <c r="AB232" s="53">
        <f>Português!AB232</f>
        <v>-11.916</v>
      </c>
      <c r="AC232" s="53">
        <f>Português!AC232</f>
        <v>-43.798999999999999</v>
      </c>
      <c r="AD232" s="53">
        <f>Português!AD232</f>
        <v>9.51</v>
      </c>
      <c r="AE232" s="53">
        <f>Português!AE232</f>
        <v>6.2880000000000038</v>
      </c>
      <c r="AF232" s="53">
        <f>Português!AF232</f>
        <v>-33.826999999999998</v>
      </c>
      <c r="AG232" s="53">
        <f>Português!AG232</f>
        <v>-12.633000000000003</v>
      </c>
      <c r="AH232" s="53">
        <f>Português!AH232</f>
        <v>35.117000000000004</v>
      </c>
      <c r="AI232" s="53">
        <f>Português!AI232</f>
        <v>1.1379999999999981</v>
      </c>
      <c r="AJ232" s="53">
        <f>Português!AJ232</f>
        <v>-25.588999999999999</v>
      </c>
      <c r="AK232" s="53">
        <f>Português!AK232</f>
        <v>-55.379999999999995</v>
      </c>
      <c r="AL232" s="53">
        <f>Português!AL232</f>
        <v>-14.647000000000006</v>
      </c>
      <c r="AM232" s="53">
        <f>Português!AM232</f>
        <v>-53.281999999999996</v>
      </c>
      <c r="AN232" s="53">
        <f>Português!AN232</f>
        <v>-83.953999999999994</v>
      </c>
      <c r="AO232" s="53">
        <f>Português!AO232</f>
        <v>-369.10699999999997</v>
      </c>
      <c r="AP232" s="53">
        <f>Português!AP232</f>
        <v>-255.62299999999999</v>
      </c>
      <c r="AQ232" s="53">
        <f>Português!AQ232</f>
        <v>-81.389999999999986</v>
      </c>
      <c r="AR232" s="53">
        <f>Português!AR232</f>
        <v>-123.88200000000001</v>
      </c>
      <c r="AS232" s="19"/>
      <c r="AT232" s="53">
        <f t="shared" si="143"/>
        <v>17.98</v>
      </c>
      <c r="AU232" s="53">
        <f t="shared" si="144"/>
        <v>-32.872</v>
      </c>
      <c r="AV232" s="53">
        <f t="shared" si="145"/>
        <v>57.417000000000002</v>
      </c>
      <c r="AW232" s="53">
        <f t="shared" si="146"/>
        <v>-35.030999999999992</v>
      </c>
      <c r="AX232" s="53">
        <f t="shared" si="147"/>
        <v>-95.134</v>
      </c>
      <c r="AY232" s="53">
        <f t="shared" si="148"/>
        <v>-39.917000000000002</v>
      </c>
      <c r="AZ232" s="53">
        <f t="shared" si="149"/>
        <v>-10.204999999999998</v>
      </c>
      <c r="BA232" s="53">
        <f t="shared" si="150"/>
        <v>-148.898</v>
      </c>
      <c r="BB232" s="53">
        <f t="shared" si="122"/>
        <v>-790.07399999999996</v>
      </c>
      <c r="BC232" s="37"/>
    </row>
    <row r="233" spans="1:55" outlineLevel="1">
      <c r="B233" s="87" t="s">
        <v>508</v>
      </c>
      <c r="C233" s="115" t="s">
        <v>390</v>
      </c>
      <c r="D233" s="5"/>
      <c r="E233" s="5"/>
      <c r="F233" s="5"/>
      <c r="G233" s="5"/>
      <c r="H233" s="53">
        <f>Português!H233</f>
        <v>-5.67</v>
      </c>
      <c r="I233" s="53">
        <f>Português!I233</f>
        <v>-11.345999999999998</v>
      </c>
      <c r="J233" s="53">
        <f>Português!J233</f>
        <v>3.3829999999999991</v>
      </c>
      <c r="K233" s="53">
        <f>Português!K233</f>
        <v>21.966999999999999</v>
      </c>
      <c r="L233" s="53">
        <f>Português!L233</f>
        <v>-8.6940000000000008</v>
      </c>
      <c r="M233" s="53">
        <f>Português!M233</f>
        <v>-17.7</v>
      </c>
      <c r="N233" s="53">
        <f>Português!N233</f>
        <v>0.97399999999999665</v>
      </c>
      <c r="O233" s="53">
        <f>Português!O233</f>
        <v>-4.4089999999999989</v>
      </c>
      <c r="P233" s="53">
        <f>Português!P233</f>
        <v>-3.0430000000000001</v>
      </c>
      <c r="Q233" s="53">
        <f>Português!Q233</f>
        <v>-2.8570000000000002</v>
      </c>
      <c r="R233" s="53">
        <f>Português!R233</f>
        <v>14.698999999999998</v>
      </c>
      <c r="S233" s="53">
        <f>Português!S233</f>
        <v>-52.070999999999998</v>
      </c>
      <c r="T233" s="53">
        <f>Português!T233</f>
        <v>8.9039999999999999</v>
      </c>
      <c r="U233" s="53">
        <f>Português!U233</f>
        <v>-2.6289999999999996</v>
      </c>
      <c r="V233" s="53">
        <f>Português!V233</f>
        <v>-16.992000000000004</v>
      </c>
      <c r="W233" s="53">
        <f>Português!W233</f>
        <v>-52.853999999999985</v>
      </c>
      <c r="X233" s="53">
        <f>Português!X233</f>
        <v>-48.447000000000003</v>
      </c>
      <c r="Y233" s="53">
        <f>Português!Y233</f>
        <v>-274.3</v>
      </c>
      <c r="Z233" s="53">
        <f>Português!Z233</f>
        <v>-131.17699999999996</v>
      </c>
      <c r="AA233" s="55">
        <f>Português!AA233</f>
        <v>36.729999999999961</v>
      </c>
      <c r="AB233" s="53">
        <f>Português!AB233</f>
        <v>-229.71700000000001</v>
      </c>
      <c r="AC233" s="53">
        <f>Português!AC233</f>
        <v>-7.9690000000000003</v>
      </c>
      <c r="AD233" s="53">
        <f>Português!AD233</f>
        <v>-21.806000000000004</v>
      </c>
      <c r="AE233" s="53">
        <f>Português!AE233</f>
        <v>102.74200000000002</v>
      </c>
      <c r="AF233" s="53">
        <f>Português!AF233</f>
        <v>26.602</v>
      </c>
      <c r="AG233" s="53">
        <f>Português!AG233</f>
        <v>-95.96</v>
      </c>
      <c r="AH233" s="53">
        <f>Português!AH233</f>
        <v>90.933999999999997</v>
      </c>
      <c r="AI233" s="53">
        <f>Português!AI233</f>
        <v>52.975999999999999</v>
      </c>
      <c r="AJ233" s="53">
        <f>Português!AJ233</f>
        <v>-12.832000000000001</v>
      </c>
      <c r="AK233" s="53">
        <f>Português!AK233</f>
        <v>-145.63399999999999</v>
      </c>
      <c r="AL233" s="53">
        <f>Português!AL233</f>
        <v>-176.49300000000002</v>
      </c>
      <c r="AM233" s="53">
        <f>Português!AM233</f>
        <v>220.75900000000001</v>
      </c>
      <c r="AN233" s="53">
        <f>Português!AN233</f>
        <v>-114.821</v>
      </c>
      <c r="AO233" s="53">
        <f>Português!AO233</f>
        <v>-22.018999999999998</v>
      </c>
      <c r="AP233" s="53">
        <f>Português!AP233</f>
        <v>-162.196</v>
      </c>
      <c r="AQ233" s="53">
        <f>Português!AQ233</f>
        <v>-79.810999999999979</v>
      </c>
      <c r="AR233" s="53">
        <f>Português!AR233</f>
        <v>-103.53</v>
      </c>
      <c r="AS233" s="19"/>
      <c r="AT233" s="53">
        <f t="shared" si="143"/>
        <v>8.3339999999999996</v>
      </c>
      <c r="AU233" s="53">
        <f t="shared" si="144"/>
        <v>-29.829000000000001</v>
      </c>
      <c r="AV233" s="53">
        <f t="shared" si="145"/>
        <v>-43.271999999999998</v>
      </c>
      <c r="AW233" s="53">
        <f t="shared" si="146"/>
        <v>-63.570999999999991</v>
      </c>
      <c r="AX233" s="55">
        <f t="shared" si="147"/>
        <v>-417.19400000000002</v>
      </c>
      <c r="AY233" s="53">
        <f t="shared" si="148"/>
        <v>-156.75</v>
      </c>
      <c r="AZ233" s="53">
        <f t="shared" si="149"/>
        <v>74.552000000000007</v>
      </c>
      <c r="BA233" s="53">
        <f t="shared" si="150"/>
        <v>-114.19999999999999</v>
      </c>
      <c r="BB233" s="53">
        <f t="shared" si="122"/>
        <v>-378.84699999999998</v>
      </c>
      <c r="BC233" s="37"/>
    </row>
    <row r="234" spans="1:55" outlineLevel="1">
      <c r="B234" s="87" t="s">
        <v>573</v>
      </c>
      <c r="C234" s="115" t="s">
        <v>390</v>
      </c>
      <c r="D234" s="5"/>
      <c r="E234" s="5"/>
      <c r="F234" s="5"/>
      <c r="G234" s="5"/>
      <c r="H234" s="53">
        <f>Português!H234</f>
        <v>-43.165999999999997</v>
      </c>
      <c r="I234" s="53">
        <f>Português!I234</f>
        <v>-73</v>
      </c>
      <c r="J234" s="53">
        <f>Português!J234</f>
        <v>-55.254999999999995</v>
      </c>
      <c r="K234" s="53">
        <f>Português!K234</f>
        <v>-63.573000000000008</v>
      </c>
      <c r="L234" s="53">
        <f>Português!L234</f>
        <v>-76.135000000000005</v>
      </c>
      <c r="M234" s="53">
        <f>Português!M234</f>
        <v>-101.4</v>
      </c>
      <c r="N234" s="53">
        <f>Português!N234</f>
        <v>-75.232999999999976</v>
      </c>
      <c r="O234" s="53">
        <f>Português!O234</f>
        <v>-83.323999999999984</v>
      </c>
      <c r="P234" s="53">
        <f>Português!P234</f>
        <v>-46.728000000000002</v>
      </c>
      <c r="Q234" s="53">
        <f>Português!Q234</f>
        <v>-107.84399999999999</v>
      </c>
      <c r="R234" s="53">
        <f>Português!R234</f>
        <v>-110.48000000000002</v>
      </c>
      <c r="S234" s="53">
        <f>Português!S234</f>
        <v>-76.731999999999971</v>
      </c>
      <c r="T234" s="53">
        <f>Português!T234</f>
        <v>-83.599000000000004</v>
      </c>
      <c r="U234" s="53">
        <f>Português!U234</f>
        <v>-134.762</v>
      </c>
      <c r="V234" s="53">
        <f>Português!V234</f>
        <v>-200.02800000000002</v>
      </c>
      <c r="W234" s="53">
        <f>Português!W234</f>
        <v>-155.73500000000001</v>
      </c>
      <c r="X234" s="53">
        <f>Português!X234</f>
        <v>-101.852</v>
      </c>
      <c r="Y234" s="53">
        <f>Português!Y234</f>
        <v>-129.75899999999999</v>
      </c>
      <c r="Z234" s="53">
        <f>Português!Z234</f>
        <v>-95.875</v>
      </c>
      <c r="AA234" s="55">
        <f>Português!AA234</f>
        <v>-54.509999999999991</v>
      </c>
      <c r="AB234" s="53">
        <f>Português!AB234</f>
        <v>-33.252000000000002</v>
      </c>
      <c r="AC234" s="53">
        <f>Português!AC234</f>
        <v>-21.137</v>
      </c>
      <c r="AD234" s="53">
        <f>Português!AD234</f>
        <v>-10.944000000000001</v>
      </c>
      <c r="AE234" s="53">
        <f>Português!AE234</f>
        <v>-6.695999999999998</v>
      </c>
      <c r="AF234" s="53">
        <f>Português!AF234</f>
        <v>-36.323999999999998</v>
      </c>
      <c r="AG234" s="53">
        <f>Português!AG234</f>
        <v>-101.05</v>
      </c>
      <c r="AH234" s="53">
        <f>Português!AH234</f>
        <v>-46.738</v>
      </c>
      <c r="AI234" s="53">
        <f>Português!AI234</f>
        <v>-30.526000000000025</v>
      </c>
      <c r="AJ234" s="53">
        <f>Português!AJ234</f>
        <v>-93.873999999999995</v>
      </c>
      <c r="AK234" s="53">
        <f>Português!AK234</f>
        <v>-46.721000000000004</v>
      </c>
      <c r="AL234" s="53">
        <f>Português!AL234</f>
        <v>-48.728000000000009</v>
      </c>
      <c r="AM234" s="53">
        <f>Português!AM234</f>
        <v>-61.284999999999997</v>
      </c>
      <c r="AN234" s="53">
        <f>Português!AN234</f>
        <v>-104.589</v>
      </c>
      <c r="AO234" s="53">
        <f>Português!AO234</f>
        <v>-6.9379999999999997</v>
      </c>
      <c r="AP234" s="53">
        <f>Português!AP234</f>
        <v>-8.6470000000000056</v>
      </c>
      <c r="AQ234" s="53">
        <f>Português!AQ234</f>
        <v>-4.5060000000000002</v>
      </c>
      <c r="AR234" s="53">
        <f>Português!AR234</f>
        <v>-17.843</v>
      </c>
      <c r="AS234" s="19"/>
      <c r="AT234" s="53">
        <f t="shared" si="143"/>
        <v>-234.994</v>
      </c>
      <c r="AU234" s="53">
        <f t="shared" si="144"/>
        <v>-336.09199999999998</v>
      </c>
      <c r="AV234" s="53">
        <f t="shared" si="145"/>
        <v>-341.78399999999999</v>
      </c>
      <c r="AW234" s="53">
        <f t="shared" si="146"/>
        <v>-574.12400000000002</v>
      </c>
      <c r="AX234" s="55">
        <f t="shared" si="147"/>
        <v>-381.99599999999998</v>
      </c>
      <c r="AY234" s="53">
        <f t="shared" si="148"/>
        <v>-72.028999999999996</v>
      </c>
      <c r="AZ234" s="53">
        <f t="shared" si="149"/>
        <v>-214.63800000000003</v>
      </c>
      <c r="BA234" s="53">
        <f t="shared" si="150"/>
        <v>-250.608</v>
      </c>
      <c r="BB234" s="53">
        <f t="shared" si="122"/>
        <v>-124.68</v>
      </c>
      <c r="BC234" s="37"/>
    </row>
    <row r="235" spans="1:55" s="13" customFormat="1" outlineLevel="1">
      <c r="B235" s="116" t="s">
        <v>512</v>
      </c>
      <c r="C235" s="118" t="s">
        <v>390</v>
      </c>
      <c r="D235" s="102"/>
      <c r="E235" s="102"/>
      <c r="F235" s="102"/>
      <c r="G235" s="102"/>
      <c r="H235" s="55">
        <f>Português!H235</f>
        <v>0</v>
      </c>
      <c r="I235" s="55">
        <f>Português!I235</f>
        <v>0</v>
      </c>
      <c r="J235" s="55">
        <f>Português!J235</f>
        <v>0</v>
      </c>
      <c r="K235" s="55">
        <f>Português!K235</f>
        <v>0</v>
      </c>
      <c r="L235" s="55">
        <f>Português!L235</f>
        <v>0</v>
      </c>
      <c r="M235" s="55">
        <f>Português!M235</f>
        <v>0</v>
      </c>
      <c r="N235" s="55">
        <f>Português!N235</f>
        <v>0</v>
      </c>
      <c r="O235" s="55">
        <f>Português!O235</f>
        <v>0</v>
      </c>
      <c r="P235" s="55">
        <f>Português!P235</f>
        <v>0</v>
      </c>
      <c r="Q235" s="55">
        <f>Português!Q235</f>
        <v>0</v>
      </c>
      <c r="R235" s="55">
        <f>Português!R235</f>
        <v>0</v>
      </c>
      <c r="S235" s="55">
        <f>Português!S235</f>
        <v>0</v>
      </c>
      <c r="T235" s="55">
        <f>Português!T235</f>
        <v>0</v>
      </c>
      <c r="U235" s="55">
        <f>Português!U235</f>
        <v>0</v>
      </c>
      <c r="V235" s="55">
        <f>Português!V235</f>
        <v>0</v>
      </c>
      <c r="W235" s="55">
        <f>Português!W235</f>
        <v>0</v>
      </c>
      <c r="X235" s="55">
        <f>Português!X235</f>
        <v>-9.8989999999999991</v>
      </c>
      <c r="Y235" s="55">
        <f>Português!Y235</f>
        <v>-11.212</v>
      </c>
      <c r="Z235" s="55">
        <f>Português!Z235</f>
        <v>0</v>
      </c>
      <c r="AA235" s="55">
        <f>Português!AA235</f>
        <v>-34.987000000000002</v>
      </c>
      <c r="AB235" s="55">
        <f>Português!AB235</f>
        <v>-25.065999999999999</v>
      </c>
      <c r="AC235" s="55">
        <f>Português!AC235</f>
        <v>-35.220999999999997</v>
      </c>
      <c r="AD235" s="55">
        <f>Português!AD235</f>
        <v>-38.981999999999999</v>
      </c>
      <c r="AE235" s="55">
        <f>Português!AE235</f>
        <v>-63.402000000000001</v>
      </c>
      <c r="AF235" s="55">
        <f>Português!AF235</f>
        <v>-41.9</v>
      </c>
      <c r="AG235" s="55">
        <f>Português!AG235</f>
        <v>-58.899000000000008</v>
      </c>
      <c r="AH235" s="55">
        <f>Português!AH235</f>
        <v>-150.62099999999998</v>
      </c>
      <c r="AI235" s="55">
        <f>Português!AI235</f>
        <v>-52.547000000000025</v>
      </c>
      <c r="AJ235" s="55">
        <f>Português!AJ235</f>
        <v>-49.875</v>
      </c>
      <c r="AK235" s="55">
        <f>Português!AK235</f>
        <v>-73.968000000000004</v>
      </c>
      <c r="AL235" s="55">
        <f>Português!AL235</f>
        <v>-86.61999999999999</v>
      </c>
      <c r="AM235" s="55">
        <f>Português!AM235</f>
        <v>-389.10899999999998</v>
      </c>
      <c r="AN235" s="55">
        <f>Português!AN235</f>
        <v>-45.686</v>
      </c>
      <c r="AO235" s="55">
        <f>Português!AO235</f>
        <v>-96.47</v>
      </c>
      <c r="AP235" s="55">
        <f>Português!AP235</f>
        <v>-168.98199999999997</v>
      </c>
      <c r="AQ235" s="55">
        <f>Português!AQ235</f>
        <v>-148.233</v>
      </c>
      <c r="AR235" s="55">
        <f>Português!AR235</f>
        <v>-215.613</v>
      </c>
      <c r="AS235" s="19"/>
      <c r="AT235" s="53">
        <f t="shared" si="143"/>
        <v>0</v>
      </c>
      <c r="AU235" s="53">
        <f t="shared" si="144"/>
        <v>0</v>
      </c>
      <c r="AV235" s="53">
        <f t="shared" si="145"/>
        <v>0</v>
      </c>
      <c r="AW235" s="53">
        <f t="shared" si="146"/>
        <v>0</v>
      </c>
      <c r="AX235" s="55">
        <f t="shared" si="147"/>
        <v>-56.097999999999999</v>
      </c>
      <c r="AY235" s="53">
        <f t="shared" si="148"/>
        <v>-162.67099999999999</v>
      </c>
      <c r="AZ235" s="53">
        <f t="shared" si="149"/>
        <v>-303.96699999999998</v>
      </c>
      <c r="BA235" s="53">
        <f>SUM(AJ235:AM235)</f>
        <v>-599.572</v>
      </c>
      <c r="BB235" s="53">
        <f t="shared" si="122"/>
        <v>-459.37099999999998</v>
      </c>
      <c r="BC235" s="37"/>
    </row>
    <row r="236" spans="1:55" ht="13.5" outlineLevel="1">
      <c r="B236" s="11" t="s">
        <v>574</v>
      </c>
      <c r="C236" s="11" t="s">
        <v>390</v>
      </c>
      <c r="D236" s="119"/>
      <c r="E236" s="119"/>
      <c r="F236" s="119"/>
      <c r="G236" s="119"/>
      <c r="H236" s="57">
        <f t="shared" ref="H236:AP236" si="151">H227+H218+H183+H182</f>
        <v>175.41825134745793</v>
      </c>
      <c r="I236" s="57">
        <f t="shared" si="151"/>
        <v>76.515594335257106</v>
      </c>
      <c r="J236" s="57">
        <f t="shared" si="151"/>
        <v>185.76848304249199</v>
      </c>
      <c r="K236" s="57">
        <f t="shared" si="151"/>
        <v>180.82503008479301</v>
      </c>
      <c r="L236" s="57">
        <f t="shared" si="151"/>
        <v>164.91712802851561</v>
      </c>
      <c r="M236" s="57">
        <f t="shared" si="151"/>
        <v>149.42805760076294</v>
      </c>
      <c r="N236" s="57">
        <f t="shared" si="151"/>
        <v>62.579388312373212</v>
      </c>
      <c r="O236" s="57">
        <f t="shared" si="151"/>
        <v>139.77019430683742</v>
      </c>
      <c r="P236" s="57">
        <f t="shared" si="151"/>
        <v>229.95800000000008</v>
      </c>
      <c r="Q236" s="57">
        <f t="shared" si="151"/>
        <v>145.48799999999977</v>
      </c>
      <c r="R236" s="57">
        <f t="shared" si="151"/>
        <v>256.74000000000018</v>
      </c>
      <c r="S236" s="57">
        <f t="shared" si="151"/>
        <v>24.593000000000245</v>
      </c>
      <c r="T236" s="57">
        <f t="shared" si="151"/>
        <v>347.16199999999935</v>
      </c>
      <c r="U236" s="57">
        <f t="shared" si="151"/>
        <v>544.11600000000021</v>
      </c>
      <c r="V236" s="57">
        <f t="shared" si="151"/>
        <v>283.59500000000077</v>
      </c>
      <c r="W236" s="57">
        <f t="shared" si="151"/>
        <v>150.76199999999869</v>
      </c>
      <c r="X236" s="57">
        <f t="shared" si="151"/>
        <v>241.56299999999962</v>
      </c>
      <c r="Y236" s="57">
        <f t="shared" si="151"/>
        <v>-262.67600000000004</v>
      </c>
      <c r="Z236" s="57">
        <f t="shared" si="151"/>
        <v>163.61999999999978</v>
      </c>
      <c r="AA236" s="57">
        <f t="shared" si="151"/>
        <v>108.98700000000017</v>
      </c>
      <c r="AB236" s="57">
        <f t="shared" si="151"/>
        <v>226.35099999999983</v>
      </c>
      <c r="AC236" s="57">
        <f t="shared" si="151"/>
        <v>244.59599999999898</v>
      </c>
      <c r="AD236" s="57">
        <f t="shared" si="151"/>
        <v>342.20300000000179</v>
      </c>
      <c r="AE236" s="57">
        <f t="shared" si="151"/>
        <v>159.01029999999963</v>
      </c>
      <c r="AF236" s="57">
        <f t="shared" si="151"/>
        <v>674.49600000000066</v>
      </c>
      <c r="AG236" s="57">
        <f t="shared" si="151"/>
        <v>357.53599999999926</v>
      </c>
      <c r="AH236" s="57">
        <f t="shared" si="151"/>
        <v>775.70100000000127</v>
      </c>
      <c r="AI236" s="57">
        <f t="shared" si="151"/>
        <v>523.12750096783873</v>
      </c>
      <c r="AJ236" s="57">
        <f t="shared" si="151"/>
        <v>918.72379250999734</v>
      </c>
      <c r="AK236" s="57">
        <f t="shared" si="151"/>
        <v>516.15189063999981</v>
      </c>
      <c r="AL236" s="57">
        <f t="shared" si="151"/>
        <v>688.41686254245292</v>
      </c>
      <c r="AM236" s="57">
        <f t="shared" si="151"/>
        <v>561.95052823552055</v>
      </c>
      <c r="AN236" s="57">
        <f t="shared" si="151"/>
        <v>885.01626157325461</v>
      </c>
      <c r="AO236" s="57">
        <f t="shared" si="151"/>
        <v>648.96996458754381</v>
      </c>
      <c r="AP236" s="57">
        <f t="shared" si="151"/>
        <v>277.38885333680241</v>
      </c>
      <c r="AQ236" s="57">
        <f>AQ227+AQ218+AQ183+AQ182</f>
        <v>286.77039271766665</v>
      </c>
      <c r="AR236" s="57">
        <f>AR227+AR218+AR183+AR182</f>
        <v>626.28874735000034</v>
      </c>
      <c r="AS236" s="19"/>
      <c r="AT236" s="57">
        <f t="shared" si="143"/>
        <v>618.52735881000012</v>
      </c>
      <c r="AU236" s="57">
        <f t="shared" si="144"/>
        <v>516.69476824848925</v>
      </c>
      <c r="AV236" s="57">
        <f t="shared" si="145"/>
        <v>656.77900000000022</v>
      </c>
      <c r="AW236" s="57">
        <f t="shared" si="146"/>
        <v>1325.6349999999989</v>
      </c>
      <c r="AX236" s="57">
        <f t="shared" si="147"/>
        <v>251.49399999999952</v>
      </c>
      <c r="AY236" s="57">
        <f>SUM(AB236:AE236)</f>
        <v>972.16030000000023</v>
      </c>
      <c r="AZ236" s="57">
        <f>SUM(AF236:AI236)</f>
        <v>2330.8605009678399</v>
      </c>
      <c r="BA236" s="57">
        <f>BA227+BA218+BA183+BA182</f>
        <v>2682.8150739279699</v>
      </c>
      <c r="BB236" s="57">
        <f t="shared" si="122"/>
        <v>2098.1454722152675</v>
      </c>
      <c r="BC236" s="37"/>
    </row>
    <row r="237" spans="1:55" ht="13.5" outlineLevel="1">
      <c r="A237" s="1"/>
      <c r="B237" s="2" t="s">
        <v>575</v>
      </c>
      <c r="C237" s="120" t="s">
        <v>390</v>
      </c>
      <c r="D237" s="4"/>
      <c r="E237" s="4"/>
      <c r="F237" s="4"/>
      <c r="G237" s="4"/>
      <c r="H237" s="75">
        <f>Português!H237</f>
        <v>0</v>
      </c>
      <c r="I237" s="75">
        <f>Português!I237</f>
        <v>0</v>
      </c>
      <c r="J237" s="75">
        <f>Português!J237</f>
        <v>0</v>
      </c>
      <c r="K237" s="75">
        <f>Português!K237</f>
        <v>0</v>
      </c>
      <c r="L237" s="75">
        <f>Português!L237</f>
        <v>0</v>
      </c>
      <c r="M237" s="75">
        <f>Português!M237</f>
        <v>0</v>
      </c>
      <c r="N237" s="75">
        <f>Português!N237</f>
        <v>0</v>
      </c>
      <c r="O237" s="75">
        <f>Português!O237</f>
        <v>0</v>
      </c>
      <c r="P237" s="75">
        <f>Português!P237</f>
        <v>0</v>
      </c>
      <c r="Q237" s="75">
        <f>Português!Q237</f>
        <v>0</v>
      </c>
      <c r="R237" s="75">
        <f>Português!R237</f>
        <v>0</v>
      </c>
      <c r="S237" s="75">
        <f>Português!S237</f>
        <v>0</v>
      </c>
      <c r="T237" s="75">
        <f>Português!T237</f>
        <v>0</v>
      </c>
      <c r="U237" s="75">
        <f>Português!U237</f>
        <v>0</v>
      </c>
      <c r="V237" s="75">
        <f>Português!V237</f>
        <v>0</v>
      </c>
      <c r="W237" s="75">
        <f>Português!W237</f>
        <v>0</v>
      </c>
      <c r="X237" s="75">
        <f>Português!X237</f>
        <v>0</v>
      </c>
      <c r="Y237" s="75">
        <f>Português!Y237</f>
        <v>0</v>
      </c>
      <c r="Z237" s="75">
        <f>Português!Z237</f>
        <v>0</v>
      </c>
      <c r="AA237" s="75">
        <f>Português!AA237</f>
        <v>0</v>
      </c>
      <c r="AB237" s="75">
        <f>Português!AB237</f>
        <v>0</v>
      </c>
      <c r="AC237" s="75">
        <f>Português!AC237</f>
        <v>0</v>
      </c>
      <c r="AD237" s="75">
        <f>Português!AD237</f>
        <v>0</v>
      </c>
      <c r="AE237" s="75">
        <f>Português!AE237</f>
        <v>0</v>
      </c>
      <c r="AF237" s="75">
        <f>Português!AF237</f>
        <v>0</v>
      </c>
      <c r="AG237" s="75">
        <f>Português!AG237</f>
        <v>-10.074</v>
      </c>
      <c r="AH237" s="75">
        <f>Português!AH237</f>
        <v>11.843</v>
      </c>
      <c r="AI237" s="75">
        <f>Português!AI237</f>
        <v>2.0359999999999996</v>
      </c>
      <c r="AJ237" s="75">
        <f>Português!AJ237</f>
        <v>5.6210000000000004</v>
      </c>
      <c r="AK237" s="75">
        <f>Português!AK237</f>
        <v>0</v>
      </c>
      <c r="AL237" s="75">
        <f>Português!AL237</f>
        <v>0</v>
      </c>
      <c r="AM237" s="75">
        <f>Português!AM237</f>
        <v>0</v>
      </c>
      <c r="AN237" s="75">
        <f>Português!AN237</f>
        <v>0</v>
      </c>
      <c r="AO237" s="75">
        <f>Português!AO237</f>
        <v>-9.6039999999999992</v>
      </c>
      <c r="AP237" s="75">
        <f>Português!AP237</f>
        <v>0</v>
      </c>
      <c r="AQ237" s="75">
        <f>Português!AQ237</f>
        <v>0</v>
      </c>
      <c r="AR237" s="75">
        <f>Português!AR237</f>
        <v>0</v>
      </c>
      <c r="AS237" s="19"/>
      <c r="AT237" s="53">
        <f t="shared" si="143"/>
        <v>0</v>
      </c>
      <c r="AU237" s="53">
        <f t="shared" si="144"/>
        <v>0</v>
      </c>
      <c r="AV237" s="53">
        <f t="shared" si="145"/>
        <v>0</v>
      </c>
      <c r="AW237" s="53">
        <f t="shared" si="146"/>
        <v>0</v>
      </c>
      <c r="AX237" s="53">
        <f t="shared" si="147"/>
        <v>0</v>
      </c>
      <c r="AY237" s="53">
        <f t="shared" si="148"/>
        <v>0</v>
      </c>
      <c r="AZ237" s="53">
        <f>SUM(AF237:AI237)</f>
        <v>3.8049999999999997</v>
      </c>
      <c r="BA237" s="53">
        <f>SUM(AJ237:AM237)</f>
        <v>5.6210000000000004</v>
      </c>
      <c r="BB237" s="53">
        <f t="shared" si="122"/>
        <v>-9.6039999999999992</v>
      </c>
      <c r="BC237" s="37"/>
    </row>
    <row r="238" spans="1:55" ht="13.5" outlineLevel="1">
      <c r="B238" s="11" t="s">
        <v>576</v>
      </c>
      <c r="C238" s="114" t="s">
        <v>390</v>
      </c>
      <c r="D238" s="11"/>
      <c r="E238" s="11"/>
      <c r="F238" s="11"/>
      <c r="G238" s="11"/>
      <c r="H238" s="57">
        <f t="shared" ref="H238:AM238" si="152">SUM(H236,H237)</f>
        <v>175.41825134745793</v>
      </c>
      <c r="I238" s="57">
        <f t="shared" si="152"/>
        <v>76.515594335257106</v>
      </c>
      <c r="J238" s="57">
        <f t="shared" si="152"/>
        <v>185.76848304249199</v>
      </c>
      <c r="K238" s="57">
        <f t="shared" si="152"/>
        <v>180.82503008479301</v>
      </c>
      <c r="L238" s="57">
        <f t="shared" si="152"/>
        <v>164.91712802851561</v>
      </c>
      <c r="M238" s="57">
        <f t="shared" si="152"/>
        <v>149.42805760076294</v>
      </c>
      <c r="N238" s="57">
        <f t="shared" si="152"/>
        <v>62.579388312373212</v>
      </c>
      <c r="O238" s="57">
        <f t="shared" si="152"/>
        <v>139.77019430683742</v>
      </c>
      <c r="P238" s="57">
        <f t="shared" si="152"/>
        <v>229.95800000000008</v>
      </c>
      <c r="Q238" s="57">
        <f t="shared" si="152"/>
        <v>145.48799999999977</v>
      </c>
      <c r="R238" s="57">
        <f t="shared" si="152"/>
        <v>256.74000000000018</v>
      </c>
      <c r="S238" s="57">
        <f t="shared" si="152"/>
        <v>24.593000000000245</v>
      </c>
      <c r="T238" s="57">
        <f t="shared" si="152"/>
        <v>347.16199999999935</v>
      </c>
      <c r="U238" s="57">
        <f t="shared" si="152"/>
        <v>544.11600000000021</v>
      </c>
      <c r="V238" s="57">
        <f t="shared" si="152"/>
        <v>283.59500000000077</v>
      </c>
      <c r="W238" s="57">
        <f t="shared" si="152"/>
        <v>150.76199999999869</v>
      </c>
      <c r="X238" s="57">
        <f t="shared" si="152"/>
        <v>241.56299999999962</v>
      </c>
      <c r="Y238" s="57">
        <f t="shared" si="152"/>
        <v>-262.67600000000004</v>
      </c>
      <c r="Z238" s="57">
        <f t="shared" si="152"/>
        <v>163.61999999999978</v>
      </c>
      <c r="AA238" s="57">
        <f t="shared" si="152"/>
        <v>108.98700000000017</v>
      </c>
      <c r="AB238" s="57">
        <f t="shared" si="152"/>
        <v>226.35099999999983</v>
      </c>
      <c r="AC238" s="57">
        <f t="shared" si="152"/>
        <v>244.59599999999898</v>
      </c>
      <c r="AD238" s="57">
        <f t="shared" si="152"/>
        <v>342.20300000000179</v>
      </c>
      <c r="AE238" s="57">
        <f t="shared" si="152"/>
        <v>159.01029999999963</v>
      </c>
      <c r="AF238" s="57">
        <f t="shared" si="152"/>
        <v>674.49600000000066</v>
      </c>
      <c r="AG238" s="57">
        <f t="shared" si="152"/>
        <v>347.46199999999925</v>
      </c>
      <c r="AH238" s="57">
        <f t="shared" si="152"/>
        <v>787.54400000000123</v>
      </c>
      <c r="AI238" s="57">
        <f t="shared" si="152"/>
        <v>525.16350096783867</v>
      </c>
      <c r="AJ238" s="57">
        <f t="shared" si="152"/>
        <v>924.34479250999732</v>
      </c>
      <c r="AK238" s="57">
        <f t="shared" si="152"/>
        <v>516.15189063999981</v>
      </c>
      <c r="AL238" s="57">
        <f t="shared" si="152"/>
        <v>688.41686254245292</v>
      </c>
      <c r="AM238" s="57">
        <f t="shared" si="152"/>
        <v>561.95052823552055</v>
      </c>
      <c r="AN238" s="57">
        <f>SUM(AN236,AN237)</f>
        <v>885.01626157325461</v>
      </c>
      <c r="AO238" s="57">
        <f>SUM(AO236,AO237)</f>
        <v>639.36596458754377</v>
      </c>
      <c r="AP238" s="57">
        <f>SUM(AP236,AP237)</f>
        <v>277.38885333680241</v>
      </c>
      <c r="AQ238" s="57">
        <f>SUM(AQ236,AQ237)</f>
        <v>286.77039271766665</v>
      </c>
      <c r="AR238" s="57">
        <f>SUM(AR236,AR237)</f>
        <v>626.28874735000034</v>
      </c>
      <c r="AS238" s="19"/>
      <c r="AT238" s="57">
        <f t="shared" ref="AT238:BA238" si="153">SUM(AT236,AT237)</f>
        <v>618.52735881000012</v>
      </c>
      <c r="AU238" s="57">
        <f t="shared" si="153"/>
        <v>516.69476824848925</v>
      </c>
      <c r="AV238" s="57">
        <f t="shared" si="153"/>
        <v>656.77900000000022</v>
      </c>
      <c r="AW238" s="57">
        <f t="shared" si="153"/>
        <v>1325.6349999999989</v>
      </c>
      <c r="AX238" s="57">
        <f t="shared" si="153"/>
        <v>251.49399999999952</v>
      </c>
      <c r="AY238" s="57">
        <f t="shared" si="153"/>
        <v>972.16030000000023</v>
      </c>
      <c r="AZ238" s="57">
        <f t="shared" si="153"/>
        <v>2334.6655009678398</v>
      </c>
      <c r="BA238" s="57">
        <f t="shared" si="153"/>
        <v>2688.43607392797</v>
      </c>
      <c r="BB238" s="57">
        <f t="shared" si="122"/>
        <v>2088.5414722152673</v>
      </c>
      <c r="BC238" s="37"/>
    </row>
    <row r="239" spans="1:55" ht="13.5" outlineLevel="1">
      <c r="B239" s="11" t="s">
        <v>577</v>
      </c>
      <c r="C239" s="114" t="s">
        <v>390</v>
      </c>
      <c r="D239" s="11"/>
      <c r="E239" s="11"/>
      <c r="F239" s="11"/>
      <c r="G239" s="11"/>
      <c r="H239" s="57">
        <f t="shared" ref="H239:AD239" si="154">SUM(H240:H249)</f>
        <v>-149.53200000000001</v>
      </c>
      <c r="I239" s="57">
        <f t="shared" si="154"/>
        <v>32.554000000000023</v>
      </c>
      <c r="J239" s="57">
        <f t="shared" si="154"/>
        <v>-158.87</v>
      </c>
      <c r="K239" s="57">
        <f t="shared" si="154"/>
        <v>-133.14699999999999</v>
      </c>
      <c r="L239" s="57">
        <f t="shared" si="154"/>
        <v>149.279</v>
      </c>
      <c r="M239" s="57">
        <f t="shared" si="154"/>
        <v>-2507.1999999999998</v>
      </c>
      <c r="N239" s="57">
        <f t="shared" si="154"/>
        <v>268.19399999999933</v>
      </c>
      <c r="O239" s="57">
        <f t="shared" si="154"/>
        <v>-49.104999999999606</v>
      </c>
      <c r="P239" s="57">
        <f t="shared" si="154"/>
        <v>-258.34500000000003</v>
      </c>
      <c r="Q239" s="57">
        <f t="shared" si="154"/>
        <v>60.397000000000048</v>
      </c>
      <c r="R239" s="57">
        <f t="shared" si="154"/>
        <v>-4761.6849999999995</v>
      </c>
      <c r="S239" s="57">
        <f t="shared" si="154"/>
        <v>60.936999999999898</v>
      </c>
      <c r="T239" s="57">
        <f t="shared" si="154"/>
        <v>33.900000000000006</v>
      </c>
      <c r="U239" s="57">
        <f t="shared" si="154"/>
        <v>-797.17499999999995</v>
      </c>
      <c r="V239" s="57">
        <f t="shared" si="154"/>
        <v>-40.215999999999973</v>
      </c>
      <c r="W239" s="57">
        <f t="shared" si="154"/>
        <v>-134.28200000000004</v>
      </c>
      <c r="X239" s="57">
        <f t="shared" si="154"/>
        <v>-129.26000000000002</v>
      </c>
      <c r="Y239" s="57">
        <f t="shared" si="154"/>
        <v>-1345.4479999999999</v>
      </c>
      <c r="Z239" s="57">
        <f t="shared" si="154"/>
        <v>491.32500466000027</v>
      </c>
      <c r="AA239" s="57">
        <f t="shared" si="154"/>
        <v>-3394.5581638885205</v>
      </c>
      <c r="AB239" s="57">
        <f t="shared" si="154"/>
        <v>1892.4590000000007</v>
      </c>
      <c r="AC239" s="57">
        <f t="shared" si="154"/>
        <v>-886.95699999999988</v>
      </c>
      <c r="AD239" s="57">
        <f t="shared" si="154"/>
        <v>809.30499999999961</v>
      </c>
      <c r="AE239" s="57">
        <f t="shared" ref="AE239:AN239" si="155">SUM(AE240:AE249)</f>
        <v>285.08100000000115</v>
      </c>
      <c r="AF239" s="57">
        <f>SUM(AF240:AF249)</f>
        <v>-1169.259</v>
      </c>
      <c r="AG239" s="57">
        <f t="shared" si="155"/>
        <v>-331.19699999999966</v>
      </c>
      <c r="AH239" s="57">
        <f t="shared" si="155"/>
        <v>505.05599999999856</v>
      </c>
      <c r="AI239" s="57">
        <f t="shared" si="155"/>
        <v>146.89900000000091</v>
      </c>
      <c r="AJ239" s="57">
        <f t="shared" si="155"/>
        <v>-383.404</v>
      </c>
      <c r="AK239" s="57">
        <f t="shared" si="155"/>
        <v>-964.21900000000005</v>
      </c>
      <c r="AL239" s="57">
        <f t="shared" si="155"/>
        <v>513.11800000000017</v>
      </c>
      <c r="AM239" s="57">
        <f t="shared" si="155"/>
        <v>-1361.6910000000003</v>
      </c>
      <c r="AN239" s="57">
        <f t="shared" si="155"/>
        <v>-725.94499999999994</v>
      </c>
      <c r="AO239" s="57">
        <f>SUM(AO240:AO250)</f>
        <v>301.34799999999984</v>
      </c>
      <c r="AP239" s="57">
        <f>SUM(AP240:AP250)</f>
        <v>173.33700000000002</v>
      </c>
      <c r="AQ239" s="57">
        <f>SUM(AQ240:AQ250)</f>
        <v>1706.8340000000003</v>
      </c>
      <c r="AR239" s="57">
        <f>SUM(AR240:AR250)</f>
        <v>-395.95</v>
      </c>
      <c r="AS239" s="19"/>
      <c r="AT239" s="57">
        <f t="shared" ref="AT239:AY239" si="156">SUM(AT240:AT249)</f>
        <v>-408.995</v>
      </c>
      <c r="AU239" s="57">
        <f t="shared" si="156"/>
        <v>-2138.8320000000003</v>
      </c>
      <c r="AV239" s="57">
        <f t="shared" si="156"/>
        <v>-4898.6959999999999</v>
      </c>
      <c r="AW239" s="57">
        <f t="shared" si="156"/>
        <v>-937.77299999999991</v>
      </c>
      <c r="AX239" s="57">
        <f t="shared" si="156"/>
        <v>-4377.9411592285196</v>
      </c>
      <c r="AY239" s="57">
        <f t="shared" si="156"/>
        <v>2099.8880000000013</v>
      </c>
      <c r="AZ239" s="57">
        <f>SUM(AZ240:AZ249)</f>
        <v>-848.50099999999998</v>
      </c>
      <c r="BA239" s="57">
        <f>SUM(BA240:BA249)</f>
        <v>-2196.1960000000004</v>
      </c>
      <c r="BB239" s="57">
        <f t="shared" si="122"/>
        <v>1455.5740000000003</v>
      </c>
      <c r="BC239" s="37"/>
    </row>
    <row r="240" spans="1:55" outlineLevel="1">
      <c r="B240" s="87" t="s">
        <v>578</v>
      </c>
      <c r="C240" s="115" t="s">
        <v>390</v>
      </c>
      <c r="D240" s="5"/>
      <c r="E240" s="5"/>
      <c r="F240" s="5"/>
      <c r="G240" s="5"/>
      <c r="H240" s="53">
        <f>Português!H240</f>
        <v>-0.307</v>
      </c>
      <c r="I240" s="53">
        <f>Português!I240</f>
        <v>-0.192</v>
      </c>
      <c r="J240" s="53">
        <f>Português!J240</f>
        <v>-0.17100000000000004</v>
      </c>
      <c r="K240" s="53">
        <f>Português!K240</f>
        <v>-5.8169999999999993</v>
      </c>
      <c r="L240" s="53">
        <f>Português!L240</f>
        <v>0.17100000000000001</v>
      </c>
      <c r="M240" s="53">
        <f>Português!M240</f>
        <v>5.6</v>
      </c>
      <c r="N240" s="53">
        <f>Português!N240</f>
        <v>7.5000000000000178E-2</v>
      </c>
      <c r="O240" s="53">
        <f>Português!O240</f>
        <v>-1.000000000000334E-3</v>
      </c>
      <c r="P240" s="53">
        <f>Português!P240</f>
        <v>5.0000000000000001E-3</v>
      </c>
      <c r="Q240" s="53">
        <f>Português!Q240</f>
        <v>0</v>
      </c>
      <c r="R240" s="53">
        <f>Português!R240</f>
        <v>-38.624000000000002</v>
      </c>
      <c r="S240" s="53">
        <f>Português!S240</f>
        <v>-4.7959999999999994</v>
      </c>
      <c r="T240" s="53">
        <f>Português!T240</f>
        <v>4.7060000000000004</v>
      </c>
      <c r="U240" s="53">
        <f>Português!U240</f>
        <v>2.8000000000000001E-2</v>
      </c>
      <c r="V240" s="53">
        <f>Português!V240</f>
        <v>-7.2999999999999995E-2</v>
      </c>
      <c r="W240" s="53">
        <f>Português!W240</f>
        <v>-1.2790000000000004</v>
      </c>
      <c r="X240" s="53">
        <f>Português!X240</f>
        <v>0</v>
      </c>
      <c r="Y240" s="53">
        <f>Português!Y240</f>
        <v>-112.21899999999999</v>
      </c>
      <c r="Z240" s="53">
        <f>Português!Z240</f>
        <v>114.72499999999999</v>
      </c>
      <c r="AA240" s="53">
        <f>Português!AA240</f>
        <v>8.7569999999999997</v>
      </c>
      <c r="AB240" s="53">
        <f>Português!AB240</f>
        <v>-9.3550000000000004</v>
      </c>
      <c r="AC240" s="53">
        <f>Português!AC240</f>
        <v>0.14499999999999999</v>
      </c>
      <c r="AD240" s="53">
        <f>Português!AD240</f>
        <v>3.0000000000000001E-3</v>
      </c>
      <c r="AE240" s="53">
        <f>Português!AE240</f>
        <v>2.4000000000000909E-2</v>
      </c>
      <c r="AF240" s="53">
        <f>Português!AF240</f>
        <v>2.4E-2</v>
      </c>
      <c r="AG240" s="53">
        <f>Português!AG240</f>
        <v>-3.8540000000000001</v>
      </c>
      <c r="AH240" s="53">
        <f>Português!AH240</f>
        <v>3.8559999999999999</v>
      </c>
      <c r="AI240" s="53">
        <f>Português!AI240</f>
        <v>-4.3999999999999595E-2</v>
      </c>
      <c r="AJ240" s="53">
        <f>Português!AJ240</f>
        <v>0.27100000000000002</v>
      </c>
      <c r="AK240" s="53">
        <f>Português!AK240</f>
        <v>-6.0000000000000026E-2</v>
      </c>
      <c r="AL240" s="53">
        <f>Português!AL240</f>
        <v>-4.3999999999999984E-2</v>
      </c>
      <c r="AM240" s="53">
        <f>Português!AM240</f>
        <v>6.6000000000000003E-2</v>
      </c>
      <c r="AN240" s="53">
        <f>Português!AN240</f>
        <v>-3.5999999999999997E-2</v>
      </c>
      <c r="AO240" s="53">
        <f>Português!AO240</f>
        <v>-6.0000000000000053E-3</v>
      </c>
      <c r="AP240" s="53">
        <f>Português!AP240</f>
        <v>1.262</v>
      </c>
      <c r="AQ240" s="53">
        <f>Português!AQ240</f>
        <v>-1.22</v>
      </c>
      <c r="AR240" s="53">
        <f>Português!AR240</f>
        <v>0</v>
      </c>
      <c r="AS240" s="19"/>
      <c r="AT240" s="53">
        <f t="shared" ref="AT240:AT250" si="157">SUM(H240:K240)</f>
        <v>-6.4869999999999992</v>
      </c>
      <c r="AU240" s="53">
        <f t="shared" ref="AU240:AU250" si="158">SUM(L240:O240)</f>
        <v>5.8449999999999998</v>
      </c>
      <c r="AV240" s="53">
        <f t="shared" ref="AV240:AV250" si="159">SUM(P240:S240)</f>
        <v>-43.414999999999999</v>
      </c>
      <c r="AW240" s="53">
        <f t="shared" ref="AW240:AW250" si="160">SUM(T240:W240)</f>
        <v>3.3819999999999992</v>
      </c>
      <c r="AX240" s="53">
        <f t="shared" ref="AX240:AX250" si="161">SUM(X240:AA240)</f>
        <v>11.263</v>
      </c>
      <c r="AY240" s="53">
        <f t="shared" ref="AY240:AY250" si="162">SUM(AB240:AE240)</f>
        <v>-9.1829999999999998</v>
      </c>
      <c r="AZ240" s="53">
        <f t="shared" ref="AZ240:AZ250" si="163">SUM(AF240:AI240)</f>
        <v>-1.7999999999999794E-2</v>
      </c>
      <c r="BA240" s="53">
        <f>SUM(AJ240:AM240)</f>
        <v>0.23300000000000001</v>
      </c>
      <c r="BB240" s="53">
        <f t="shared" si="122"/>
        <v>0</v>
      </c>
      <c r="BC240" s="37"/>
    </row>
    <row r="241" spans="1:55" outlineLevel="1">
      <c r="B241" s="87" t="s">
        <v>579</v>
      </c>
      <c r="C241" s="115" t="s">
        <v>390</v>
      </c>
      <c r="D241" s="5"/>
      <c r="E241" s="5"/>
      <c r="F241" s="5"/>
      <c r="G241" s="5"/>
      <c r="H241" s="53">
        <f>Português!H241</f>
        <v>-25.995000000000001</v>
      </c>
      <c r="I241" s="53">
        <f>Português!I241</f>
        <v>-33.036999999999992</v>
      </c>
      <c r="J241" s="53">
        <f>Português!J241</f>
        <v>-28.799000000000007</v>
      </c>
      <c r="K241" s="53">
        <f>Português!K241</f>
        <v>-29.349000000000004</v>
      </c>
      <c r="L241" s="53">
        <f>Português!L241</f>
        <v>-48.957999999999998</v>
      </c>
      <c r="M241" s="53">
        <f>Português!M241</f>
        <v>-36.5</v>
      </c>
      <c r="N241" s="53">
        <f>Português!N241</f>
        <v>-44.182999999999993</v>
      </c>
      <c r="O241" s="53">
        <f>Português!O241</f>
        <v>-31.182000000000016</v>
      </c>
      <c r="P241" s="53">
        <f>Português!P241</f>
        <v>-51.82</v>
      </c>
      <c r="Q241" s="53">
        <f>Português!Q241</f>
        <v>-48.079000000000001</v>
      </c>
      <c r="R241" s="53">
        <f>Português!R241</f>
        <v>-53.643000000000008</v>
      </c>
      <c r="S241" s="53">
        <f>Português!S241</f>
        <v>-45.396999999999991</v>
      </c>
      <c r="T241" s="53">
        <f>Português!T241</f>
        <v>-40.972000000000001</v>
      </c>
      <c r="U241" s="53">
        <f>Português!U241</f>
        <v>-85.841000000000008</v>
      </c>
      <c r="V241" s="53">
        <f>Português!V241</f>
        <v>-114.12699999999998</v>
      </c>
      <c r="W241" s="53">
        <f>Português!W241</f>
        <v>7.3369999999999891</v>
      </c>
      <c r="X241" s="53">
        <f>Português!X241</f>
        <v>-109.366</v>
      </c>
      <c r="Y241" s="53">
        <f>Português!Y241</f>
        <v>-103.89399999999999</v>
      </c>
      <c r="Z241" s="53">
        <f>Português!Z241</f>
        <v>-91.7</v>
      </c>
      <c r="AA241" s="53">
        <f>Português!AA241</f>
        <v>-282.83700000000005</v>
      </c>
      <c r="AB241" s="53">
        <f>Português!AB241</f>
        <v>-117.884</v>
      </c>
      <c r="AC241" s="53">
        <f>Português!AC241</f>
        <v>-129.583</v>
      </c>
      <c r="AD241" s="53">
        <f>Português!AD241</f>
        <v>-120.768</v>
      </c>
      <c r="AE241" s="53">
        <f>Português!AE241</f>
        <v>-155.48299999999995</v>
      </c>
      <c r="AF241" s="53">
        <f>Português!AF241</f>
        <v>-85.820999999999998</v>
      </c>
      <c r="AG241" s="53">
        <f>Português!AG241</f>
        <v>-60.186000000000007</v>
      </c>
      <c r="AH241" s="53">
        <f>Português!AH241</f>
        <v>-52.923000000000002</v>
      </c>
      <c r="AI241" s="53">
        <f>Português!AI241</f>
        <v>30.664000000000016</v>
      </c>
      <c r="AJ241" s="53">
        <f>Português!AJ241</f>
        <v>-41.055999999999997</v>
      </c>
      <c r="AK241" s="53">
        <f>Português!AK241</f>
        <v>-46.388999999999996</v>
      </c>
      <c r="AL241" s="53">
        <f>Português!AL241</f>
        <v>-91.885999999999981</v>
      </c>
      <c r="AM241" s="53">
        <f>Português!AM241</f>
        <v>-334.14600000000002</v>
      </c>
      <c r="AN241" s="53">
        <f>Português!AN241</f>
        <v>-101.818</v>
      </c>
      <c r="AO241" s="53">
        <f>Português!AO241</f>
        <v>-130.90500000000003</v>
      </c>
      <c r="AP241" s="53">
        <f>Português!AP241</f>
        <v>-182.58600000000001</v>
      </c>
      <c r="AQ241" s="53">
        <f>Português!AQ241</f>
        <v>-327.57699999999994</v>
      </c>
      <c r="AR241" s="53">
        <f>Português!AR241</f>
        <v>-122.268</v>
      </c>
      <c r="AS241" s="19"/>
      <c r="AT241" s="53">
        <f t="shared" si="157"/>
        <v>-117.18</v>
      </c>
      <c r="AU241" s="53">
        <f t="shared" si="158"/>
        <v>-160.82300000000001</v>
      </c>
      <c r="AV241" s="53">
        <f t="shared" si="159"/>
        <v>-198.93899999999999</v>
      </c>
      <c r="AW241" s="53">
        <f t="shared" si="160"/>
        <v>-233.60300000000001</v>
      </c>
      <c r="AX241" s="53">
        <f t="shared" si="161"/>
        <v>-587.79700000000003</v>
      </c>
      <c r="AY241" s="53">
        <f t="shared" si="162"/>
        <v>-523.71799999999996</v>
      </c>
      <c r="AZ241" s="53">
        <f t="shared" si="163"/>
        <v>-168.26599999999999</v>
      </c>
      <c r="BA241" s="53">
        <f t="shared" ref="BA241:BA250" si="164">SUM(AJ241:AM241)</f>
        <v>-513.47699999999998</v>
      </c>
      <c r="BB241" s="53">
        <f t="shared" si="122"/>
        <v>-742.88599999999997</v>
      </c>
      <c r="BC241" s="37"/>
    </row>
    <row r="242" spans="1:55" outlineLevel="1">
      <c r="B242" s="87" t="s">
        <v>580</v>
      </c>
      <c r="C242" s="115" t="s">
        <v>390</v>
      </c>
      <c r="D242" s="5"/>
      <c r="E242" s="5"/>
      <c r="F242" s="5"/>
      <c r="G242" s="5"/>
      <c r="H242" s="53">
        <f>Português!H242</f>
        <v>-3.0569999999999999</v>
      </c>
      <c r="I242" s="53">
        <f>Português!I242</f>
        <v>-2.4730000000000003</v>
      </c>
      <c r="J242" s="53">
        <f>Português!J242</f>
        <v>-20.290000000000003</v>
      </c>
      <c r="K242" s="53">
        <f>Português!K242</f>
        <v>13.351000000000004</v>
      </c>
      <c r="L242" s="53">
        <f>Português!L242</f>
        <v>-3.706</v>
      </c>
      <c r="M242" s="53">
        <f>Português!M242</f>
        <v>-10.6</v>
      </c>
      <c r="N242" s="53">
        <f>Português!N242</f>
        <v>-11.679</v>
      </c>
      <c r="O242" s="53">
        <f>Português!O242</f>
        <v>-19.741</v>
      </c>
      <c r="P242" s="53">
        <f>Português!P242</f>
        <v>-24.306000000000001</v>
      </c>
      <c r="Q242" s="53">
        <f>Português!Q242</f>
        <v>6.0890000000000022</v>
      </c>
      <c r="R242" s="53">
        <f>Português!R242</f>
        <v>-28.993000000000002</v>
      </c>
      <c r="S242" s="53">
        <f>Português!S242</f>
        <v>-27.615000000000002</v>
      </c>
      <c r="T242" s="53">
        <f>Português!T242</f>
        <v>-33.283000000000001</v>
      </c>
      <c r="U242" s="53">
        <f>Português!U242</f>
        <v>-6.5450000000000017</v>
      </c>
      <c r="V242" s="53">
        <f>Português!V242</f>
        <v>-8.7370000000000001</v>
      </c>
      <c r="W242" s="53">
        <f>Português!W242</f>
        <v>-83.825999999999993</v>
      </c>
      <c r="X242" s="53">
        <f>Português!X242</f>
        <v>-25.076000000000001</v>
      </c>
      <c r="Y242" s="53">
        <f>Português!Y242</f>
        <v>-11.628</v>
      </c>
      <c r="Z242" s="53">
        <f>Português!Z242</f>
        <v>-52.143999999999998</v>
      </c>
      <c r="AA242" s="53">
        <f>Português!AA242</f>
        <v>-31.430999999999997</v>
      </c>
      <c r="AB242" s="53">
        <f>Português!AB242</f>
        <v>-36.529000000000003</v>
      </c>
      <c r="AC242" s="53">
        <f>Português!AC242</f>
        <v>-38.125</v>
      </c>
      <c r="AD242" s="53">
        <f>Português!AD242</f>
        <v>-56.932000000000002</v>
      </c>
      <c r="AE242" s="53">
        <f>Português!AE242</f>
        <v>-80.686999999999983</v>
      </c>
      <c r="AF242" s="53">
        <f>Português!AF242</f>
        <v>-30.800999999999998</v>
      </c>
      <c r="AG242" s="53">
        <f>Português!AG242</f>
        <v>-61.649999999999991</v>
      </c>
      <c r="AH242" s="53">
        <f>Português!AH242</f>
        <v>-48.754000000000019</v>
      </c>
      <c r="AI242" s="53">
        <f>Português!AI242</f>
        <v>-102.61500000000001</v>
      </c>
      <c r="AJ242" s="53">
        <f>Português!AJ242</f>
        <v>-63.759</v>
      </c>
      <c r="AK242" s="53">
        <f>Português!AK242</f>
        <v>-138.69600000000003</v>
      </c>
      <c r="AL242" s="53">
        <f>Português!AL242</f>
        <v>-88.843999999999937</v>
      </c>
      <c r="AM242" s="53">
        <f>Português!AM242</f>
        <v>-1.5380000000000109</v>
      </c>
      <c r="AN242" s="53">
        <f>Português!AN242</f>
        <v>-96.828999999999994</v>
      </c>
      <c r="AO242" s="53">
        <f>Português!AO242</f>
        <v>-66.567999999999998</v>
      </c>
      <c r="AP242" s="53">
        <f>Português!AP242</f>
        <v>-42.64500000000001</v>
      </c>
      <c r="AQ242" s="53">
        <f>Português!AQ242</f>
        <v>-91.472999999999985</v>
      </c>
      <c r="AR242" s="53">
        <f>Português!AR242</f>
        <v>-68.382999999999996</v>
      </c>
      <c r="AS242" s="19"/>
      <c r="AT242" s="53">
        <f t="shared" si="157"/>
        <v>-12.468999999999999</v>
      </c>
      <c r="AU242" s="53">
        <f t="shared" si="158"/>
        <v>-45.725999999999999</v>
      </c>
      <c r="AV242" s="53">
        <f t="shared" si="159"/>
        <v>-74.825000000000003</v>
      </c>
      <c r="AW242" s="53">
        <f t="shared" si="160"/>
        <v>-132.39099999999999</v>
      </c>
      <c r="AX242" s="53">
        <f t="shared" si="161"/>
        <v>-120.279</v>
      </c>
      <c r="AY242" s="53">
        <f t="shared" si="162"/>
        <v>-212.273</v>
      </c>
      <c r="AZ242" s="53">
        <f t="shared" si="163"/>
        <v>-243.82000000000002</v>
      </c>
      <c r="BA242" s="53">
        <f t="shared" si="164"/>
        <v>-292.83699999999999</v>
      </c>
      <c r="BB242" s="53">
        <f t="shared" si="122"/>
        <v>-297.51499999999999</v>
      </c>
      <c r="BC242" s="37"/>
    </row>
    <row r="243" spans="1:55" outlineLevel="1">
      <c r="B243" s="87" t="s">
        <v>581</v>
      </c>
      <c r="C243" s="115" t="s">
        <v>390</v>
      </c>
      <c r="D243" s="5"/>
      <c r="E243" s="5"/>
      <c r="F243" s="5"/>
      <c r="G243" s="5"/>
      <c r="H243" s="53">
        <f>Português!H243</f>
        <v>0</v>
      </c>
      <c r="I243" s="53">
        <f>Português!I243</f>
        <v>0</v>
      </c>
      <c r="J243" s="53">
        <f>Português!J243</f>
        <v>0</v>
      </c>
      <c r="K243" s="53">
        <f>Português!K243</f>
        <v>0</v>
      </c>
      <c r="L243" s="53">
        <f>Português!L243</f>
        <v>0</v>
      </c>
      <c r="M243" s="53">
        <f>Português!M243</f>
        <v>0</v>
      </c>
      <c r="N243" s="53">
        <f>Português!N243</f>
        <v>0</v>
      </c>
      <c r="O243" s="53">
        <f>Português!O243</f>
        <v>0</v>
      </c>
      <c r="P243" s="53">
        <f>Português!P243</f>
        <v>0</v>
      </c>
      <c r="Q243" s="53">
        <f>Português!Q243</f>
        <v>0</v>
      </c>
      <c r="R243" s="53">
        <f>Português!R243</f>
        <v>0</v>
      </c>
      <c r="S243" s="53">
        <f>Português!S243</f>
        <v>0</v>
      </c>
      <c r="T243" s="53">
        <f>Português!T243</f>
        <v>0</v>
      </c>
      <c r="U243" s="53">
        <f>Português!U243</f>
        <v>0</v>
      </c>
      <c r="V243" s="53">
        <f>Português!V243</f>
        <v>0</v>
      </c>
      <c r="W243" s="53">
        <f>Português!W243</f>
        <v>0</v>
      </c>
      <c r="X243" s="53">
        <f>Português!X243</f>
        <v>0</v>
      </c>
      <c r="Y243" s="53">
        <f>Português!Y243</f>
        <v>0</v>
      </c>
      <c r="Z243" s="53">
        <f>Português!Z243</f>
        <v>0</v>
      </c>
      <c r="AA243" s="53">
        <f>Português!AA243</f>
        <v>0</v>
      </c>
      <c r="AB243" s="53">
        <f>Português!AB243</f>
        <v>0</v>
      </c>
      <c r="AC243" s="53">
        <f>Português!AC243</f>
        <v>0</v>
      </c>
      <c r="AD243" s="53">
        <f>Português!AD243</f>
        <v>0</v>
      </c>
      <c r="AE243" s="53">
        <f>Português!AE243</f>
        <v>0</v>
      </c>
      <c r="AF243" s="53">
        <f>Português!AF243</f>
        <v>0</v>
      </c>
      <c r="AG243" s="53">
        <f>Português!AG243</f>
        <v>0</v>
      </c>
      <c r="AH243" s="53">
        <f>Português!AH243</f>
        <v>0</v>
      </c>
      <c r="AI243" s="53">
        <f>Português!AI243</f>
        <v>0</v>
      </c>
      <c r="AJ243" s="53">
        <f>Português!AJ243</f>
        <v>0</v>
      </c>
      <c r="AK243" s="53">
        <f>Português!AK243</f>
        <v>0</v>
      </c>
      <c r="AL243" s="53">
        <f>Português!AL243</f>
        <v>0</v>
      </c>
      <c r="AM243" s="53">
        <f>Português!AM243</f>
        <v>0</v>
      </c>
      <c r="AN243" s="53">
        <f>Português!AN243</f>
        <v>0</v>
      </c>
      <c r="AO243" s="53">
        <f>Português!AO243</f>
        <v>0</v>
      </c>
      <c r="AP243" s="53">
        <f>Português!AP243</f>
        <v>0</v>
      </c>
      <c r="AQ243" s="53">
        <f>Português!AQ243</f>
        <v>0</v>
      </c>
      <c r="AR243" s="53">
        <f>Português!AR243</f>
        <v>0</v>
      </c>
      <c r="AS243" s="19"/>
      <c r="AT243" s="53">
        <f t="shared" si="157"/>
        <v>0</v>
      </c>
      <c r="AU243" s="53">
        <f t="shared" si="158"/>
        <v>0</v>
      </c>
      <c r="AV243" s="53">
        <f t="shared" si="159"/>
        <v>0</v>
      </c>
      <c r="AW243" s="53">
        <f t="shared" si="160"/>
        <v>0</v>
      </c>
      <c r="AX243" s="53">
        <f t="shared" si="161"/>
        <v>0</v>
      </c>
      <c r="AY243" s="53">
        <f t="shared" si="162"/>
        <v>0</v>
      </c>
      <c r="AZ243" s="53">
        <f t="shared" si="163"/>
        <v>0</v>
      </c>
      <c r="BA243" s="53">
        <f t="shared" si="164"/>
        <v>0</v>
      </c>
      <c r="BB243" s="53">
        <f t="shared" si="122"/>
        <v>0</v>
      </c>
      <c r="BC243" s="37"/>
    </row>
    <row r="244" spans="1:55" outlineLevel="1">
      <c r="B244" s="87" t="s">
        <v>582</v>
      </c>
      <c r="C244" s="115" t="s">
        <v>390</v>
      </c>
      <c r="D244" s="5"/>
      <c r="E244" s="5"/>
      <c r="F244" s="5"/>
      <c r="G244" s="5"/>
      <c r="H244" s="53">
        <f>Português!H244</f>
        <v>0</v>
      </c>
      <c r="I244" s="53">
        <f>Português!I244</f>
        <v>2.7E-2</v>
      </c>
      <c r="J244" s="53">
        <f>Português!J244</f>
        <v>0</v>
      </c>
      <c r="K244" s="53">
        <f>Português!K244</f>
        <v>-13.545999999999999</v>
      </c>
      <c r="L244" s="53">
        <f>Português!L244</f>
        <v>0</v>
      </c>
      <c r="M244" s="53">
        <f>Português!M244</f>
        <v>0</v>
      </c>
      <c r="N244" s="53">
        <f>Português!N244</f>
        <v>0</v>
      </c>
      <c r="O244" s="53">
        <f>Português!O244</f>
        <v>0</v>
      </c>
      <c r="P244" s="53">
        <f>Português!P244</f>
        <v>0</v>
      </c>
      <c r="Q244" s="53">
        <f>Português!Q244</f>
        <v>-215.381</v>
      </c>
      <c r="R244" s="53">
        <f>Português!R244</f>
        <v>-17.188999999999993</v>
      </c>
      <c r="S244" s="53">
        <f>Português!S244</f>
        <v>-4837.7950000000001</v>
      </c>
      <c r="T244" s="53">
        <f>Português!T244</f>
        <v>-46.728999999999999</v>
      </c>
      <c r="U244" s="53">
        <f>Português!U244</f>
        <v>-47.617999999999995</v>
      </c>
      <c r="V244" s="53">
        <f>Português!V244</f>
        <v>56.451999999999998</v>
      </c>
      <c r="W244" s="53">
        <f>Português!W244</f>
        <v>-562.20299999999997</v>
      </c>
      <c r="X244" s="53">
        <f>Português!X244</f>
        <v>0</v>
      </c>
      <c r="Y244" s="53">
        <f>Português!Y244</f>
        <v>-155.626</v>
      </c>
      <c r="Z244" s="53">
        <f>Português!Z244</f>
        <v>-51.466000000000008</v>
      </c>
      <c r="AA244" s="53">
        <f>Português!AA244</f>
        <v>-165.98299999999998</v>
      </c>
      <c r="AB244" s="53">
        <f>Português!AB244</f>
        <v>-3136.3969999999999</v>
      </c>
      <c r="AC244" s="53">
        <f>Português!AC244</f>
        <v>-242.91300000000001</v>
      </c>
      <c r="AD244" s="53">
        <f>Português!AD244</f>
        <v>-100.974</v>
      </c>
      <c r="AE244" s="53">
        <f>Português!AE244</f>
        <v>266.30500000000029</v>
      </c>
      <c r="AF244" s="53">
        <f>Português!AF244</f>
        <v>-630.64099999999996</v>
      </c>
      <c r="AG244" s="53">
        <f>Português!AG244</f>
        <v>0</v>
      </c>
      <c r="AH244" s="53">
        <f>Português!AH244</f>
        <v>0</v>
      </c>
      <c r="AI244" s="53">
        <f>Português!AI244</f>
        <v>0</v>
      </c>
      <c r="AJ244" s="53">
        <f>Português!AJ244</f>
        <v>0</v>
      </c>
      <c r="AK244" s="53">
        <f>Português!AK244</f>
        <v>0</v>
      </c>
      <c r="AL244" s="53">
        <f>Português!AL244</f>
        <v>0</v>
      </c>
      <c r="AM244" s="53">
        <f>Português!AM244</f>
        <v>0</v>
      </c>
      <c r="AN244" s="53">
        <f>Português!AN244</f>
        <v>0</v>
      </c>
      <c r="AO244" s="53">
        <f>Português!AO244</f>
        <v>0</v>
      </c>
      <c r="AP244" s="53">
        <f>Português!AP244</f>
        <v>0</v>
      </c>
      <c r="AQ244" s="53">
        <f>Português!AQ244</f>
        <v>0</v>
      </c>
      <c r="AR244" s="53">
        <f>Português!AR244</f>
        <v>-2.4380000000000002</v>
      </c>
      <c r="AS244" s="19"/>
      <c r="AT244" s="53">
        <f t="shared" si="157"/>
        <v>-13.519</v>
      </c>
      <c r="AU244" s="53">
        <f t="shared" si="158"/>
        <v>0</v>
      </c>
      <c r="AV244" s="53">
        <f t="shared" si="159"/>
        <v>-5070.3649999999998</v>
      </c>
      <c r="AW244" s="53">
        <f t="shared" si="160"/>
        <v>-600.09799999999996</v>
      </c>
      <c r="AX244" s="53">
        <f t="shared" si="161"/>
        <v>-373.07499999999999</v>
      </c>
      <c r="AY244" s="53">
        <f t="shared" si="162"/>
        <v>-3213.9789999999998</v>
      </c>
      <c r="AZ244" s="53">
        <f t="shared" si="163"/>
        <v>-630.64099999999996</v>
      </c>
      <c r="BA244" s="53">
        <f t="shared" si="164"/>
        <v>0</v>
      </c>
      <c r="BB244" s="53">
        <f t="shared" si="122"/>
        <v>0</v>
      </c>
      <c r="BC244" s="37"/>
    </row>
    <row r="245" spans="1:55" outlineLevel="1">
      <c r="B245" s="87" t="s">
        <v>583</v>
      </c>
      <c r="C245" s="115" t="s">
        <v>390</v>
      </c>
      <c r="D245" s="5"/>
      <c r="E245" s="5"/>
      <c r="F245" s="5"/>
      <c r="G245" s="5"/>
      <c r="H245" s="53">
        <f>Português!H245</f>
        <v>0</v>
      </c>
      <c r="I245" s="53">
        <f>Português!I245</f>
        <v>0</v>
      </c>
      <c r="J245" s="53">
        <f>Português!J245</f>
        <v>0</v>
      </c>
      <c r="K245" s="53">
        <f>Português!K245</f>
        <v>0</v>
      </c>
      <c r="L245" s="53">
        <f>Português!L245</f>
        <v>0</v>
      </c>
      <c r="M245" s="53">
        <f>Português!M245</f>
        <v>0</v>
      </c>
      <c r="N245" s="53">
        <f>Português!N245</f>
        <v>0</v>
      </c>
      <c r="O245" s="53">
        <f>Português!O245</f>
        <v>0</v>
      </c>
      <c r="P245" s="53">
        <f>Português!P245</f>
        <v>0</v>
      </c>
      <c r="Q245" s="53">
        <f>Português!Q245</f>
        <v>0</v>
      </c>
      <c r="R245" s="53">
        <f>Português!R245</f>
        <v>0</v>
      </c>
      <c r="S245" s="53">
        <f>Português!S245</f>
        <v>0</v>
      </c>
      <c r="T245" s="53">
        <f>Português!T245</f>
        <v>0</v>
      </c>
      <c r="U245" s="53">
        <f>Português!U245</f>
        <v>0</v>
      </c>
      <c r="V245" s="53">
        <f>Português!V245</f>
        <v>0</v>
      </c>
      <c r="W245" s="53">
        <f>Português!W245</f>
        <v>0</v>
      </c>
      <c r="X245" s="53">
        <f>Português!X245</f>
        <v>0</v>
      </c>
      <c r="Y245" s="53">
        <f>Português!Y245</f>
        <v>0</v>
      </c>
      <c r="Z245" s="53">
        <f>Português!Z245</f>
        <v>0</v>
      </c>
      <c r="AA245" s="53">
        <f>Português!AA245</f>
        <v>0</v>
      </c>
      <c r="AB245" s="53">
        <f>Português!AB245</f>
        <v>0</v>
      </c>
      <c r="AC245" s="53">
        <f>Português!AC245</f>
        <v>0</v>
      </c>
      <c r="AD245" s="53">
        <f>Português!AD245</f>
        <v>0</v>
      </c>
      <c r="AE245" s="53">
        <f>Português!AE245</f>
        <v>0</v>
      </c>
      <c r="AF245" s="53">
        <f>Português!AF245</f>
        <v>0</v>
      </c>
      <c r="AG245" s="53">
        <f>Português!AG245</f>
        <v>0</v>
      </c>
      <c r="AH245" s="53">
        <f>Português!AH245</f>
        <v>0</v>
      </c>
      <c r="AI245" s="53">
        <f>Português!AI245</f>
        <v>0</v>
      </c>
      <c r="AJ245" s="53">
        <f>Português!AJ245</f>
        <v>0</v>
      </c>
      <c r="AK245" s="53">
        <f>Português!AK245</f>
        <v>0</v>
      </c>
      <c r="AL245" s="53">
        <f>Português!AL245</f>
        <v>0</v>
      </c>
      <c r="AM245" s="53">
        <f>Português!AM245</f>
        <v>0</v>
      </c>
      <c r="AN245" s="53">
        <f>Português!AN245</f>
        <v>0</v>
      </c>
      <c r="AO245" s="53">
        <f>Português!AO245</f>
        <v>0</v>
      </c>
      <c r="AP245" s="53">
        <f>Português!AP245</f>
        <v>0</v>
      </c>
      <c r="AQ245" s="53">
        <f>Português!AQ245</f>
        <v>0</v>
      </c>
      <c r="AR245" s="53">
        <f>Português!AR245</f>
        <v>0</v>
      </c>
      <c r="AS245" s="19"/>
      <c r="AT245" s="53">
        <f t="shared" si="157"/>
        <v>0</v>
      </c>
      <c r="AU245" s="53">
        <f t="shared" si="158"/>
        <v>0</v>
      </c>
      <c r="AV245" s="53">
        <f t="shared" si="159"/>
        <v>0</v>
      </c>
      <c r="AW245" s="53">
        <f t="shared" si="160"/>
        <v>0</v>
      </c>
      <c r="AX245" s="53">
        <f t="shared" si="161"/>
        <v>0</v>
      </c>
      <c r="AY245" s="53">
        <f t="shared" si="162"/>
        <v>0</v>
      </c>
      <c r="AZ245" s="53">
        <f t="shared" si="163"/>
        <v>0</v>
      </c>
      <c r="BA245" s="53">
        <f t="shared" si="164"/>
        <v>0</v>
      </c>
      <c r="BB245" s="53">
        <f t="shared" si="122"/>
        <v>0</v>
      </c>
      <c r="BC245" s="37"/>
    </row>
    <row r="246" spans="1:55" outlineLevel="1">
      <c r="B246" s="87" t="s">
        <v>584</v>
      </c>
      <c r="C246" s="115" t="s">
        <v>390</v>
      </c>
      <c r="D246" s="5"/>
      <c r="E246" s="5"/>
      <c r="F246" s="5"/>
      <c r="G246" s="5"/>
      <c r="H246" s="53">
        <f>Português!H246</f>
        <v>0</v>
      </c>
      <c r="I246" s="53">
        <f>Português!I246</f>
        <v>0</v>
      </c>
      <c r="J246" s="53">
        <f>Português!J246</f>
        <v>0</v>
      </c>
      <c r="K246" s="53">
        <f>Português!K246</f>
        <v>0</v>
      </c>
      <c r="L246" s="53">
        <f>Português!L246</f>
        <v>0</v>
      </c>
      <c r="M246" s="53">
        <f>Português!M246</f>
        <v>0</v>
      </c>
      <c r="N246" s="53">
        <f>Português!N246</f>
        <v>0</v>
      </c>
      <c r="O246" s="53">
        <f>Português!O246</f>
        <v>0</v>
      </c>
      <c r="P246" s="53">
        <f>Português!P246</f>
        <v>0</v>
      </c>
      <c r="Q246" s="53">
        <f>Português!Q246</f>
        <v>0</v>
      </c>
      <c r="R246" s="53">
        <f>Português!R246</f>
        <v>0.90200000000000002</v>
      </c>
      <c r="S246" s="53">
        <f>Português!S246</f>
        <v>7.0149999999999997</v>
      </c>
      <c r="T246" s="53">
        <f>Português!T246</f>
        <v>5.2119999999999997</v>
      </c>
      <c r="U246" s="53">
        <f>Português!U246</f>
        <v>0</v>
      </c>
      <c r="V246" s="53">
        <f>Português!V246</f>
        <v>0</v>
      </c>
      <c r="W246" s="53">
        <f>Português!W246</f>
        <v>3.9489999999999998</v>
      </c>
      <c r="X246" s="53">
        <f>Português!X246</f>
        <v>0</v>
      </c>
      <c r="Y246" s="53">
        <f>Português!Y246</f>
        <v>2.8969999999999998</v>
      </c>
      <c r="Z246" s="53">
        <f>Português!Z246</f>
        <v>3.780004660000515</v>
      </c>
      <c r="AA246" s="53">
        <f>Português!AA246</f>
        <v>4.4578361114794678</v>
      </c>
      <c r="AB246" s="53">
        <f>Português!AB246</f>
        <v>201.96100000000001</v>
      </c>
      <c r="AC246" s="53">
        <f>Português!AC246</f>
        <v>1.1299999999999999</v>
      </c>
      <c r="AD246" s="53">
        <f>Português!AD246</f>
        <v>-4.0000000000000001E-3</v>
      </c>
      <c r="AE246" s="53">
        <f>Português!AE246</f>
        <v>-0.13100000000002865</v>
      </c>
      <c r="AF246" s="53">
        <f>Português!AF246</f>
        <v>3.194</v>
      </c>
      <c r="AG246" s="53">
        <f>Português!AG246</f>
        <v>0</v>
      </c>
      <c r="AH246" s="53">
        <f>Português!AH246</f>
        <v>0</v>
      </c>
      <c r="AI246" s="53">
        <f>Português!AI246</f>
        <v>0</v>
      </c>
      <c r="AJ246" s="53">
        <f>Português!AJ246</f>
        <v>0</v>
      </c>
      <c r="AK246" s="53">
        <f>Português!AK246</f>
        <v>0</v>
      </c>
      <c r="AL246" s="53">
        <f>Português!AL246</f>
        <v>0</v>
      </c>
      <c r="AM246" s="53">
        <f>Português!AM246</f>
        <v>0</v>
      </c>
      <c r="AN246" s="53">
        <f>Português!AN246</f>
        <v>0</v>
      </c>
      <c r="AO246" s="53">
        <f>Português!AO246</f>
        <v>0</v>
      </c>
      <c r="AP246" s="53">
        <f>Português!AP246</f>
        <v>0</v>
      </c>
      <c r="AQ246" s="53">
        <f>Português!AQ246</f>
        <v>0</v>
      </c>
      <c r="AR246" s="53">
        <f>Português!AR246</f>
        <v>1E-3</v>
      </c>
      <c r="AS246" s="19"/>
      <c r="AT246" s="53">
        <f t="shared" si="157"/>
        <v>0</v>
      </c>
      <c r="AU246" s="53">
        <f t="shared" si="158"/>
        <v>0</v>
      </c>
      <c r="AV246" s="53">
        <f t="shared" si="159"/>
        <v>7.9169999999999998</v>
      </c>
      <c r="AW246" s="53">
        <f t="shared" si="160"/>
        <v>9.1609999999999996</v>
      </c>
      <c r="AX246" s="53">
        <f t="shared" si="161"/>
        <v>11.134840771479983</v>
      </c>
      <c r="AY246" s="53">
        <f t="shared" si="162"/>
        <v>202.95599999999999</v>
      </c>
      <c r="AZ246" s="53">
        <f t="shared" si="163"/>
        <v>3.194</v>
      </c>
      <c r="BA246" s="53">
        <f t="shared" si="164"/>
        <v>0</v>
      </c>
      <c r="BB246" s="53">
        <f t="shared" si="122"/>
        <v>0</v>
      </c>
      <c r="BC246" s="37"/>
    </row>
    <row r="247" spans="1:55" outlineLevel="1">
      <c r="B247" s="87" t="s">
        <v>585</v>
      </c>
      <c r="C247" s="115" t="s">
        <v>390</v>
      </c>
      <c r="D247" s="5"/>
      <c r="E247" s="5"/>
      <c r="F247" s="5"/>
      <c r="G247" s="5"/>
      <c r="H247" s="53">
        <f>Português!H247</f>
        <v>0</v>
      </c>
      <c r="I247" s="53">
        <f>Português!I247</f>
        <v>0</v>
      </c>
      <c r="J247" s="53">
        <f>Português!J247</f>
        <v>0</v>
      </c>
      <c r="K247" s="53">
        <f>Português!K247</f>
        <v>0</v>
      </c>
      <c r="L247" s="53">
        <f>Português!L247</f>
        <v>0</v>
      </c>
      <c r="M247" s="53">
        <f>Português!M247</f>
        <v>0</v>
      </c>
      <c r="N247" s="53">
        <f>Português!N247</f>
        <v>0</v>
      </c>
      <c r="O247" s="53">
        <f>Português!O247</f>
        <v>0</v>
      </c>
      <c r="P247" s="53">
        <f>Português!P247</f>
        <v>0</v>
      </c>
      <c r="Q247" s="53">
        <f>Português!Q247</f>
        <v>0</v>
      </c>
      <c r="R247" s="53">
        <f>Português!R247</f>
        <v>0</v>
      </c>
      <c r="S247" s="53">
        <f>Português!S247</f>
        <v>0</v>
      </c>
      <c r="T247" s="53">
        <f>Português!T247</f>
        <v>0</v>
      </c>
      <c r="U247" s="53">
        <f>Português!U247</f>
        <v>0</v>
      </c>
      <c r="V247" s="53">
        <f>Português!V247</f>
        <v>0</v>
      </c>
      <c r="W247" s="53">
        <f>Português!W247</f>
        <v>0</v>
      </c>
      <c r="X247" s="53">
        <f>Português!X247</f>
        <v>0</v>
      </c>
      <c r="Y247" s="53">
        <f>Português!Y247</f>
        <v>0</v>
      </c>
      <c r="Z247" s="53">
        <f>Português!Z247</f>
        <v>0</v>
      </c>
      <c r="AA247" s="53">
        <f>Português!AA247</f>
        <v>0</v>
      </c>
      <c r="AB247" s="53">
        <f>Português!AB247</f>
        <v>0</v>
      </c>
      <c r="AC247" s="53">
        <f>Português!AC247</f>
        <v>0</v>
      </c>
      <c r="AD247" s="53">
        <f>Português!AD247</f>
        <v>0</v>
      </c>
      <c r="AE247" s="53">
        <f>Português!AE247</f>
        <v>0</v>
      </c>
      <c r="AF247" s="53">
        <f>Português!AF247</f>
        <v>0</v>
      </c>
      <c r="AG247" s="53">
        <f>Português!AG247</f>
        <v>0</v>
      </c>
      <c r="AH247" s="53">
        <f>Português!AH247</f>
        <v>0</v>
      </c>
      <c r="AI247" s="53">
        <f>Português!AI247</f>
        <v>0</v>
      </c>
      <c r="AJ247" s="53">
        <f>Português!AJ247</f>
        <v>0</v>
      </c>
      <c r="AK247" s="53">
        <f>Português!AK247</f>
        <v>0</v>
      </c>
      <c r="AL247" s="53">
        <f>Português!AL247</f>
        <v>0</v>
      </c>
      <c r="AM247" s="53">
        <f>Português!AM247</f>
        <v>0</v>
      </c>
      <c r="AN247" s="53">
        <f>Português!AN247</f>
        <v>0</v>
      </c>
      <c r="AO247" s="53">
        <f>Português!AO247</f>
        <v>0</v>
      </c>
      <c r="AP247" s="53">
        <f>Português!AP247</f>
        <v>0</v>
      </c>
      <c r="AQ247" s="53">
        <f>Português!AQ247</f>
        <v>0</v>
      </c>
      <c r="AR247" s="53">
        <f>Português!AR247</f>
        <v>0</v>
      </c>
      <c r="AS247" s="19"/>
      <c r="AT247" s="53">
        <f t="shared" si="157"/>
        <v>0</v>
      </c>
      <c r="AU247" s="53">
        <f t="shared" si="158"/>
        <v>0</v>
      </c>
      <c r="AV247" s="53">
        <f t="shared" si="159"/>
        <v>0</v>
      </c>
      <c r="AW247" s="53">
        <f t="shared" si="160"/>
        <v>0</v>
      </c>
      <c r="AX247" s="53">
        <f t="shared" si="161"/>
        <v>0</v>
      </c>
      <c r="AY247" s="53">
        <f t="shared" si="162"/>
        <v>0</v>
      </c>
      <c r="AZ247" s="53">
        <f t="shared" si="163"/>
        <v>0</v>
      </c>
      <c r="BA247" s="53">
        <f t="shared" si="164"/>
        <v>0</v>
      </c>
      <c r="BB247" s="53">
        <f t="shared" si="122"/>
        <v>0</v>
      </c>
      <c r="BC247" s="37"/>
    </row>
    <row r="248" spans="1:55" outlineLevel="1">
      <c r="A248" s="1"/>
      <c r="B248" s="87" t="s">
        <v>586</v>
      </c>
      <c r="C248" s="115" t="s">
        <v>390</v>
      </c>
      <c r="D248" s="5"/>
      <c r="E248" s="5"/>
      <c r="F248" s="5"/>
      <c r="G248" s="5"/>
      <c r="H248" s="53">
        <f>Português!H248</f>
        <v>0</v>
      </c>
      <c r="I248" s="53">
        <f>Português!I248</f>
        <v>0</v>
      </c>
      <c r="J248" s="53">
        <f>Português!J248</f>
        <v>0</v>
      </c>
      <c r="K248" s="53">
        <f>Português!K248</f>
        <v>0</v>
      </c>
      <c r="L248" s="53">
        <f>Português!L248</f>
        <v>0</v>
      </c>
      <c r="M248" s="53">
        <f>Português!M248</f>
        <v>0</v>
      </c>
      <c r="N248" s="53">
        <f>Português!N248</f>
        <v>0</v>
      </c>
      <c r="O248" s="53">
        <f>Português!O248</f>
        <v>0</v>
      </c>
      <c r="P248" s="53">
        <f>Português!P248</f>
        <v>0</v>
      </c>
      <c r="Q248" s="53">
        <f>Português!Q248</f>
        <v>0</v>
      </c>
      <c r="R248" s="53">
        <f>Português!R248</f>
        <v>0</v>
      </c>
      <c r="S248" s="53">
        <f>Português!S248</f>
        <v>0</v>
      </c>
      <c r="T248" s="53">
        <f>Português!T248</f>
        <v>0</v>
      </c>
      <c r="U248" s="53">
        <f>Português!U248</f>
        <v>0</v>
      </c>
      <c r="V248" s="53">
        <f>Português!V248</f>
        <v>0</v>
      </c>
      <c r="W248" s="53">
        <f>Português!W248</f>
        <v>0</v>
      </c>
      <c r="X248" s="53">
        <f>Português!X248</f>
        <v>0</v>
      </c>
      <c r="Y248" s="53">
        <f>Português!Y248</f>
        <v>0</v>
      </c>
      <c r="Z248" s="53">
        <f>Português!Z248</f>
        <v>0</v>
      </c>
      <c r="AA248" s="53">
        <f>Português!AA248</f>
        <v>0</v>
      </c>
      <c r="AB248" s="53">
        <f>Português!AB248</f>
        <v>0</v>
      </c>
      <c r="AC248" s="53">
        <f>Português!AC248</f>
        <v>0</v>
      </c>
      <c r="AD248" s="53">
        <f>Português!AD248</f>
        <v>0</v>
      </c>
      <c r="AE248" s="53">
        <f>Português!AE248</f>
        <v>0</v>
      </c>
      <c r="AF248" s="53">
        <f>Português!AF248</f>
        <v>0</v>
      </c>
      <c r="AG248" s="53">
        <f>Português!AG248</f>
        <v>1250</v>
      </c>
      <c r="AH248" s="53">
        <f>Português!AH248</f>
        <v>0</v>
      </c>
      <c r="AI248" s="53">
        <f>Português!AI248</f>
        <v>0</v>
      </c>
      <c r="AJ248" s="53">
        <f>Português!AJ248</f>
        <v>0</v>
      </c>
      <c r="AK248" s="53">
        <f>Português!AK248</f>
        <v>0</v>
      </c>
      <c r="AL248" s="53">
        <f>Português!AL248</f>
        <v>0</v>
      </c>
      <c r="AM248" s="53">
        <f>Português!AM248</f>
        <v>0</v>
      </c>
      <c r="AN248" s="53">
        <f>Português!AN248</f>
        <v>0</v>
      </c>
      <c r="AO248" s="53">
        <f>Português!AO248</f>
        <v>0</v>
      </c>
      <c r="AP248" s="53">
        <f>Português!AP248</f>
        <v>0</v>
      </c>
      <c r="AQ248" s="53">
        <f>Português!AQ248</f>
        <v>0</v>
      </c>
      <c r="AR248" s="53">
        <f>Português!AR248</f>
        <v>0</v>
      </c>
      <c r="AS248" s="19"/>
      <c r="AT248" s="53">
        <f t="shared" si="157"/>
        <v>0</v>
      </c>
      <c r="AU248" s="53">
        <f t="shared" si="158"/>
        <v>0</v>
      </c>
      <c r="AV248" s="53">
        <f t="shared" si="159"/>
        <v>0</v>
      </c>
      <c r="AW248" s="53">
        <f t="shared" si="160"/>
        <v>0</v>
      </c>
      <c r="AX248" s="53">
        <f t="shared" si="161"/>
        <v>0</v>
      </c>
      <c r="AY248" s="53">
        <f t="shared" si="162"/>
        <v>0</v>
      </c>
      <c r="AZ248" s="53">
        <f t="shared" si="163"/>
        <v>1250</v>
      </c>
      <c r="BA248" s="53">
        <f t="shared" si="164"/>
        <v>0</v>
      </c>
      <c r="BB248" s="53">
        <f t="shared" si="122"/>
        <v>0</v>
      </c>
      <c r="BC248" s="37"/>
    </row>
    <row r="249" spans="1:55" outlineLevel="1">
      <c r="A249" s="1"/>
      <c r="B249" s="87" t="s">
        <v>566</v>
      </c>
      <c r="C249" s="115" t="s">
        <v>390</v>
      </c>
      <c r="D249" s="5"/>
      <c r="E249" s="5"/>
      <c r="F249" s="5"/>
      <c r="G249" s="5"/>
      <c r="H249" s="53">
        <f>Português!H249</f>
        <v>-120.173</v>
      </c>
      <c r="I249" s="53">
        <f>Português!I249</f>
        <v>68.229000000000013</v>
      </c>
      <c r="J249" s="53">
        <f>Português!J249</f>
        <v>-109.61000000000001</v>
      </c>
      <c r="K249" s="53">
        <f>Português!K249</f>
        <v>-97.786000000000001</v>
      </c>
      <c r="L249" s="53">
        <f>Português!L249</f>
        <v>201.77199999999999</v>
      </c>
      <c r="M249" s="53">
        <f>Português!M249</f>
        <v>-2465.6999999999998</v>
      </c>
      <c r="N249" s="53">
        <f>Português!N249</f>
        <v>323.98099999999931</v>
      </c>
      <c r="O249" s="53">
        <f>Português!O249</f>
        <v>1.8190000000004147</v>
      </c>
      <c r="P249" s="53">
        <f>Português!P249</f>
        <v>-182.22400000000005</v>
      </c>
      <c r="Q249" s="53">
        <f>Português!Q249</f>
        <v>317.76800000000003</v>
      </c>
      <c r="R249" s="53">
        <f>Português!R249</f>
        <v>-4624.1379999999999</v>
      </c>
      <c r="S249" s="53">
        <f>Português!S249</f>
        <v>4969.5249999999996</v>
      </c>
      <c r="T249" s="53">
        <f>Português!T249</f>
        <v>144.96600000000001</v>
      </c>
      <c r="U249" s="53">
        <f>Português!U249</f>
        <v>-657.19899999999996</v>
      </c>
      <c r="V249" s="53">
        <f>Português!V249</f>
        <v>26.268999999999998</v>
      </c>
      <c r="W249" s="53">
        <f>Português!W249</f>
        <v>501.74</v>
      </c>
      <c r="X249" s="53">
        <f>Português!X249</f>
        <v>5.1820000000000004</v>
      </c>
      <c r="Y249" s="53">
        <f>Português!Y249</f>
        <v>-964.97799999999995</v>
      </c>
      <c r="Z249" s="53">
        <f>Português!Z249</f>
        <v>568.12999999999977</v>
      </c>
      <c r="AA249" s="53">
        <f>Português!AA249</f>
        <v>-2927.5219999999999</v>
      </c>
      <c r="AB249" s="53">
        <f>Português!AB249</f>
        <v>4990.6630000000005</v>
      </c>
      <c r="AC249" s="53">
        <f>Português!AC249</f>
        <v>-477.61099999999988</v>
      </c>
      <c r="AD249" s="53">
        <f>Português!AD249</f>
        <v>1087.9799999999996</v>
      </c>
      <c r="AE249" s="53">
        <f>Português!AE249</f>
        <v>255.05300000000079</v>
      </c>
      <c r="AF249" s="53">
        <f>Português!AF249</f>
        <v>-425.21399999999994</v>
      </c>
      <c r="AG249" s="53">
        <f>Português!AG249</f>
        <v>-1455.5069999999996</v>
      </c>
      <c r="AH249" s="53">
        <f>Português!AH249</f>
        <v>602.87699999999859</v>
      </c>
      <c r="AI249" s="53">
        <f>Português!AI249</f>
        <v>218.89400000000091</v>
      </c>
      <c r="AJ249" s="53">
        <f>Português!AJ249</f>
        <v>-278.86</v>
      </c>
      <c r="AK249" s="53">
        <f>Português!AK249</f>
        <v>-779.07399999999996</v>
      </c>
      <c r="AL249" s="53">
        <f>Português!AL249</f>
        <v>693.89200000000005</v>
      </c>
      <c r="AM249" s="53">
        <f>Português!AM249</f>
        <v>-1026.0730000000003</v>
      </c>
      <c r="AN249" s="53">
        <f>Português!AN249</f>
        <v>-527.26199999999994</v>
      </c>
      <c r="AO249" s="53">
        <f>Português!AO249</f>
        <v>515.07599999999991</v>
      </c>
      <c r="AP249" s="53">
        <f>Português!AP249</f>
        <v>397.30600000000004</v>
      </c>
      <c r="AQ249" s="53">
        <f>Português!AQ249</f>
        <v>2127.1040000000003</v>
      </c>
      <c r="AR249" s="53">
        <f>Português!AR249</f>
        <v>-202.86199999999999</v>
      </c>
      <c r="AS249" s="19"/>
      <c r="AT249" s="53">
        <f t="shared" si="157"/>
        <v>-259.34000000000003</v>
      </c>
      <c r="AU249" s="53">
        <f t="shared" si="158"/>
        <v>-1938.1280000000002</v>
      </c>
      <c r="AV249" s="53">
        <f t="shared" si="159"/>
        <v>480.93099999999959</v>
      </c>
      <c r="AW249" s="53">
        <f t="shared" si="160"/>
        <v>15.776000000000067</v>
      </c>
      <c r="AX249" s="55">
        <f t="shared" si="161"/>
        <v>-3319.1880000000001</v>
      </c>
      <c r="AY249" s="53">
        <f t="shared" si="162"/>
        <v>5856.0850000000009</v>
      </c>
      <c r="AZ249" s="53">
        <f t="shared" si="163"/>
        <v>-1058.95</v>
      </c>
      <c r="BA249" s="53">
        <f t="shared" si="164"/>
        <v>-1390.1150000000002</v>
      </c>
      <c r="BB249" s="53">
        <f t="shared" ref="BB249:BB276" si="165">SUM(AN249:AQ249)</f>
        <v>2512.2240000000002</v>
      </c>
      <c r="BC249" s="37"/>
    </row>
    <row r="250" spans="1:55" ht="13.5" outlineLevel="1">
      <c r="A250" s="1"/>
      <c r="B250" s="2" t="s">
        <v>587</v>
      </c>
      <c r="C250" s="120" t="s">
        <v>390</v>
      </c>
      <c r="D250" s="5"/>
      <c r="E250" s="5"/>
      <c r="F250" s="5"/>
      <c r="G250" s="5"/>
      <c r="H250" s="53">
        <v>0</v>
      </c>
      <c r="I250" s="53">
        <v>0</v>
      </c>
      <c r="J250" s="53">
        <v>0</v>
      </c>
      <c r="K250" s="53">
        <v>0</v>
      </c>
      <c r="L250" s="53">
        <v>0</v>
      </c>
      <c r="M250" s="53">
        <v>0</v>
      </c>
      <c r="N250" s="53">
        <v>0</v>
      </c>
      <c r="O250" s="53">
        <v>0</v>
      </c>
      <c r="P250" s="53">
        <v>0</v>
      </c>
      <c r="Q250" s="53">
        <v>0</v>
      </c>
      <c r="R250" s="53">
        <v>0</v>
      </c>
      <c r="S250" s="53">
        <v>0</v>
      </c>
      <c r="T250" s="53">
        <v>0</v>
      </c>
      <c r="U250" s="53">
        <v>0</v>
      </c>
      <c r="V250" s="53">
        <v>0</v>
      </c>
      <c r="W250" s="53">
        <v>0</v>
      </c>
      <c r="X250" s="53">
        <v>0</v>
      </c>
      <c r="Y250" s="53">
        <v>0</v>
      </c>
      <c r="Z250" s="53">
        <v>0</v>
      </c>
      <c r="AA250" s="53">
        <v>0</v>
      </c>
      <c r="AB250" s="53">
        <v>0</v>
      </c>
      <c r="AC250" s="53">
        <v>0</v>
      </c>
      <c r="AD250" s="53">
        <v>0</v>
      </c>
      <c r="AE250" s="53">
        <v>0</v>
      </c>
      <c r="AF250" s="53">
        <v>0</v>
      </c>
      <c r="AG250" s="53">
        <f>Português!AG250</f>
        <v>-32.384999999999998</v>
      </c>
      <c r="AH250" s="53">
        <f>Português!AH250</f>
        <v>31.856999999999999</v>
      </c>
      <c r="AI250" s="53">
        <f>Português!AI250</f>
        <v>-28.639000000000003</v>
      </c>
      <c r="AJ250" s="53">
        <f>Português!AJ250</f>
        <v>-29.167000000000002</v>
      </c>
      <c r="AK250" s="53">
        <f>Português!AK250</f>
        <v>0</v>
      </c>
      <c r="AL250" s="53">
        <f>Português!AL250</f>
        <v>0</v>
      </c>
      <c r="AM250" s="53">
        <f>Português!AM250</f>
        <v>0</v>
      </c>
      <c r="AN250" s="53">
        <f>Português!AN250</f>
        <v>0</v>
      </c>
      <c r="AO250" s="53">
        <f>Português!AO250</f>
        <v>-16.248999999999999</v>
      </c>
      <c r="AP250" s="53">
        <f>Português!AP250</f>
        <v>0</v>
      </c>
      <c r="AQ250" s="53">
        <f>Português!AQ250</f>
        <v>0</v>
      </c>
      <c r="AR250" s="53">
        <f>Português!AR250</f>
        <v>0</v>
      </c>
      <c r="AS250" s="19"/>
      <c r="AT250" s="75">
        <f t="shared" si="157"/>
        <v>0</v>
      </c>
      <c r="AU250" s="75">
        <f t="shared" si="158"/>
        <v>0</v>
      </c>
      <c r="AV250" s="75">
        <f t="shared" si="159"/>
        <v>0</v>
      </c>
      <c r="AW250" s="75">
        <f t="shared" si="160"/>
        <v>0</v>
      </c>
      <c r="AX250" s="75">
        <f t="shared" si="161"/>
        <v>0</v>
      </c>
      <c r="AY250" s="75">
        <f t="shared" si="162"/>
        <v>0</v>
      </c>
      <c r="AZ250" s="53">
        <f t="shared" si="163"/>
        <v>-29.167000000000002</v>
      </c>
      <c r="BA250" s="53">
        <f t="shared" si="164"/>
        <v>-29.167000000000002</v>
      </c>
      <c r="BB250" s="53">
        <f t="shared" si="165"/>
        <v>-16.248999999999999</v>
      </c>
      <c r="BC250" s="37"/>
    </row>
    <row r="251" spans="1:55" ht="13.5" outlineLevel="1">
      <c r="B251" s="11" t="s">
        <v>588</v>
      </c>
      <c r="C251" s="114" t="s">
        <v>390</v>
      </c>
      <c r="D251" s="11"/>
      <c r="E251" s="11"/>
      <c r="F251" s="11"/>
      <c r="G251" s="11"/>
      <c r="H251" s="57">
        <f>SUM(H239,H250)</f>
        <v>-149.53200000000001</v>
      </c>
      <c r="I251" s="57">
        <f t="shared" ref="I251:AN251" si="166">SUM(I239,I250)</f>
        <v>32.554000000000023</v>
      </c>
      <c r="J251" s="57">
        <f t="shared" si="166"/>
        <v>-158.87</v>
      </c>
      <c r="K251" s="57">
        <f t="shared" si="166"/>
        <v>-133.14699999999999</v>
      </c>
      <c r="L251" s="57">
        <f t="shared" si="166"/>
        <v>149.279</v>
      </c>
      <c r="M251" s="57">
        <f t="shared" si="166"/>
        <v>-2507.1999999999998</v>
      </c>
      <c r="N251" s="57">
        <f t="shared" si="166"/>
        <v>268.19399999999933</v>
      </c>
      <c r="O251" s="57">
        <f t="shared" si="166"/>
        <v>-49.104999999999606</v>
      </c>
      <c r="P251" s="57">
        <f t="shared" si="166"/>
        <v>-258.34500000000003</v>
      </c>
      <c r="Q251" s="57">
        <f t="shared" si="166"/>
        <v>60.397000000000048</v>
      </c>
      <c r="R251" s="57">
        <f t="shared" si="166"/>
        <v>-4761.6849999999995</v>
      </c>
      <c r="S251" s="57">
        <f t="shared" si="166"/>
        <v>60.936999999999898</v>
      </c>
      <c r="T251" s="57">
        <f t="shared" si="166"/>
        <v>33.900000000000006</v>
      </c>
      <c r="U251" s="57">
        <f t="shared" si="166"/>
        <v>-797.17499999999995</v>
      </c>
      <c r="V251" s="57">
        <f t="shared" si="166"/>
        <v>-40.215999999999973</v>
      </c>
      <c r="W251" s="57">
        <f t="shared" si="166"/>
        <v>-134.28200000000004</v>
      </c>
      <c r="X251" s="57">
        <f t="shared" si="166"/>
        <v>-129.26000000000002</v>
      </c>
      <c r="Y251" s="57">
        <f t="shared" si="166"/>
        <v>-1345.4479999999999</v>
      </c>
      <c r="Z251" s="57">
        <f t="shared" si="166"/>
        <v>491.32500466000027</v>
      </c>
      <c r="AA251" s="57">
        <f t="shared" si="166"/>
        <v>-3394.5581638885205</v>
      </c>
      <c r="AB251" s="57">
        <f t="shared" si="166"/>
        <v>1892.4590000000007</v>
      </c>
      <c r="AC251" s="57">
        <f t="shared" si="166"/>
        <v>-886.95699999999988</v>
      </c>
      <c r="AD251" s="57">
        <f t="shared" si="166"/>
        <v>809.30499999999961</v>
      </c>
      <c r="AE251" s="57">
        <f t="shared" si="166"/>
        <v>285.08100000000115</v>
      </c>
      <c r="AF251" s="57">
        <f t="shared" si="166"/>
        <v>-1169.259</v>
      </c>
      <c r="AG251" s="57">
        <f t="shared" si="166"/>
        <v>-363.58199999999965</v>
      </c>
      <c r="AH251" s="57">
        <f t="shared" si="166"/>
        <v>536.91299999999853</v>
      </c>
      <c r="AI251" s="57">
        <f t="shared" si="166"/>
        <v>118.2600000000009</v>
      </c>
      <c r="AJ251" s="57">
        <f t="shared" si="166"/>
        <v>-412.57100000000003</v>
      </c>
      <c r="AK251" s="57">
        <f t="shared" si="166"/>
        <v>-964.21900000000005</v>
      </c>
      <c r="AL251" s="57">
        <f t="shared" si="166"/>
        <v>513.11800000000017</v>
      </c>
      <c r="AM251" s="57">
        <f t="shared" si="166"/>
        <v>-1361.6910000000003</v>
      </c>
      <c r="AN251" s="57">
        <f t="shared" si="166"/>
        <v>-725.94499999999994</v>
      </c>
      <c r="AO251" s="57">
        <f>SUM(AO239,AO250)</f>
        <v>285.09899999999982</v>
      </c>
      <c r="AP251" s="57">
        <f>SUM(AP239,AP250)</f>
        <v>173.33700000000002</v>
      </c>
      <c r="AQ251" s="57">
        <f>SUM(AQ239,AQ250)</f>
        <v>1706.8340000000003</v>
      </c>
      <c r="AR251" s="57">
        <f>SUM(AR239,AR250)</f>
        <v>-395.95</v>
      </c>
      <c r="AS251" s="19"/>
      <c r="AT251" s="57">
        <f t="shared" ref="AT251:BA251" si="167">SUM(AT239,AT250)</f>
        <v>-408.995</v>
      </c>
      <c r="AU251" s="57">
        <f t="shared" si="167"/>
        <v>-2138.8320000000003</v>
      </c>
      <c r="AV251" s="57">
        <f t="shared" si="167"/>
        <v>-4898.6959999999999</v>
      </c>
      <c r="AW251" s="57">
        <f t="shared" si="167"/>
        <v>-937.77299999999991</v>
      </c>
      <c r="AX251" s="57">
        <f t="shared" si="167"/>
        <v>-4377.9411592285196</v>
      </c>
      <c r="AY251" s="57">
        <f t="shared" si="167"/>
        <v>2099.8880000000013</v>
      </c>
      <c r="AZ251" s="57">
        <f t="shared" si="167"/>
        <v>-877.66800000000001</v>
      </c>
      <c r="BA251" s="57">
        <f t="shared" si="167"/>
        <v>-2225.3630000000003</v>
      </c>
      <c r="BB251" s="57">
        <f t="shared" si="165"/>
        <v>1439.3250000000003</v>
      </c>
      <c r="BC251" s="37"/>
    </row>
    <row r="252" spans="1:55" ht="13.5" outlineLevel="1">
      <c r="B252" s="11" t="s">
        <v>589</v>
      </c>
      <c r="C252" s="114" t="s">
        <v>390</v>
      </c>
      <c r="D252" s="11"/>
      <c r="E252" s="11"/>
      <c r="F252" s="11"/>
      <c r="G252" s="11"/>
      <c r="H252" s="57">
        <f t="shared" ref="H252:AD252" si="168">SUM(H253:H267)</f>
        <v>-11.343</v>
      </c>
      <c r="I252" s="57">
        <f t="shared" si="168"/>
        <v>-124.227</v>
      </c>
      <c r="J252" s="57">
        <f t="shared" si="168"/>
        <v>-20.667999999999992</v>
      </c>
      <c r="K252" s="57">
        <f t="shared" si="168"/>
        <v>-5.9569999999999759</v>
      </c>
      <c r="L252" s="57">
        <f t="shared" si="168"/>
        <v>-70.654999999999987</v>
      </c>
      <c r="M252" s="57">
        <f t="shared" si="168"/>
        <v>2122.8999999999996</v>
      </c>
      <c r="N252" s="57">
        <f t="shared" si="168"/>
        <v>-354.50100000000009</v>
      </c>
      <c r="O252" s="57">
        <f t="shared" si="168"/>
        <v>5.6670000000001526</v>
      </c>
      <c r="P252" s="57">
        <f t="shared" si="168"/>
        <v>-14.062000000000001</v>
      </c>
      <c r="Q252" s="57">
        <f t="shared" si="168"/>
        <v>-205.96899999999999</v>
      </c>
      <c r="R252" s="57">
        <f t="shared" si="168"/>
        <v>4531.6140000000005</v>
      </c>
      <c r="S252" s="57">
        <f t="shared" si="168"/>
        <v>-30.921000000000006</v>
      </c>
      <c r="T252" s="57">
        <f t="shared" si="168"/>
        <v>-107.32</v>
      </c>
      <c r="U252" s="57">
        <f t="shared" si="168"/>
        <v>-37.981000000000002</v>
      </c>
      <c r="V252" s="57">
        <f t="shared" si="168"/>
        <v>-278.12299999999999</v>
      </c>
      <c r="W252" s="57">
        <f t="shared" si="168"/>
        <v>-45.455000000000013</v>
      </c>
      <c r="X252" s="57">
        <f t="shared" si="168"/>
        <v>-79.695999999999998</v>
      </c>
      <c r="Y252" s="57">
        <f t="shared" si="168"/>
        <v>1658.9209999999998</v>
      </c>
      <c r="Z252" s="57">
        <f t="shared" si="168"/>
        <v>-375.41899999999998</v>
      </c>
      <c r="AA252" s="57">
        <f t="shared" si="168"/>
        <v>3126.6850000000004</v>
      </c>
      <c r="AB252" s="57">
        <f t="shared" si="168"/>
        <v>-1448.904</v>
      </c>
      <c r="AC252" s="57">
        <f t="shared" si="168"/>
        <v>218.55800000000011</v>
      </c>
      <c r="AD252" s="57">
        <f t="shared" si="168"/>
        <v>-1176.1589999999999</v>
      </c>
      <c r="AE252" s="57">
        <f>SUM(AE253:AE267)</f>
        <v>255.26399999999992</v>
      </c>
      <c r="AF252" s="57">
        <f>SUM(AF253:AF267)</f>
        <v>-408.90900000000005</v>
      </c>
      <c r="AG252" s="57">
        <f>SUM(AG253:AG267)</f>
        <v>218.00000000000011</v>
      </c>
      <c r="AH252" s="57">
        <f>SUM(AH253:AH267)</f>
        <v>-1249.6750000000002</v>
      </c>
      <c r="AI252" s="57">
        <f>SUM(AI253:AI267)</f>
        <v>153.80900000000022</v>
      </c>
      <c r="AJ252" s="57">
        <f>SUM(AJ253:AJ268)</f>
        <v>-1109.1659999999999</v>
      </c>
      <c r="AK252" s="57">
        <f>SUM(AK253:AK268)</f>
        <v>41.209999999999965</v>
      </c>
      <c r="AL252" s="57">
        <f>SUM(AL253:AL268)</f>
        <v>-1167.7439999999997</v>
      </c>
      <c r="AM252" s="57">
        <f>SUM(AM253:AM268)</f>
        <v>907.65399999999977</v>
      </c>
      <c r="AN252" s="57">
        <f>SUM(AN253:AN268)</f>
        <v>-260.83100000000002</v>
      </c>
      <c r="AO252" s="57">
        <f>SUM(AO253:AO269)</f>
        <v>-800.30400000000009</v>
      </c>
      <c r="AP252" s="57">
        <f>SUM(AP253:AP269)</f>
        <v>-390.21899999999999</v>
      </c>
      <c r="AQ252" s="57">
        <f>SUM(AQ253:AQ269)</f>
        <v>-1788.8989999999997</v>
      </c>
      <c r="AR252" s="57">
        <f>SUM(AR253:AR269)</f>
        <v>-186.65600000000001</v>
      </c>
      <c r="AS252" s="19"/>
      <c r="AT252" s="57">
        <f t="shared" ref="AT252:AY252" si="169">SUM(AT253:AT267)</f>
        <v>-162.19499999999996</v>
      </c>
      <c r="AU252" s="57">
        <f t="shared" si="169"/>
        <v>1703.4110000000001</v>
      </c>
      <c r="AV252" s="57">
        <f t="shared" si="169"/>
        <v>4280.6619999999994</v>
      </c>
      <c r="AW252" s="57">
        <f t="shared" si="169"/>
        <v>-468.87899999999996</v>
      </c>
      <c r="AX252" s="57">
        <f t="shared" si="169"/>
        <v>4330.4910000000009</v>
      </c>
      <c r="AY252" s="57">
        <f t="shared" si="169"/>
        <v>-2151.241</v>
      </c>
      <c r="AZ252" s="57">
        <f>SUM(AZ253:AZ267)</f>
        <v>-1286.7749999999996</v>
      </c>
      <c r="BA252" s="57">
        <f>SUM(BA253:BA268)</f>
        <v>-1328.0459999999998</v>
      </c>
      <c r="BB252" s="57">
        <f t="shared" si="165"/>
        <v>-3240.2529999999997</v>
      </c>
      <c r="BC252" s="37"/>
    </row>
    <row r="253" spans="1:55" outlineLevel="1">
      <c r="B253" s="87" t="s">
        <v>590</v>
      </c>
      <c r="C253" s="115" t="s">
        <v>390</v>
      </c>
      <c r="D253" s="5"/>
      <c r="E253" s="5"/>
      <c r="F253" s="5"/>
      <c r="G253" s="5"/>
      <c r="H253" s="53">
        <f>Português!H253</f>
        <v>0.29599999999999999</v>
      </c>
      <c r="I253" s="53">
        <f>Português!I253</f>
        <v>0.29499999999999998</v>
      </c>
      <c r="J253" s="53">
        <f>Português!J253</f>
        <v>0.29599999999999999</v>
      </c>
      <c r="K253" s="53">
        <f>Português!K253</f>
        <v>-1.704</v>
      </c>
      <c r="L253" s="53">
        <f>Português!L253</f>
        <v>0.29599999999999999</v>
      </c>
      <c r="M253" s="53">
        <f>Português!M253</f>
        <v>-5.7</v>
      </c>
      <c r="N253" s="53">
        <f>Português!N253</f>
        <v>3.9999999999995595E-3</v>
      </c>
      <c r="O253" s="53">
        <f>Português!O253</f>
        <v>4.1000000000000369E-2</v>
      </c>
      <c r="P253" s="53">
        <f>Português!P253</f>
        <v>0</v>
      </c>
      <c r="Q253" s="53">
        <f>Português!Q253</f>
        <v>8.9999999999999993E-3</v>
      </c>
      <c r="R253" s="53">
        <f>Português!R253</f>
        <v>-8.9999999999999993E-3</v>
      </c>
      <c r="S253" s="53">
        <f>Português!S253</f>
        <v>0</v>
      </c>
      <c r="T253" s="53">
        <f>Português!T253</f>
        <v>0</v>
      </c>
      <c r="U253" s="53">
        <f>Português!U253</f>
        <v>0</v>
      </c>
      <c r="V253" s="53">
        <f>Português!V253</f>
        <v>0</v>
      </c>
      <c r="W253" s="53">
        <f>Português!W253</f>
        <v>0</v>
      </c>
      <c r="X253" s="53">
        <f>Português!X253</f>
        <v>0</v>
      </c>
      <c r="Y253" s="53">
        <f>Português!Y253</f>
        <v>0</v>
      </c>
      <c r="Z253" s="53">
        <f>Português!Z253</f>
        <v>0</v>
      </c>
      <c r="AA253" s="53">
        <f>Português!AA253</f>
        <v>0</v>
      </c>
      <c r="AB253" s="53">
        <f>Português!AB253</f>
        <v>0</v>
      </c>
      <c r="AC253" s="53">
        <f>Português!AC253</f>
        <v>0</v>
      </c>
      <c r="AD253" s="53">
        <f>Português!AD253</f>
        <v>0</v>
      </c>
      <c r="AE253" s="53">
        <f>Português!AE253</f>
        <v>0</v>
      </c>
      <c r="AF253" s="53">
        <f>Português!AF253</f>
        <v>0</v>
      </c>
      <c r="AG253" s="53">
        <f>Português!AG253</f>
        <v>0</v>
      </c>
      <c r="AH253" s="53">
        <f>Português!AH253</f>
        <v>0</v>
      </c>
      <c r="AI253" s="53">
        <f>Português!AI253</f>
        <v>0</v>
      </c>
      <c r="AJ253" s="53">
        <f>Português!AJ253</f>
        <v>0</v>
      </c>
      <c r="AK253" s="53">
        <f>Português!AK253</f>
        <v>0</v>
      </c>
      <c r="AL253" s="53">
        <f>Português!AL253</f>
        <v>0</v>
      </c>
      <c r="AM253" s="53">
        <f>Português!AM253</f>
        <v>0</v>
      </c>
      <c r="AN253" s="53">
        <f>Português!AN253</f>
        <v>0</v>
      </c>
      <c r="AO253" s="53">
        <f>Português!AO253</f>
        <v>0</v>
      </c>
      <c r="AP253" s="53">
        <f>Português!AP253</f>
        <v>0</v>
      </c>
      <c r="AQ253" s="53">
        <f>Português!AQ253</f>
        <v>0</v>
      </c>
      <c r="AR253" s="53">
        <f>Português!AR253</f>
        <v>0</v>
      </c>
      <c r="AS253" s="19"/>
      <c r="AT253" s="53">
        <f t="shared" ref="AT253:AT259" si="170">SUM(H253:K253)</f>
        <v>-0.81699999999999995</v>
      </c>
      <c r="AU253" s="53">
        <f t="shared" ref="AU253:AU259" si="171">SUM(L253:O253)</f>
        <v>-5.359</v>
      </c>
      <c r="AV253" s="53">
        <f t="shared" ref="AV253:AV259" si="172">SUM(P253:S253)</f>
        <v>0</v>
      </c>
      <c r="AW253" s="53">
        <f t="shared" ref="AW253:AW259" si="173">SUM(T253:W253)</f>
        <v>0</v>
      </c>
      <c r="AX253" s="53">
        <f t="shared" ref="AX253:AX269" si="174">SUM(X253:AA253)</f>
        <v>0</v>
      </c>
      <c r="AY253" s="53">
        <f t="shared" ref="AY253:AY269" si="175">SUM(AB253:AE253)</f>
        <v>0</v>
      </c>
      <c r="AZ253" s="53">
        <f t="shared" ref="AZ253:AZ269" si="176">SUM(AF253:AI253)</f>
        <v>0</v>
      </c>
      <c r="BA253" s="53">
        <f t="shared" ref="BA253:BA269" si="177">SUM(AJ253:AM253)</f>
        <v>0</v>
      </c>
      <c r="BB253" s="53">
        <f t="shared" si="165"/>
        <v>0</v>
      </c>
      <c r="BC253" s="37"/>
    </row>
    <row r="254" spans="1:55" outlineLevel="1">
      <c r="B254" s="87" t="s">
        <v>591</v>
      </c>
      <c r="C254" s="115" t="s">
        <v>390</v>
      </c>
      <c r="D254" s="5"/>
      <c r="E254" s="5"/>
      <c r="F254" s="5"/>
      <c r="G254" s="5"/>
      <c r="H254" s="53">
        <f>Português!H254</f>
        <v>0</v>
      </c>
      <c r="I254" s="53">
        <f>Português!I254</f>
        <v>0</v>
      </c>
      <c r="J254" s="53">
        <f>Português!J254</f>
        <v>0</v>
      </c>
      <c r="K254" s="53">
        <f>Português!K254</f>
        <v>0</v>
      </c>
      <c r="L254" s="53">
        <f>Português!L254</f>
        <v>0</v>
      </c>
      <c r="M254" s="53">
        <f>Português!M254</f>
        <v>0</v>
      </c>
      <c r="N254" s="53">
        <f>Português!N254</f>
        <v>0</v>
      </c>
      <c r="O254" s="53">
        <f>Português!O254</f>
        <v>0</v>
      </c>
      <c r="P254" s="53">
        <f>Português!P254</f>
        <v>0</v>
      </c>
      <c r="Q254" s="53">
        <f>Português!Q254</f>
        <v>0</v>
      </c>
      <c r="R254" s="53">
        <f>Português!R254</f>
        <v>2000</v>
      </c>
      <c r="S254" s="53">
        <f>Português!S254</f>
        <v>0</v>
      </c>
      <c r="T254" s="53">
        <f>Português!T254</f>
        <v>0</v>
      </c>
      <c r="U254" s="53">
        <f>Português!U254</f>
        <v>0</v>
      </c>
      <c r="V254" s="53">
        <f>Português!V254</f>
        <v>0</v>
      </c>
      <c r="W254" s="53">
        <f>Português!W254</f>
        <v>0</v>
      </c>
      <c r="X254" s="53">
        <f>Português!X254</f>
        <v>0</v>
      </c>
      <c r="Y254" s="53">
        <f>Português!Y254</f>
        <v>0</v>
      </c>
      <c r="Z254" s="53">
        <f>Português!Z254</f>
        <v>0</v>
      </c>
      <c r="AA254" s="53">
        <f>Português!AA254</f>
        <v>2500</v>
      </c>
      <c r="AB254" s="53">
        <f>Português!AB254</f>
        <v>0</v>
      </c>
      <c r="AC254" s="53">
        <f>Português!AC254</f>
        <v>2000</v>
      </c>
      <c r="AD254" s="53">
        <f>Português!AD254</f>
        <v>0</v>
      </c>
      <c r="AE254" s="53">
        <f>Português!AE254</f>
        <v>0</v>
      </c>
      <c r="AF254" s="53">
        <f>Português!AF254</f>
        <v>750</v>
      </c>
      <c r="AG254" s="53">
        <f>Português!AG254</f>
        <v>0</v>
      </c>
      <c r="AH254" s="53">
        <f>Português!AH254</f>
        <v>0</v>
      </c>
      <c r="AI254" s="53">
        <f>Português!AI254</f>
        <v>1000</v>
      </c>
      <c r="AJ254" s="53">
        <f>Português!AJ254</f>
        <v>0</v>
      </c>
      <c r="AK254" s="53">
        <f>Português!AK254</f>
        <v>1000</v>
      </c>
      <c r="AL254" s="53">
        <f>Português!AL254</f>
        <v>0</v>
      </c>
      <c r="AM254" s="53">
        <f>Português!AM254</f>
        <v>2000</v>
      </c>
      <c r="AN254" s="53">
        <f>Português!AN254</f>
        <v>0</v>
      </c>
      <c r="AO254" s="53">
        <f>Português!AO254</f>
        <v>1500</v>
      </c>
      <c r="AP254" s="53">
        <f>Português!AP254</f>
        <v>0</v>
      </c>
      <c r="AQ254" s="53">
        <f>Português!AQ254</f>
        <v>3650</v>
      </c>
      <c r="AR254" s="53">
        <f>Português!AR254</f>
        <v>0</v>
      </c>
      <c r="AS254" s="19"/>
      <c r="AT254" s="53">
        <f t="shared" si="170"/>
        <v>0</v>
      </c>
      <c r="AU254" s="53">
        <f t="shared" si="171"/>
        <v>0</v>
      </c>
      <c r="AV254" s="53">
        <f t="shared" si="172"/>
        <v>2000</v>
      </c>
      <c r="AW254" s="53">
        <f t="shared" si="173"/>
        <v>0</v>
      </c>
      <c r="AX254" s="53">
        <f t="shared" si="174"/>
        <v>2500</v>
      </c>
      <c r="AY254" s="53">
        <f t="shared" si="175"/>
        <v>2000</v>
      </c>
      <c r="AZ254" s="53">
        <f t="shared" si="176"/>
        <v>1750</v>
      </c>
      <c r="BA254" s="53">
        <f t="shared" si="177"/>
        <v>3000</v>
      </c>
      <c r="BB254" s="53">
        <f t="shared" si="165"/>
        <v>5150</v>
      </c>
      <c r="BC254" s="37"/>
    </row>
    <row r="255" spans="1:55" outlineLevel="1">
      <c r="B255" s="87" t="s">
        <v>592</v>
      </c>
      <c r="C255" s="115" t="s">
        <v>390</v>
      </c>
      <c r="D255" s="5"/>
      <c r="E255" s="5"/>
      <c r="F255" s="5"/>
      <c r="G255" s="5"/>
      <c r="H255" s="53">
        <f>Português!H255</f>
        <v>0</v>
      </c>
      <c r="I255" s="53">
        <f>Português!I255</f>
        <v>0</v>
      </c>
      <c r="J255" s="53">
        <f>Português!J255</f>
        <v>0</v>
      </c>
      <c r="K255" s="53">
        <f>Português!K255</f>
        <v>0</v>
      </c>
      <c r="L255" s="53">
        <f>Português!L255</f>
        <v>0</v>
      </c>
      <c r="M255" s="53">
        <f>Português!M255</f>
        <v>0</v>
      </c>
      <c r="N255" s="53">
        <f>Português!N255</f>
        <v>0</v>
      </c>
      <c r="O255" s="53">
        <f>Português!O255</f>
        <v>0</v>
      </c>
      <c r="P255" s="53">
        <f>Português!P255</f>
        <v>0</v>
      </c>
      <c r="Q255" s="53">
        <f>Português!Q255</f>
        <v>0</v>
      </c>
      <c r="R255" s="53">
        <f>Português!R255</f>
        <v>0</v>
      </c>
      <c r="S255" s="53">
        <f>Português!S255</f>
        <v>0</v>
      </c>
      <c r="T255" s="53">
        <f>Português!T255</f>
        <v>-77.774000000000001</v>
      </c>
      <c r="U255" s="53">
        <f>Português!U255</f>
        <v>79.837999999999994</v>
      </c>
      <c r="V255" s="53">
        <f>Português!V255</f>
        <v>0.217</v>
      </c>
      <c r="W255" s="53">
        <f>Português!W255</f>
        <v>-2.8999999999997611E-2</v>
      </c>
      <c r="X255" s="53">
        <f>Português!X255</f>
        <v>0</v>
      </c>
      <c r="Y255" s="53">
        <f>Português!Y255</f>
        <v>0</v>
      </c>
      <c r="Z255" s="53">
        <f>Português!Z255</f>
        <v>0</v>
      </c>
      <c r="AA255" s="53">
        <f>Português!AA255</f>
        <v>1001.7</v>
      </c>
      <c r="AB255" s="53">
        <f>Português!AB255</f>
        <v>0</v>
      </c>
      <c r="AC255" s="53">
        <f>Português!AC255</f>
        <v>0</v>
      </c>
      <c r="AD255" s="53">
        <f>Português!AD255</f>
        <v>0</v>
      </c>
      <c r="AE255" s="53">
        <f>Português!AE255</f>
        <v>1321.26</v>
      </c>
      <c r="AF255" s="53">
        <f>Português!AF255</f>
        <v>257.38</v>
      </c>
      <c r="AG255" s="53">
        <f>Português!AG255</f>
        <v>2.6200000000000045</v>
      </c>
      <c r="AH255" s="53">
        <f>Português!AH255</f>
        <v>0</v>
      </c>
      <c r="AI255" s="53">
        <f>Português!AI255</f>
        <v>0</v>
      </c>
      <c r="AJ255" s="53">
        <f>Português!AJ255</f>
        <v>0</v>
      </c>
      <c r="AK255" s="53">
        <f>Português!AK255</f>
        <v>0</v>
      </c>
      <c r="AL255" s="53">
        <f>Português!AL255</f>
        <v>260</v>
      </c>
      <c r="AM255" s="53">
        <f>Português!AM255</f>
        <v>0</v>
      </c>
      <c r="AN255" s="53">
        <f>Português!AN255</f>
        <v>0</v>
      </c>
      <c r="AO255" s="53">
        <f>Português!AO255</f>
        <v>0</v>
      </c>
      <c r="AP255" s="53">
        <f>Português!AP255</f>
        <v>0</v>
      </c>
      <c r="AQ255" s="53">
        <f>Português!AQ255</f>
        <v>60.131999999999998</v>
      </c>
      <c r="AR255" s="53">
        <f>Português!AR255</f>
        <v>0</v>
      </c>
      <c r="AS255" s="19"/>
      <c r="AT255" s="53">
        <f t="shared" si="170"/>
        <v>0</v>
      </c>
      <c r="AU255" s="53">
        <f t="shared" si="171"/>
        <v>0</v>
      </c>
      <c r="AV255" s="53">
        <f t="shared" si="172"/>
        <v>0</v>
      </c>
      <c r="AW255" s="53">
        <f t="shared" si="173"/>
        <v>2.2519999999999953</v>
      </c>
      <c r="AX255" s="53">
        <f t="shared" si="174"/>
        <v>1001.7</v>
      </c>
      <c r="AY255" s="53">
        <f t="shared" si="175"/>
        <v>1321.26</v>
      </c>
      <c r="AZ255" s="53">
        <f t="shared" si="176"/>
        <v>260</v>
      </c>
      <c r="BA255" s="53">
        <f t="shared" si="177"/>
        <v>260</v>
      </c>
      <c r="BB255" s="53">
        <f t="shared" si="165"/>
        <v>60.131999999999998</v>
      </c>
      <c r="BC255" s="37"/>
    </row>
    <row r="256" spans="1:55" outlineLevel="1">
      <c r="A256" s="1"/>
      <c r="B256" s="87" t="s">
        <v>593</v>
      </c>
      <c r="C256" s="115" t="s">
        <v>390</v>
      </c>
      <c r="D256" s="5"/>
      <c r="E256" s="5"/>
      <c r="F256" s="5"/>
      <c r="G256" s="5"/>
      <c r="H256" s="53">
        <f>Português!H256</f>
        <v>0</v>
      </c>
      <c r="I256" s="53">
        <f>Português!I256</f>
        <v>0</v>
      </c>
      <c r="J256" s="53">
        <f>Português!J256</f>
        <v>0</v>
      </c>
      <c r="K256" s="53">
        <f>Português!K256</f>
        <v>0</v>
      </c>
      <c r="L256" s="53">
        <f>Português!L256</f>
        <v>0</v>
      </c>
      <c r="M256" s="53">
        <f>Português!M256</f>
        <v>0</v>
      </c>
      <c r="N256" s="53">
        <f>Português!N256</f>
        <v>0</v>
      </c>
      <c r="O256" s="53">
        <f>Português!O256</f>
        <v>0</v>
      </c>
      <c r="P256" s="53">
        <f>Português!P256</f>
        <v>0</v>
      </c>
      <c r="Q256" s="53">
        <f>Português!Q256</f>
        <v>0</v>
      </c>
      <c r="R256" s="53">
        <f>Português!R256</f>
        <v>0</v>
      </c>
      <c r="S256" s="53">
        <f>Português!S256</f>
        <v>0</v>
      </c>
      <c r="T256" s="53">
        <f>Português!T256</f>
        <v>4.7300000000000004</v>
      </c>
      <c r="U256" s="53">
        <f>Português!U256</f>
        <v>0</v>
      </c>
      <c r="V256" s="53">
        <f>Português!V256</f>
        <v>-0.14100000000000001</v>
      </c>
      <c r="W256" s="53">
        <f>Português!W256</f>
        <v>9.9999999999944578E-4</v>
      </c>
      <c r="X256" s="53">
        <f>Português!X256</f>
        <v>6.2089999999999996</v>
      </c>
      <c r="Y256" s="53">
        <f>Português!Y256</f>
        <v>3.3819999999999997</v>
      </c>
      <c r="Z256" s="53">
        <f>Português!Z256</f>
        <v>-0.36299999999999955</v>
      </c>
      <c r="AA256" s="53">
        <f>Português!AA256</f>
        <v>9.9999999999997868E-3</v>
      </c>
      <c r="AB256" s="53">
        <f>Português!AB256</f>
        <v>-27.366</v>
      </c>
      <c r="AC256" s="53">
        <f>Português!AC256</f>
        <v>-2.6920000000000002</v>
      </c>
      <c r="AD256" s="53">
        <f>Português!AD256</f>
        <v>0.59599999999999997</v>
      </c>
      <c r="AE256" s="53">
        <f>Português!AE256</f>
        <v>-45.03</v>
      </c>
      <c r="AF256" s="53">
        <f>Português!AF256</f>
        <v>0</v>
      </c>
      <c r="AG256" s="53">
        <f>Português!AG256</f>
        <v>-78.272000000000006</v>
      </c>
      <c r="AH256" s="53">
        <f>Português!AH256</f>
        <v>0</v>
      </c>
      <c r="AI256" s="53">
        <f>Português!AI256</f>
        <v>9.5760000000000076</v>
      </c>
      <c r="AJ256" s="53">
        <f>Português!AJ256</f>
        <v>-17.082000000000001</v>
      </c>
      <c r="AK256" s="53">
        <f>Português!AK256</f>
        <v>0</v>
      </c>
      <c r="AL256" s="53">
        <f>Português!AL256</f>
        <v>10.016000000000002</v>
      </c>
      <c r="AM256" s="53">
        <f>Português!AM256</f>
        <v>-0.75500000000000078</v>
      </c>
      <c r="AN256" s="53">
        <f>Português!AN256</f>
        <v>-8.0879999999999992</v>
      </c>
      <c r="AO256" s="53">
        <f>Português!AO256</f>
        <v>-0.72900000000000098</v>
      </c>
      <c r="AP256" s="53">
        <f>Português!AP256</f>
        <v>-12.417000000000002</v>
      </c>
      <c r="AQ256" s="53">
        <f>Português!AQ256</f>
        <v>-2.097999999999999</v>
      </c>
      <c r="AR256" s="53">
        <f>Português!AR256</f>
        <v>-12.964</v>
      </c>
      <c r="AS256" s="19"/>
      <c r="AT256" s="53">
        <f t="shared" si="170"/>
        <v>0</v>
      </c>
      <c r="AU256" s="53">
        <f t="shared" si="171"/>
        <v>0</v>
      </c>
      <c r="AV256" s="53">
        <f t="shared" si="172"/>
        <v>0</v>
      </c>
      <c r="AW256" s="53">
        <f t="shared" si="173"/>
        <v>4.59</v>
      </c>
      <c r="AX256" s="53">
        <f t="shared" si="174"/>
        <v>9.2379999999999995</v>
      </c>
      <c r="AY256" s="53">
        <f t="shared" si="175"/>
        <v>-74.492000000000004</v>
      </c>
      <c r="AZ256" s="53">
        <f t="shared" si="176"/>
        <v>-68.695999999999998</v>
      </c>
      <c r="BA256" s="53">
        <f t="shared" si="177"/>
        <v>-7.8209999999999997</v>
      </c>
      <c r="BB256" s="53">
        <f t="shared" si="165"/>
        <v>-23.332000000000001</v>
      </c>
      <c r="BC256" s="37"/>
    </row>
    <row r="257" spans="1:55" outlineLevel="1">
      <c r="B257" s="87" t="s">
        <v>594</v>
      </c>
      <c r="C257" s="115" t="s">
        <v>390</v>
      </c>
      <c r="D257" s="5"/>
      <c r="E257" s="5"/>
      <c r="F257" s="5"/>
      <c r="G257" s="5"/>
      <c r="H257" s="53">
        <f>Português!H257</f>
        <v>0</v>
      </c>
      <c r="I257" s="53">
        <f>Português!I257</f>
        <v>0</v>
      </c>
      <c r="J257" s="53">
        <f>Português!J257</f>
        <v>0</v>
      </c>
      <c r="K257" s="53">
        <f>Português!K257</f>
        <v>0</v>
      </c>
      <c r="L257" s="53">
        <f>Português!L257</f>
        <v>0</v>
      </c>
      <c r="M257" s="53">
        <f>Português!M257</f>
        <v>-101</v>
      </c>
      <c r="N257" s="53">
        <f>Português!N257</f>
        <v>0.1910000000000025</v>
      </c>
      <c r="O257" s="53">
        <f>Português!O257</f>
        <v>9.9999999999056399E-4</v>
      </c>
      <c r="P257" s="53">
        <f>Português!P257</f>
        <v>0</v>
      </c>
      <c r="Q257" s="53">
        <f>Português!Q257</f>
        <v>0</v>
      </c>
      <c r="R257" s="53">
        <f>Português!R257</f>
        <v>-79.572000000000003</v>
      </c>
      <c r="S257" s="53">
        <f>Português!S257</f>
        <v>0.23799999999999955</v>
      </c>
      <c r="T257" s="53">
        <f>Português!T257</f>
        <v>0</v>
      </c>
      <c r="U257" s="53">
        <f>Português!U257</f>
        <v>-84.218999999999994</v>
      </c>
      <c r="V257" s="53">
        <f>Português!V257</f>
        <v>84.218999999999994</v>
      </c>
      <c r="W257" s="53">
        <f>Português!W257</f>
        <v>0</v>
      </c>
      <c r="X257" s="53">
        <f>Português!X257</f>
        <v>0</v>
      </c>
      <c r="Y257" s="53">
        <f>Português!Y257</f>
        <v>-53.079000000000001</v>
      </c>
      <c r="Z257" s="53">
        <f>Português!Z257</f>
        <v>-7.5000000000002842E-2</v>
      </c>
      <c r="AA257" s="53">
        <f>Português!AA257</f>
        <v>0</v>
      </c>
      <c r="AB257" s="53">
        <f>Português!AB257</f>
        <v>0</v>
      </c>
      <c r="AC257" s="53">
        <f>Português!AC257</f>
        <v>0</v>
      </c>
      <c r="AD257" s="53">
        <f>Português!AD257</f>
        <v>0</v>
      </c>
      <c r="AE257" s="53">
        <f>Português!AE257</f>
        <v>0</v>
      </c>
      <c r="AF257" s="53">
        <f>Português!AF257</f>
        <v>0</v>
      </c>
      <c r="AG257" s="53">
        <f>Português!AG257</f>
        <v>-24.744</v>
      </c>
      <c r="AH257" s="53">
        <f>Português!AH257</f>
        <v>-2.1810000000000009</v>
      </c>
      <c r="AI257" s="53">
        <f>Português!AI257</f>
        <v>0</v>
      </c>
      <c r="AJ257" s="53">
        <f>Português!AJ257</f>
        <v>0</v>
      </c>
      <c r="AK257" s="53">
        <f>Português!AK257</f>
        <v>0</v>
      </c>
      <c r="AL257" s="53">
        <f>Português!AL257</f>
        <v>0</v>
      </c>
      <c r="AM257" s="53">
        <f>Português!AM257</f>
        <v>0</v>
      </c>
      <c r="AN257" s="53">
        <f>Português!AN257</f>
        <v>0</v>
      </c>
      <c r="AO257" s="53">
        <f>Português!AO257</f>
        <v>0</v>
      </c>
      <c r="AP257" s="53">
        <f>Português!AP257</f>
        <v>0.13400000000000001</v>
      </c>
      <c r="AQ257" s="53">
        <f>Português!AQ257</f>
        <v>0</v>
      </c>
      <c r="AR257" s="53">
        <f>Português!AR257</f>
        <v>0</v>
      </c>
      <c r="AS257" s="19"/>
      <c r="AT257" s="53">
        <f t="shared" si="170"/>
        <v>0</v>
      </c>
      <c r="AU257" s="53">
        <f t="shared" si="171"/>
        <v>-100.80800000000001</v>
      </c>
      <c r="AV257" s="53">
        <f t="shared" si="172"/>
        <v>-79.334000000000003</v>
      </c>
      <c r="AW257" s="53">
        <f t="shared" si="173"/>
        <v>0</v>
      </c>
      <c r="AX257" s="53">
        <f t="shared" si="174"/>
        <v>-53.154000000000003</v>
      </c>
      <c r="AY257" s="53">
        <f t="shared" si="175"/>
        <v>0</v>
      </c>
      <c r="AZ257" s="53">
        <f t="shared" si="176"/>
        <v>-26.925000000000001</v>
      </c>
      <c r="BA257" s="53">
        <f t="shared" si="177"/>
        <v>0</v>
      </c>
      <c r="BB257" s="53">
        <f t="shared" si="165"/>
        <v>0.13400000000000001</v>
      </c>
      <c r="BC257" s="37"/>
    </row>
    <row r="258" spans="1:55" outlineLevel="1">
      <c r="B258" s="87" t="s">
        <v>595</v>
      </c>
      <c r="C258" s="115" t="s">
        <v>390</v>
      </c>
      <c r="D258" s="5"/>
      <c r="E258" s="5"/>
      <c r="F258" s="5"/>
      <c r="G258" s="5"/>
      <c r="H258" s="53">
        <f>Português!H258</f>
        <v>0</v>
      </c>
      <c r="I258" s="53">
        <f>Português!I258</f>
        <v>0</v>
      </c>
      <c r="J258" s="53">
        <f>Português!J258</f>
        <v>0</v>
      </c>
      <c r="K258" s="53">
        <f>Português!K258</f>
        <v>0</v>
      </c>
      <c r="L258" s="53">
        <f>Português!L258</f>
        <v>0</v>
      </c>
      <c r="M258" s="53">
        <f>Português!M258</f>
        <v>-0.5</v>
      </c>
      <c r="N258" s="53">
        <f>Português!N258</f>
        <v>-2.028</v>
      </c>
      <c r="O258" s="53">
        <f>Português!O258</f>
        <v>2.528</v>
      </c>
      <c r="P258" s="53">
        <f>Português!P258</f>
        <v>0</v>
      </c>
      <c r="Q258" s="53">
        <f>Português!Q258</f>
        <v>0</v>
      </c>
      <c r="R258" s="53">
        <f>Português!R258</f>
        <v>0</v>
      </c>
      <c r="S258" s="53">
        <f>Português!S258</f>
        <v>-0.501</v>
      </c>
      <c r="T258" s="53">
        <f>Português!T258</f>
        <v>0</v>
      </c>
      <c r="U258" s="53">
        <f>Português!U258</f>
        <v>0</v>
      </c>
      <c r="V258" s="53">
        <f>Português!V258</f>
        <v>-124.31399999999999</v>
      </c>
      <c r="W258" s="53">
        <f>Português!W258</f>
        <v>-3.3520000000000039</v>
      </c>
      <c r="X258" s="53">
        <f>Português!X258</f>
        <v>-18.125</v>
      </c>
      <c r="Y258" s="53">
        <f>Português!Y258</f>
        <v>-92.361999999999995</v>
      </c>
      <c r="Z258" s="53">
        <f>Português!Z258</f>
        <v>-63.527999999999977</v>
      </c>
      <c r="AA258" s="55">
        <f>Português!AA258</f>
        <v>16.841999999999985</v>
      </c>
      <c r="AB258" s="53">
        <f>Português!AB258</f>
        <v>-126.15300000000001</v>
      </c>
      <c r="AC258" s="53">
        <f>Português!AC258</f>
        <v>-1222.3009999999999</v>
      </c>
      <c r="AD258" s="53">
        <f>Português!AD258</f>
        <v>-821.08399999999995</v>
      </c>
      <c r="AE258" s="53">
        <f>Português!AE258</f>
        <v>-283.35300000000007</v>
      </c>
      <c r="AF258" s="53">
        <f>Português!AF258</f>
        <v>-1113.5260000000001</v>
      </c>
      <c r="AG258" s="53">
        <f>Português!AG258</f>
        <v>-162.96599999999989</v>
      </c>
      <c r="AH258" s="53">
        <f>Português!AH258</f>
        <v>-855.58600000000001</v>
      </c>
      <c r="AI258" s="53">
        <f>Português!AI258</f>
        <v>-146.83399999999983</v>
      </c>
      <c r="AJ258" s="53">
        <f>Português!AJ258</f>
        <v>-750</v>
      </c>
      <c r="AK258" s="53">
        <f>Português!AK258</f>
        <v>0</v>
      </c>
      <c r="AL258" s="53">
        <f>Português!AL258</f>
        <v>-1164.9639999999999</v>
      </c>
      <c r="AM258" s="53">
        <f>Português!AM258</f>
        <v>-146.66699999999992</v>
      </c>
      <c r="AN258" s="53">
        <f>Português!AN258</f>
        <v>0</v>
      </c>
      <c r="AO258" s="53">
        <f>Português!AO258</f>
        <v>-1250</v>
      </c>
      <c r="AP258" s="53">
        <f>Português!AP258</f>
        <v>-167.55600000000004</v>
      </c>
      <c r="AQ258" s="53">
        <f>Português!AQ258</f>
        <v>-3796.6659999999997</v>
      </c>
      <c r="AR258" s="53">
        <f>Português!AR258</f>
        <v>0</v>
      </c>
      <c r="AS258" s="19"/>
      <c r="AT258" s="53">
        <f t="shared" si="170"/>
        <v>0</v>
      </c>
      <c r="AU258" s="53">
        <f t="shared" si="171"/>
        <v>0</v>
      </c>
      <c r="AV258" s="53">
        <f t="shared" si="172"/>
        <v>-0.501</v>
      </c>
      <c r="AW258" s="53">
        <f t="shared" si="173"/>
        <v>-127.666</v>
      </c>
      <c r="AX258" s="55">
        <f t="shared" si="174"/>
        <v>-157.173</v>
      </c>
      <c r="AY258" s="53">
        <f t="shared" si="175"/>
        <v>-2452.8910000000001</v>
      </c>
      <c r="AZ258" s="53">
        <f t="shared" si="176"/>
        <v>-2278.9119999999998</v>
      </c>
      <c r="BA258" s="53">
        <f t="shared" si="177"/>
        <v>-2061.6309999999999</v>
      </c>
      <c r="BB258" s="53">
        <f t="shared" si="165"/>
        <v>-5214.2219999999998</v>
      </c>
      <c r="BC258" s="37"/>
    </row>
    <row r="259" spans="1:55" outlineLevel="1">
      <c r="B259" s="87" t="s">
        <v>596</v>
      </c>
      <c r="C259" s="115" t="s">
        <v>390</v>
      </c>
      <c r="D259" s="5"/>
      <c r="E259" s="5"/>
      <c r="F259" s="5"/>
      <c r="G259" s="5"/>
      <c r="H259" s="53">
        <f>Português!H259</f>
        <v>0</v>
      </c>
      <c r="I259" s="53">
        <f>Português!I259</f>
        <v>0</v>
      </c>
      <c r="J259" s="53">
        <f>Português!J259</f>
        <v>0</v>
      </c>
      <c r="K259" s="53">
        <f>Português!K259</f>
        <v>0</v>
      </c>
      <c r="L259" s="53">
        <f>Português!L259</f>
        <v>0</v>
      </c>
      <c r="M259" s="53">
        <f>Português!M259</f>
        <v>0</v>
      </c>
      <c r="N259" s="53">
        <f>Português!N259</f>
        <v>0</v>
      </c>
      <c r="O259" s="53">
        <f>Português!O259</f>
        <v>0</v>
      </c>
      <c r="P259" s="53">
        <f>Português!P259</f>
        <v>0</v>
      </c>
      <c r="Q259" s="53">
        <f>Português!Q259</f>
        <v>0</v>
      </c>
      <c r="R259" s="53">
        <f>Português!R259</f>
        <v>0</v>
      </c>
      <c r="S259" s="53">
        <f>Português!S259</f>
        <v>0</v>
      </c>
      <c r="T259" s="53">
        <f>Português!T259</f>
        <v>0</v>
      </c>
      <c r="U259" s="53">
        <f>Português!U259</f>
        <v>0</v>
      </c>
      <c r="V259" s="53">
        <f>Português!V259</f>
        <v>0</v>
      </c>
      <c r="W259" s="53">
        <f>Português!W259</f>
        <v>0</v>
      </c>
      <c r="X259" s="53">
        <f>Português!X259</f>
        <v>-30.704999999999998</v>
      </c>
      <c r="Y259" s="53">
        <f>Português!Y259</f>
        <v>-3.7860000000000014</v>
      </c>
      <c r="Z259" s="53">
        <f>Português!Z259</f>
        <v>0</v>
      </c>
      <c r="AA259" s="55">
        <f>Português!AA259</f>
        <v>-30.135999999999996</v>
      </c>
      <c r="AB259" s="53">
        <f>Português!AB259</f>
        <v>-185.482</v>
      </c>
      <c r="AC259" s="53">
        <f>Português!AC259</f>
        <v>-447.50099999999998</v>
      </c>
      <c r="AD259" s="53">
        <f>Português!AD259</f>
        <v>-232.45599999999999</v>
      </c>
      <c r="AE259" s="53">
        <f>Português!AE259</f>
        <v>-494.26699999999994</v>
      </c>
      <c r="AF259" s="53">
        <f>Português!AF259</f>
        <v>-197.66399999999999</v>
      </c>
      <c r="AG259" s="53">
        <f>Português!AG259</f>
        <v>-462.81500000000005</v>
      </c>
      <c r="AH259" s="53">
        <f>Português!AH259</f>
        <v>-206.75199999999995</v>
      </c>
      <c r="AI259" s="53">
        <f>Português!AI259</f>
        <v>-536.56700000000001</v>
      </c>
      <c r="AJ259" s="53">
        <f>Português!AJ259</f>
        <v>-179.49799999999999</v>
      </c>
      <c r="AK259" s="53">
        <f>Português!AK259</f>
        <v>-517.76700000000005</v>
      </c>
      <c r="AL259" s="53">
        <f>Português!AL259</f>
        <v>-100.97699999999986</v>
      </c>
      <c r="AM259" s="53">
        <f>Português!AM259</f>
        <v>-571.24500000000012</v>
      </c>
      <c r="AN259" s="53">
        <f>Português!AN259</f>
        <v>-25.667000000000002</v>
      </c>
      <c r="AO259" s="53">
        <f>Português!AO259</f>
        <v>-753.19600000000003</v>
      </c>
      <c r="AP259" s="53">
        <f>Português!AP259</f>
        <v>-27.576999999999998</v>
      </c>
      <c r="AQ259" s="53">
        <f>Português!AQ259</f>
        <v>-932.39699999999993</v>
      </c>
      <c r="AR259" s="53">
        <f>Português!AR259</f>
        <v>-15.449</v>
      </c>
      <c r="AS259" s="19"/>
      <c r="AT259" s="53">
        <f t="shared" si="170"/>
        <v>0</v>
      </c>
      <c r="AU259" s="53">
        <f t="shared" si="171"/>
        <v>0</v>
      </c>
      <c r="AV259" s="53">
        <f t="shared" si="172"/>
        <v>0</v>
      </c>
      <c r="AW259" s="53">
        <f t="shared" si="173"/>
        <v>0</v>
      </c>
      <c r="AX259" s="55">
        <f t="shared" si="174"/>
        <v>-64.626999999999995</v>
      </c>
      <c r="AY259" s="53">
        <f t="shared" si="175"/>
        <v>-1359.7059999999999</v>
      </c>
      <c r="AZ259" s="53">
        <f t="shared" si="176"/>
        <v>-1403.798</v>
      </c>
      <c r="BA259" s="53">
        <f t="shared" si="177"/>
        <v>-1369.4870000000001</v>
      </c>
      <c r="BB259" s="53">
        <f t="shared" si="165"/>
        <v>-1738.837</v>
      </c>
      <c r="BC259" s="37"/>
    </row>
    <row r="260" spans="1:55" outlineLevel="1">
      <c r="B260" s="87" t="s">
        <v>597</v>
      </c>
      <c r="C260" s="115" t="s">
        <v>390</v>
      </c>
      <c r="D260" s="5"/>
      <c r="E260" s="5"/>
      <c r="F260" s="5"/>
      <c r="G260" s="5"/>
      <c r="H260" s="53">
        <f>Português!H260</f>
        <v>0</v>
      </c>
      <c r="I260" s="53">
        <f>Português!I260</f>
        <v>0</v>
      </c>
      <c r="J260" s="53">
        <f>Português!J260</f>
        <v>0</v>
      </c>
      <c r="K260" s="53">
        <f>Português!K260</f>
        <v>0</v>
      </c>
      <c r="L260" s="53">
        <f>Português!L260</f>
        <v>0</v>
      </c>
      <c r="M260" s="53">
        <f>Português!M260</f>
        <v>0</v>
      </c>
      <c r="N260" s="53">
        <f>Português!N260</f>
        <v>0</v>
      </c>
      <c r="O260" s="53">
        <f>Português!O260</f>
        <v>0</v>
      </c>
      <c r="P260" s="53">
        <f>Português!P260</f>
        <v>0</v>
      </c>
      <c r="Q260" s="53">
        <f>Português!Q260</f>
        <v>0</v>
      </c>
      <c r="R260" s="53">
        <f>Português!R260</f>
        <v>0</v>
      </c>
      <c r="S260" s="53">
        <f>Português!S260</f>
        <v>0</v>
      </c>
      <c r="T260" s="53">
        <f>Português!T260</f>
        <v>0</v>
      </c>
      <c r="U260" s="53">
        <f>Português!U260</f>
        <v>0</v>
      </c>
      <c r="V260" s="53">
        <f>Português!V260</f>
        <v>0</v>
      </c>
      <c r="W260" s="53">
        <f>Português!W260</f>
        <v>0</v>
      </c>
      <c r="X260" s="53">
        <f>Português!X260</f>
        <v>0</v>
      </c>
      <c r="Y260" s="53">
        <f>Português!Y260</f>
        <v>0</v>
      </c>
      <c r="Z260" s="53">
        <f>Português!Z260</f>
        <v>0</v>
      </c>
      <c r="AA260" s="53">
        <f>Português!AA260</f>
        <v>-47.820999999999998</v>
      </c>
      <c r="AB260" s="53">
        <f>Português!AB260</f>
        <v>0</v>
      </c>
      <c r="AC260" s="53">
        <f>Português!AC260</f>
        <v>-9.7569999999999997</v>
      </c>
      <c r="AD260" s="53">
        <f>Português!AD260</f>
        <v>0.10100000000000001</v>
      </c>
      <c r="AE260" s="53">
        <f>Português!AE260</f>
        <v>-23.208000000000002</v>
      </c>
      <c r="AF260" s="53">
        <f>Português!AF260</f>
        <v>0</v>
      </c>
      <c r="AG260" s="53">
        <f>Português!AG260</f>
        <v>-2.6549999999999998</v>
      </c>
      <c r="AH260" s="53">
        <f>Português!AH260</f>
        <v>5.2569999999999997</v>
      </c>
      <c r="AI260" s="53">
        <f>Português!AI260</f>
        <v>-3.387</v>
      </c>
      <c r="AJ260" s="53">
        <f>Português!AJ260</f>
        <v>0</v>
      </c>
      <c r="AK260" s="53">
        <f>Português!AK260</f>
        <v>-5.907</v>
      </c>
      <c r="AL260" s="53">
        <f>Português!AL260</f>
        <v>0</v>
      </c>
      <c r="AM260" s="53">
        <f>Português!AM260</f>
        <v>-10.5</v>
      </c>
      <c r="AN260" s="53">
        <f>Português!AN260</f>
        <v>-0.373</v>
      </c>
      <c r="AO260" s="53">
        <f>Português!AO260</f>
        <v>-5.9689999999999994</v>
      </c>
      <c r="AP260" s="53">
        <f>Português!AP260</f>
        <v>0</v>
      </c>
      <c r="AQ260" s="53">
        <f>Português!AQ260</f>
        <v>-13.393000000000001</v>
      </c>
      <c r="AR260" s="53">
        <f>Português!AR260</f>
        <v>0</v>
      </c>
      <c r="AS260" s="19"/>
      <c r="AT260" s="53"/>
      <c r="AU260" s="53"/>
      <c r="AV260" s="53"/>
      <c r="AW260" s="53"/>
      <c r="AX260" s="53">
        <f t="shared" si="174"/>
        <v>-47.820999999999998</v>
      </c>
      <c r="AY260" s="53">
        <f t="shared" si="175"/>
        <v>-32.864000000000004</v>
      </c>
      <c r="AZ260" s="53">
        <f t="shared" si="176"/>
        <v>-0.78500000000000014</v>
      </c>
      <c r="BA260" s="53">
        <f t="shared" si="177"/>
        <v>-16.407</v>
      </c>
      <c r="BB260" s="53">
        <f t="shared" si="165"/>
        <v>-19.734999999999999</v>
      </c>
      <c r="BC260" s="37"/>
    </row>
    <row r="261" spans="1:55">
      <c r="B261" s="87" t="s">
        <v>598</v>
      </c>
      <c r="C261" s="115" t="s">
        <v>390</v>
      </c>
      <c r="H261" s="53">
        <f>Português!H261</f>
        <v>0</v>
      </c>
      <c r="I261" s="53">
        <f>Português!I261</f>
        <v>0</v>
      </c>
      <c r="J261" s="53">
        <f>Português!J261</f>
        <v>0</v>
      </c>
      <c r="K261" s="53">
        <f>Português!K261</f>
        <v>0</v>
      </c>
      <c r="L261" s="53">
        <f>Português!L261</f>
        <v>0</v>
      </c>
      <c r="M261" s="53">
        <f>Português!M261</f>
        <v>0</v>
      </c>
      <c r="N261" s="53">
        <f>Português!N261</f>
        <v>0</v>
      </c>
      <c r="O261" s="53">
        <f>Português!O261</f>
        <v>0</v>
      </c>
      <c r="P261" s="53">
        <f>Português!P261</f>
        <v>0</v>
      </c>
      <c r="Q261" s="53">
        <f>Português!Q261</f>
        <v>0</v>
      </c>
      <c r="R261" s="53">
        <f>Português!R261</f>
        <v>0</v>
      </c>
      <c r="S261" s="53">
        <f>Português!S261</f>
        <v>0</v>
      </c>
      <c r="T261" s="53">
        <f>Português!T261</f>
        <v>0</v>
      </c>
      <c r="U261" s="53">
        <f>Português!U261</f>
        <v>0</v>
      </c>
      <c r="V261" s="53">
        <f>Português!V261</f>
        <v>0</v>
      </c>
      <c r="W261" s="53">
        <f>Português!W261</f>
        <v>0</v>
      </c>
      <c r="X261" s="53">
        <f>Português!X261</f>
        <v>0</v>
      </c>
      <c r="Y261" s="53">
        <f>Português!Y261</f>
        <v>0</v>
      </c>
      <c r="Z261" s="53">
        <f>Português!Z261</f>
        <v>-137.959</v>
      </c>
      <c r="AA261" s="53">
        <f>Português!AA261</f>
        <v>-1.5349999999999966</v>
      </c>
      <c r="AB261" s="53">
        <f>Português!AB261</f>
        <v>-0.58699999999999997</v>
      </c>
      <c r="AC261" s="53">
        <f>Português!AC261</f>
        <v>-23.64</v>
      </c>
      <c r="AD261" s="53">
        <f>Português!AD261</f>
        <v>-48.121000000000002</v>
      </c>
      <c r="AE261" s="53">
        <f>Português!AE261</f>
        <v>-9.1740000000000066</v>
      </c>
      <c r="AF261" s="53">
        <f>Português!AF261</f>
        <v>-4.8879999999999999</v>
      </c>
      <c r="AG261" s="53">
        <f>Português!AG261</f>
        <v>-3.0540000000000003</v>
      </c>
      <c r="AH261" s="53">
        <f>Português!AH261</f>
        <v>-41.652000000000001</v>
      </c>
      <c r="AI261" s="53">
        <f>Português!AI261</f>
        <v>-47.460999999999999</v>
      </c>
      <c r="AJ261" s="53">
        <f>Português!AJ261</f>
        <v>-1.706</v>
      </c>
      <c r="AK261" s="53">
        <f>Português!AK261</f>
        <v>-306.488</v>
      </c>
      <c r="AL261" s="53">
        <f>Português!AL261</f>
        <v>-50.456999999999994</v>
      </c>
      <c r="AM261" s="53">
        <f>Português!AM261</f>
        <v>-16.456999999999994</v>
      </c>
      <c r="AN261" s="53">
        <f>Português!AN261</f>
        <v>-68.629000000000005</v>
      </c>
      <c r="AO261" s="53">
        <f>Português!AO261</f>
        <v>-157.065</v>
      </c>
      <c r="AP261" s="53">
        <f>Português!AP261</f>
        <v>-40.760999999999967</v>
      </c>
      <c r="AQ261" s="53">
        <f>Português!AQ261</f>
        <v>-211.48200000000003</v>
      </c>
      <c r="AR261" s="53">
        <f>Português!AR261</f>
        <v>-10</v>
      </c>
      <c r="AS261" s="19"/>
      <c r="AT261" s="53"/>
      <c r="AU261" s="53"/>
      <c r="AV261" s="53"/>
      <c r="AW261" s="53"/>
      <c r="AX261" s="53">
        <f t="shared" si="174"/>
        <v>-139.494</v>
      </c>
      <c r="AY261" s="53">
        <f t="shared" si="175"/>
        <v>-81.522000000000006</v>
      </c>
      <c r="AZ261" s="53">
        <f t="shared" si="176"/>
        <v>-97.055000000000007</v>
      </c>
      <c r="BA261" s="53">
        <f t="shared" si="177"/>
        <v>-375.108</v>
      </c>
      <c r="BB261" s="53">
        <f t="shared" si="165"/>
        <v>-477.93700000000001</v>
      </c>
      <c r="BC261" s="37"/>
    </row>
    <row r="262" spans="1:55" outlineLevel="1">
      <c r="B262" s="87" t="s">
        <v>599</v>
      </c>
      <c r="C262" s="115" t="s">
        <v>390</v>
      </c>
      <c r="D262" s="5"/>
      <c r="E262" s="5"/>
      <c r="F262" s="5"/>
      <c r="G262" s="5"/>
      <c r="H262" s="53">
        <f>Português!H262</f>
        <v>-11.638999999999999</v>
      </c>
      <c r="I262" s="53">
        <f>Português!I262</f>
        <v>-123.43900000000001</v>
      </c>
      <c r="J262" s="53">
        <f>Português!J262</f>
        <v>-20.929999999999993</v>
      </c>
      <c r="K262" s="53">
        <f>Português!K262</f>
        <v>-5.3699999999999761</v>
      </c>
      <c r="L262" s="53">
        <f>Português!L262</f>
        <v>-70.119</v>
      </c>
      <c r="M262" s="53">
        <f>Português!M262</f>
        <v>-401.1</v>
      </c>
      <c r="N262" s="53">
        <f>Português!N262</f>
        <v>-352.67699999999991</v>
      </c>
      <c r="O262" s="53">
        <f>Português!O262</f>
        <v>0.12399999999990996</v>
      </c>
      <c r="P262" s="53">
        <f>Português!P262</f>
        <v>0</v>
      </c>
      <c r="Q262" s="53">
        <f>Português!Q262</f>
        <v>-188.61699999999999</v>
      </c>
      <c r="R262" s="53">
        <f>Português!R262</f>
        <v>-2.4510000000000001</v>
      </c>
      <c r="S262" s="53">
        <f>Português!S262</f>
        <v>-1.664000000000009</v>
      </c>
      <c r="T262" s="53">
        <f>Português!T262</f>
        <v>0</v>
      </c>
      <c r="U262" s="53">
        <f>Português!U262</f>
        <v>0</v>
      </c>
      <c r="V262" s="53">
        <f>Português!V262</f>
        <v>-204.65299999999999</v>
      </c>
      <c r="W262" s="53">
        <f>Português!W262</f>
        <v>0</v>
      </c>
      <c r="X262" s="53">
        <f>Português!X262</f>
        <v>0</v>
      </c>
      <c r="Y262" s="53">
        <f>Português!Y262</f>
        <v>-186.072</v>
      </c>
      <c r="Z262" s="53">
        <f>Português!Z262</f>
        <v>-59.597999999999999</v>
      </c>
      <c r="AA262" s="53">
        <f>Português!AA262</f>
        <v>-38.918000000000006</v>
      </c>
      <c r="AB262" s="53">
        <f>Português!AB262</f>
        <v>-1017.144</v>
      </c>
      <c r="AC262" s="53">
        <f>Português!AC262</f>
        <v>0</v>
      </c>
      <c r="AD262" s="53">
        <f>Português!AD262</f>
        <v>-1E-3</v>
      </c>
      <c r="AE262" s="53">
        <f>Português!AE262</f>
        <v>-4.4999999999959073E-2</v>
      </c>
      <c r="AF262" s="53">
        <f>Português!AF262</f>
        <v>0</v>
      </c>
      <c r="AG262" s="53">
        <f>Português!AG262</f>
        <v>0</v>
      </c>
      <c r="AH262" s="53">
        <f>Português!AH262</f>
        <v>0</v>
      </c>
      <c r="AI262" s="53">
        <f>Português!AI262</f>
        <v>0</v>
      </c>
      <c r="AJ262" s="53">
        <f>Português!AJ262</f>
        <v>0</v>
      </c>
      <c r="AK262" s="53">
        <f>Português!AK262</f>
        <v>0</v>
      </c>
      <c r="AL262" s="53">
        <f>Português!AL262</f>
        <v>0</v>
      </c>
      <c r="AM262" s="53">
        <f>Português!AM262</f>
        <v>0</v>
      </c>
      <c r="AN262" s="53">
        <f>Português!AN262</f>
        <v>0</v>
      </c>
      <c r="AO262" s="53">
        <f>Português!AO262</f>
        <v>0</v>
      </c>
      <c r="AP262" s="53">
        <f>Português!AP262</f>
        <v>0</v>
      </c>
      <c r="AQ262" s="53">
        <f>Português!AQ262</f>
        <v>0</v>
      </c>
      <c r="AR262" s="53">
        <f>Português!AR262</f>
        <v>0</v>
      </c>
      <c r="AS262" s="19"/>
      <c r="AT262" s="53">
        <f>SUM(H262:K262)</f>
        <v>-161.37799999999996</v>
      </c>
      <c r="AU262" s="53">
        <f>SUM(L262:O262)</f>
        <v>-823.77200000000005</v>
      </c>
      <c r="AV262" s="53">
        <f>SUM(P262:S262)</f>
        <v>-192.732</v>
      </c>
      <c r="AW262" s="53">
        <f>SUM(T262:W262)</f>
        <v>-204.65299999999999</v>
      </c>
      <c r="AX262" s="53">
        <f t="shared" si="174"/>
        <v>-284.58800000000002</v>
      </c>
      <c r="AY262" s="53">
        <f t="shared" si="175"/>
        <v>-1017.1899999999999</v>
      </c>
      <c r="AZ262" s="53">
        <f t="shared" si="176"/>
        <v>0</v>
      </c>
      <c r="BA262" s="53">
        <f t="shared" si="177"/>
        <v>0</v>
      </c>
      <c r="BB262" s="53">
        <f t="shared" si="165"/>
        <v>0</v>
      </c>
      <c r="BC262" s="37"/>
    </row>
    <row r="263" spans="1:55" outlineLevel="1">
      <c r="B263" s="87" t="s">
        <v>600</v>
      </c>
      <c r="C263" s="115" t="s">
        <v>390</v>
      </c>
      <c r="D263" s="5"/>
      <c r="E263" s="5"/>
      <c r="F263" s="5"/>
      <c r="G263" s="5"/>
      <c r="H263" s="53">
        <f>Português!H263</f>
        <v>0</v>
      </c>
      <c r="I263" s="53">
        <f>Português!I263</f>
        <v>0</v>
      </c>
      <c r="J263" s="53">
        <f>Português!J263</f>
        <v>0</v>
      </c>
      <c r="K263" s="53">
        <f>Português!K263</f>
        <v>0</v>
      </c>
      <c r="L263" s="53">
        <f>Português!L263</f>
        <v>0</v>
      </c>
      <c r="M263" s="53">
        <f>Português!M263</f>
        <v>0</v>
      </c>
      <c r="N263" s="53">
        <f>Português!N263</f>
        <v>0</v>
      </c>
      <c r="O263" s="53">
        <f>Português!O263</f>
        <v>0</v>
      </c>
      <c r="P263" s="53">
        <f>Português!P263</f>
        <v>-23.062000000000001</v>
      </c>
      <c r="Q263" s="53">
        <f>Português!Q263</f>
        <v>-25.861000000000001</v>
      </c>
      <c r="R263" s="53">
        <f>Português!R263</f>
        <v>-28.860000000000003</v>
      </c>
      <c r="S263" s="53">
        <f>Português!S263</f>
        <v>-30.430999999999994</v>
      </c>
      <c r="T263" s="53">
        <f>Português!T263</f>
        <v>-34.265000000000001</v>
      </c>
      <c r="U263" s="53">
        <f>Português!U263</f>
        <v>-33.884</v>
      </c>
      <c r="V263" s="53">
        <f>Português!V263</f>
        <v>-33.453999999999994</v>
      </c>
      <c r="W263" s="53">
        <f>Português!W263</f>
        <v>-39.457000000000008</v>
      </c>
      <c r="X263" s="53">
        <f>Português!X263</f>
        <v>-37.075000000000003</v>
      </c>
      <c r="Y263" s="53">
        <f>Português!Y263</f>
        <v>-34.155999999999992</v>
      </c>
      <c r="Z263" s="53">
        <f>Português!Z263</f>
        <v>-40.081000000000003</v>
      </c>
      <c r="AA263" s="53">
        <f>Português!AA263</f>
        <v>-43.991</v>
      </c>
      <c r="AB263" s="53">
        <f>Português!AB263</f>
        <v>-62.892000000000003</v>
      </c>
      <c r="AC263" s="53">
        <f>Português!AC263</f>
        <v>-75.551000000000002</v>
      </c>
      <c r="AD263" s="53">
        <f>Português!AD263</f>
        <v>-75.194000000000003</v>
      </c>
      <c r="AE263" s="53">
        <f>Português!AE263</f>
        <v>-113.35800000000003</v>
      </c>
      <c r="AF263" s="53">
        <f>Português!AF263</f>
        <v>-102.42</v>
      </c>
      <c r="AG263" s="53">
        <f>Português!AG263</f>
        <v>-109.26899999999999</v>
      </c>
      <c r="AH263" s="53">
        <f>Português!AH263</f>
        <v>-122.36100000000002</v>
      </c>
      <c r="AI263" s="53">
        <f>Português!AI263</f>
        <v>-121.51799999999994</v>
      </c>
      <c r="AJ263" s="53">
        <f>Português!AJ263</f>
        <v>-120.169</v>
      </c>
      <c r="AK263" s="53">
        <f>Português!AK263</f>
        <v>-122.07899999999999</v>
      </c>
      <c r="AL263" s="53">
        <f>Português!AL263</f>
        <v>-121.36200000000004</v>
      </c>
      <c r="AM263" s="53">
        <f>Português!AM263</f>
        <v>-146.63299999999998</v>
      </c>
      <c r="AN263" s="53">
        <f>Português!AN263</f>
        <v>-132.422</v>
      </c>
      <c r="AO263" s="53">
        <f>Português!AO263</f>
        <v>-133.47400000000002</v>
      </c>
      <c r="AP263" s="53">
        <f>Português!AP263</f>
        <v>-140.55899999999997</v>
      </c>
      <c r="AQ263" s="53">
        <f>Português!AQ263</f>
        <v>-158.92000000000002</v>
      </c>
      <c r="AR263" s="53">
        <f>Português!AR263</f>
        <v>-148.24299999999999</v>
      </c>
      <c r="AS263" s="19"/>
      <c r="AT263" s="53">
        <f>SUM(H263:K263)</f>
        <v>0</v>
      </c>
      <c r="AU263" s="53">
        <f>SUM(L263:O263)</f>
        <v>0</v>
      </c>
      <c r="AV263" s="53">
        <f>SUM(P263:S263)</f>
        <v>-108.214</v>
      </c>
      <c r="AW263" s="53">
        <f>SUM(T263:W263)</f>
        <v>-141.06</v>
      </c>
      <c r="AX263" s="53">
        <f t="shared" si="174"/>
        <v>-155.303</v>
      </c>
      <c r="AY263" s="53">
        <f t="shared" si="175"/>
        <v>-326.995</v>
      </c>
      <c r="AZ263" s="53">
        <f t="shared" si="176"/>
        <v>-455.56799999999998</v>
      </c>
      <c r="BA263" s="53">
        <f t="shared" si="177"/>
        <v>-510.24299999999999</v>
      </c>
      <c r="BB263" s="53">
        <f t="shared" si="165"/>
        <v>-565.375</v>
      </c>
      <c r="BC263" s="37"/>
    </row>
    <row r="264" spans="1:55" outlineLevel="1">
      <c r="B264" s="87" t="s">
        <v>601</v>
      </c>
      <c r="C264" s="115" t="s">
        <v>390</v>
      </c>
      <c r="D264" s="5"/>
      <c r="E264" s="5"/>
      <c r="F264" s="5"/>
      <c r="G264" s="5"/>
      <c r="H264" s="53">
        <f>Português!H264</f>
        <v>0</v>
      </c>
      <c r="I264" s="53">
        <f>Português!I264</f>
        <v>0</v>
      </c>
      <c r="J264" s="53">
        <f>Português!J264</f>
        <v>0</v>
      </c>
      <c r="K264" s="53">
        <f>Português!K264</f>
        <v>0</v>
      </c>
      <c r="L264" s="53">
        <f>Português!L264</f>
        <v>0</v>
      </c>
      <c r="M264" s="53">
        <f>Português!M264</f>
        <v>2631</v>
      </c>
      <c r="N264" s="53">
        <f>Português!N264</f>
        <v>2.7999999999792635E-2</v>
      </c>
      <c r="O264" s="53">
        <f>Português!O264</f>
        <v>-9.9999999974897946E-4</v>
      </c>
      <c r="P264" s="53">
        <f>Português!P264</f>
        <v>0</v>
      </c>
      <c r="Q264" s="53">
        <f>Português!Q264</f>
        <v>0</v>
      </c>
      <c r="R264" s="53">
        <f>Português!R264</f>
        <v>2664.4949999999999</v>
      </c>
      <c r="S264" s="53">
        <f>Português!S264</f>
        <v>0</v>
      </c>
      <c r="T264" s="53">
        <f>Português!T264</f>
        <v>0</v>
      </c>
      <c r="U264" s="53">
        <f>Português!U264</f>
        <v>0</v>
      </c>
      <c r="V264" s="53">
        <f>Português!V264</f>
        <v>0</v>
      </c>
      <c r="W264" s="53">
        <f>Português!W264</f>
        <v>0</v>
      </c>
      <c r="X264" s="53">
        <f>Português!X264</f>
        <v>0</v>
      </c>
      <c r="Y264" s="53">
        <f>Português!Y264</f>
        <v>2025</v>
      </c>
      <c r="Z264" s="53">
        <f>Português!Z264</f>
        <v>0</v>
      </c>
      <c r="AA264" s="53">
        <f>Português!AA264</f>
        <v>0</v>
      </c>
      <c r="AB264" s="53">
        <f>Português!AB264</f>
        <v>0</v>
      </c>
      <c r="AC264" s="53">
        <f>Português!AC264</f>
        <v>0</v>
      </c>
      <c r="AD264" s="53">
        <f>Português!AD264</f>
        <v>0</v>
      </c>
      <c r="AE264" s="53">
        <f>Português!AE264</f>
        <v>1.089</v>
      </c>
      <c r="AF264" s="53">
        <f>Português!AF264</f>
        <v>0</v>
      </c>
      <c r="AG264" s="53">
        <f>Português!AG264</f>
        <v>1059.155</v>
      </c>
      <c r="AH264" s="53">
        <f>Português!AH264</f>
        <v>0</v>
      </c>
      <c r="AI264" s="53">
        <f>Português!AI264</f>
        <v>0</v>
      </c>
      <c r="AJ264" s="53">
        <f>Português!AJ264</f>
        <v>0</v>
      </c>
      <c r="AK264" s="53">
        <f>Português!AK264</f>
        <v>0</v>
      </c>
      <c r="AL264" s="53">
        <f>Português!AL264</f>
        <v>0</v>
      </c>
      <c r="AM264" s="53">
        <f>Português!AM264</f>
        <v>0</v>
      </c>
      <c r="AN264" s="53">
        <f>Português!AN264</f>
        <v>0</v>
      </c>
      <c r="AO264" s="53">
        <f>Português!AO264</f>
        <v>0</v>
      </c>
      <c r="AP264" s="53">
        <f>Português!AP264</f>
        <v>0</v>
      </c>
      <c r="AQ264" s="53">
        <f>Português!AQ264</f>
        <v>0</v>
      </c>
      <c r="AR264" s="53">
        <f>Português!AR264</f>
        <v>0</v>
      </c>
      <c r="AS264" s="19"/>
      <c r="AT264" s="53">
        <f>SUM(H264:K264)</f>
        <v>0</v>
      </c>
      <c r="AU264" s="53">
        <f>SUM(L264:O264)</f>
        <v>2631.027</v>
      </c>
      <c r="AV264" s="53">
        <f>SUM(P264:S264)</f>
        <v>2664.4949999999999</v>
      </c>
      <c r="AW264" s="53">
        <f>SUM(T264:W264)</f>
        <v>0</v>
      </c>
      <c r="AX264" s="53">
        <f t="shared" si="174"/>
        <v>2025</v>
      </c>
      <c r="AY264" s="53">
        <f t="shared" si="175"/>
        <v>1.089</v>
      </c>
      <c r="AZ264" s="53">
        <f t="shared" si="176"/>
        <v>1059.155</v>
      </c>
      <c r="BA264" s="53">
        <f t="shared" si="177"/>
        <v>0</v>
      </c>
      <c r="BB264" s="53">
        <f t="shared" si="165"/>
        <v>0</v>
      </c>
      <c r="BC264" s="37"/>
    </row>
    <row r="265" spans="1:55" outlineLevel="1">
      <c r="B265" s="87" t="s">
        <v>602</v>
      </c>
      <c r="C265" s="115" t="s">
        <v>390</v>
      </c>
      <c r="D265" s="5"/>
      <c r="E265" s="5"/>
      <c r="F265" s="5"/>
      <c r="G265" s="5"/>
      <c r="H265" s="53">
        <f>Português!H265</f>
        <v>0</v>
      </c>
      <c r="I265" s="53">
        <f>Português!I265</f>
        <v>0</v>
      </c>
      <c r="J265" s="53">
        <f>Português!J265</f>
        <v>0</v>
      </c>
      <c r="K265" s="53">
        <f>Português!K265</f>
        <v>0</v>
      </c>
      <c r="L265" s="53">
        <f>Português!L265</f>
        <v>0</v>
      </c>
      <c r="M265" s="53">
        <f>Português!M265</f>
        <v>0</v>
      </c>
      <c r="N265" s="53">
        <f>Português!N265</f>
        <v>0</v>
      </c>
      <c r="O265" s="53">
        <f>Português!O265</f>
        <v>0</v>
      </c>
      <c r="P265" s="53">
        <f>Português!P265</f>
        <v>0</v>
      </c>
      <c r="Q265" s="53">
        <f>Português!Q265</f>
        <v>0</v>
      </c>
      <c r="R265" s="53">
        <f>Português!R265</f>
        <v>0</v>
      </c>
      <c r="S265" s="53">
        <f>Português!S265</f>
        <v>0</v>
      </c>
      <c r="T265" s="53">
        <f>Português!T265</f>
        <v>0</v>
      </c>
      <c r="U265" s="53">
        <f>Português!U265</f>
        <v>0</v>
      </c>
      <c r="V265" s="53">
        <f>Português!V265</f>
        <v>0</v>
      </c>
      <c r="W265" s="53">
        <f>Português!W265</f>
        <v>0</v>
      </c>
      <c r="X265" s="53">
        <f>Português!X265</f>
        <v>0</v>
      </c>
      <c r="Y265" s="53">
        <f>Português!Y265</f>
        <v>0</v>
      </c>
      <c r="Z265" s="53">
        <f>Português!Z265</f>
        <v>-73.995999999999995</v>
      </c>
      <c r="AA265" s="53">
        <f>Português!AA265</f>
        <v>-225.82800000000003</v>
      </c>
      <c r="AB265" s="53">
        <f>Português!AB265</f>
        <v>-29.28</v>
      </c>
      <c r="AC265" s="53">
        <f>Português!AC265</f>
        <v>0</v>
      </c>
      <c r="AD265" s="53">
        <f>Português!AD265</f>
        <v>0</v>
      </c>
      <c r="AE265" s="53">
        <f>Português!AE265</f>
        <v>-98.65</v>
      </c>
      <c r="AF265" s="53">
        <f>Português!AF265</f>
        <v>2.2090000000000001</v>
      </c>
      <c r="AG265" s="53">
        <f>Português!AG265</f>
        <v>0</v>
      </c>
      <c r="AH265" s="53">
        <f>Português!AH265</f>
        <v>-26.4</v>
      </c>
      <c r="AI265" s="53">
        <f>Português!AI265</f>
        <v>0</v>
      </c>
      <c r="AJ265" s="53">
        <f>Português!AJ265</f>
        <v>-20.724</v>
      </c>
      <c r="AK265" s="53">
        <f>Português!AK265</f>
        <v>0</v>
      </c>
      <c r="AL265" s="53">
        <f>Português!AL265</f>
        <v>0</v>
      </c>
      <c r="AM265" s="53">
        <f>Português!AM265</f>
        <v>-200.089</v>
      </c>
      <c r="AN265" s="53">
        <f>Português!AN265</f>
        <v>-0.28599999999999998</v>
      </c>
      <c r="AO265" s="53">
        <f>Português!AO265</f>
        <v>-0.52800000000000002</v>
      </c>
      <c r="AP265" s="53">
        <f>Português!AP265</f>
        <v>-1.4830000000000001</v>
      </c>
      <c r="AQ265" s="53">
        <f>Português!AQ265</f>
        <v>-384.07499999999999</v>
      </c>
      <c r="AR265" s="53">
        <f>Português!AR265</f>
        <v>0</v>
      </c>
      <c r="AS265" s="19"/>
      <c r="AT265" s="53"/>
      <c r="AU265" s="53"/>
      <c r="AV265" s="53"/>
      <c r="AW265" s="53"/>
      <c r="AX265" s="53">
        <f t="shared" si="174"/>
        <v>-299.82400000000001</v>
      </c>
      <c r="AY265" s="53">
        <f t="shared" si="175"/>
        <v>-127.93</v>
      </c>
      <c r="AZ265" s="53">
        <f t="shared" si="176"/>
        <v>-24.190999999999999</v>
      </c>
      <c r="BA265" s="53">
        <f t="shared" si="177"/>
        <v>-220.81299999999999</v>
      </c>
      <c r="BB265" s="53">
        <f t="shared" si="165"/>
        <v>-386.37200000000001</v>
      </c>
      <c r="BC265" s="37"/>
    </row>
    <row r="266" spans="1:55" outlineLevel="1">
      <c r="B266" s="14" t="s">
        <v>517</v>
      </c>
      <c r="C266" s="115" t="s">
        <v>390</v>
      </c>
      <c r="D266" s="5"/>
      <c r="E266" s="5"/>
      <c r="F266" s="5"/>
      <c r="G266" s="5"/>
      <c r="H266" s="53">
        <f>Português!H266</f>
        <v>0</v>
      </c>
      <c r="I266" s="53">
        <f>Português!I266</f>
        <v>0</v>
      </c>
      <c r="J266" s="53">
        <f>Português!J266</f>
        <v>0</v>
      </c>
      <c r="K266" s="53">
        <f>Português!K266</f>
        <v>0</v>
      </c>
      <c r="L266" s="53">
        <f>Português!L266</f>
        <v>0</v>
      </c>
      <c r="M266" s="53">
        <f>Português!M266</f>
        <v>0</v>
      </c>
      <c r="N266" s="53">
        <f>Português!N266</f>
        <v>0</v>
      </c>
      <c r="O266" s="53">
        <f>Português!O266</f>
        <v>0</v>
      </c>
      <c r="P266" s="53">
        <f>Português!P266</f>
        <v>0</v>
      </c>
      <c r="Q266" s="53">
        <f>Português!Q266</f>
        <v>0</v>
      </c>
      <c r="R266" s="53">
        <f>Português!R266</f>
        <v>0</v>
      </c>
      <c r="S266" s="53">
        <f>Português!S266</f>
        <v>-2E-3</v>
      </c>
      <c r="T266" s="53">
        <f>Português!T266</f>
        <v>0</v>
      </c>
      <c r="U266" s="53">
        <f>Português!U266</f>
        <v>0</v>
      </c>
      <c r="V266" s="53">
        <f>Português!V266</f>
        <v>0</v>
      </c>
      <c r="W266" s="53">
        <f>Português!W266</f>
        <v>0</v>
      </c>
      <c r="X266" s="53">
        <f>Português!X266</f>
        <v>0</v>
      </c>
      <c r="Y266" s="53">
        <f>Português!Y266</f>
        <v>0</v>
      </c>
      <c r="Z266" s="53">
        <f>Português!Z266</f>
        <v>0</v>
      </c>
      <c r="AA266" s="53">
        <f>Português!AA266</f>
        <v>0</v>
      </c>
      <c r="AB266" s="53">
        <f>Português!AB266</f>
        <v>0</v>
      </c>
      <c r="AC266" s="53">
        <f>Português!AC266</f>
        <v>0</v>
      </c>
      <c r="AD266" s="53">
        <f>Português!AD266</f>
        <v>0</v>
      </c>
      <c r="AE266" s="53">
        <f>Português!AE266</f>
        <v>0</v>
      </c>
      <c r="AF266" s="53">
        <f>Português!AF266</f>
        <v>0</v>
      </c>
      <c r="AG266" s="53">
        <f>Português!AG266</f>
        <v>0</v>
      </c>
      <c r="AH266" s="53">
        <f>Português!AH266</f>
        <v>0</v>
      </c>
      <c r="AI266" s="53">
        <f>Português!AI266</f>
        <v>0</v>
      </c>
      <c r="AJ266" s="53">
        <f>Português!AJ266</f>
        <v>0</v>
      </c>
      <c r="AK266" s="53">
        <f>Português!AK266</f>
        <v>0</v>
      </c>
      <c r="AL266" s="53">
        <f>Português!AL266</f>
        <v>0</v>
      </c>
      <c r="AM266" s="53">
        <f>Português!AM266</f>
        <v>0</v>
      </c>
      <c r="AN266" s="53">
        <f>Português!AN266</f>
        <v>0</v>
      </c>
      <c r="AO266" s="53">
        <f>Português!AO266</f>
        <v>0</v>
      </c>
      <c r="AP266" s="53">
        <f>Português!AP266</f>
        <v>0</v>
      </c>
      <c r="AQ266" s="53">
        <f>Português!AQ266</f>
        <v>0</v>
      </c>
      <c r="AR266" s="53">
        <f>Português!AR266</f>
        <v>0</v>
      </c>
      <c r="AS266" s="19"/>
      <c r="AT266" s="53">
        <f>SUM(H266:K266)</f>
        <v>0</v>
      </c>
      <c r="AU266" s="53">
        <f>SUM(L266:O266)</f>
        <v>0</v>
      </c>
      <c r="AV266" s="53">
        <f>SUM(P266:S266)</f>
        <v>-2E-3</v>
      </c>
      <c r="AW266" s="53">
        <f>SUM(T266:W266)</f>
        <v>0</v>
      </c>
      <c r="AX266" s="53">
        <f t="shared" si="174"/>
        <v>0</v>
      </c>
      <c r="AY266" s="53">
        <f t="shared" si="175"/>
        <v>0</v>
      </c>
      <c r="AZ266" s="53">
        <f t="shared" si="176"/>
        <v>0</v>
      </c>
      <c r="BA266" s="53">
        <f t="shared" si="177"/>
        <v>0</v>
      </c>
      <c r="BB266" s="53">
        <f t="shared" si="165"/>
        <v>0</v>
      </c>
      <c r="BC266" s="37"/>
    </row>
    <row r="267" spans="1:55" outlineLevel="1">
      <c r="B267" s="87" t="s">
        <v>603</v>
      </c>
      <c r="C267" s="115" t="s">
        <v>390</v>
      </c>
      <c r="D267" s="5"/>
      <c r="E267" s="5"/>
      <c r="F267" s="5"/>
      <c r="G267" s="5"/>
      <c r="H267" s="53">
        <f>Português!H267</f>
        <v>0</v>
      </c>
      <c r="I267" s="53">
        <f>Português!I267</f>
        <v>-1.083</v>
      </c>
      <c r="J267" s="53">
        <f>Português!J267</f>
        <v>-3.400000000000003E-2</v>
      </c>
      <c r="K267" s="53">
        <f>Português!K267</f>
        <v>1.117</v>
      </c>
      <c r="L267" s="53">
        <f>Português!L267</f>
        <v>-0.83199999999999996</v>
      </c>
      <c r="M267" s="53">
        <f>Português!M267</f>
        <v>0.2</v>
      </c>
      <c r="N267" s="53">
        <f>Português!N267</f>
        <v>-1.9000000000000128E-2</v>
      </c>
      <c r="O267" s="53">
        <f>Português!O267</f>
        <v>2.9740000000000002</v>
      </c>
      <c r="P267" s="53">
        <f>Português!P267</f>
        <v>9</v>
      </c>
      <c r="Q267" s="53">
        <f>Português!Q267</f>
        <v>8.5</v>
      </c>
      <c r="R267" s="53">
        <f>Português!R267</f>
        <v>-21.989000000000001</v>
      </c>
      <c r="S267" s="53">
        <f>Português!S267</f>
        <v>1.4390000000000001</v>
      </c>
      <c r="T267" s="53">
        <f>Português!T267</f>
        <v>-1.0999999999999999E-2</v>
      </c>
      <c r="U267" s="53">
        <f>Português!U267</f>
        <v>0.28400000000000003</v>
      </c>
      <c r="V267" s="53">
        <f>Português!V267</f>
        <v>3.0000000000000027E-3</v>
      </c>
      <c r="W267" s="53">
        <f>Português!W267</f>
        <v>-2.6180000000000003</v>
      </c>
      <c r="X267" s="53">
        <f>Português!X267</f>
        <v>0</v>
      </c>
      <c r="Y267" s="53">
        <f>Português!Y267</f>
        <v>-6.0000000000000001E-3</v>
      </c>
      <c r="Z267" s="53">
        <f>Português!Z267</f>
        <v>0.18099999999999999</v>
      </c>
      <c r="AA267" s="53">
        <f>Português!AA267</f>
        <v>-3.6379999999999999</v>
      </c>
      <c r="AB267" s="53">
        <f>Português!AB267</f>
        <v>0</v>
      </c>
      <c r="AC267" s="53">
        <f>Português!AC267</f>
        <v>0</v>
      </c>
      <c r="AD267" s="53">
        <f>Português!AD267</f>
        <v>0</v>
      </c>
      <c r="AE267" s="53">
        <f>Português!AE267</f>
        <v>0</v>
      </c>
      <c r="AF267" s="53">
        <f>Português!AF267</f>
        <v>0</v>
      </c>
      <c r="AG267" s="53">
        <f>Português!AG267</f>
        <v>0</v>
      </c>
      <c r="AH267" s="53">
        <f>Português!AH267</f>
        <v>0</v>
      </c>
      <c r="AI267" s="53">
        <f>Português!AI267</f>
        <v>0</v>
      </c>
      <c r="AJ267" s="53">
        <f>Português!AJ267</f>
        <v>0</v>
      </c>
      <c r="AK267" s="53">
        <f>Português!AK267</f>
        <v>0</v>
      </c>
      <c r="AL267" s="53">
        <f>Português!AL267</f>
        <v>0</v>
      </c>
      <c r="AM267" s="53">
        <f>Português!AM267</f>
        <v>0</v>
      </c>
      <c r="AN267" s="53">
        <f>Português!AN267</f>
        <v>0</v>
      </c>
      <c r="AO267" s="53">
        <f>Português!AO267</f>
        <v>0</v>
      </c>
      <c r="AP267" s="53">
        <f>Português!AP267</f>
        <v>0</v>
      </c>
      <c r="AQ267" s="53">
        <f>Português!AQ267</f>
        <v>0</v>
      </c>
      <c r="AR267" s="53">
        <f>Português!AR267</f>
        <v>0</v>
      </c>
      <c r="AS267" s="19"/>
      <c r="AT267" s="53">
        <f>SUM(H267:K267)</f>
        <v>0</v>
      </c>
      <c r="AU267" s="53">
        <f>SUM(L267:O267)</f>
        <v>2.3230000000000004</v>
      </c>
      <c r="AV267" s="53">
        <f>SUM(P267:S267)</f>
        <v>-3.0500000000000007</v>
      </c>
      <c r="AW267" s="53">
        <f>SUM(T267:W267)</f>
        <v>-2.3420000000000005</v>
      </c>
      <c r="AX267" s="53">
        <f t="shared" si="174"/>
        <v>-3.4630000000000001</v>
      </c>
      <c r="AY267" s="53">
        <f t="shared" si="175"/>
        <v>0</v>
      </c>
      <c r="AZ267" s="53">
        <f t="shared" si="176"/>
        <v>0</v>
      </c>
      <c r="BA267" s="53">
        <f t="shared" si="177"/>
        <v>0</v>
      </c>
      <c r="BB267" s="53">
        <f t="shared" si="165"/>
        <v>0</v>
      </c>
      <c r="BC267" s="37"/>
    </row>
    <row r="268" spans="1:55" outlineLevel="1">
      <c r="B268" s="87" t="s">
        <v>604</v>
      </c>
      <c r="C268" s="115" t="s">
        <v>390</v>
      </c>
      <c r="D268" s="5"/>
      <c r="E268" s="5"/>
      <c r="F268" s="5"/>
      <c r="G268" s="5"/>
      <c r="H268" s="53">
        <f>Português!H268</f>
        <v>0</v>
      </c>
      <c r="I268" s="53">
        <f>Português!I268</f>
        <v>0</v>
      </c>
      <c r="J268" s="53">
        <f>Português!J268</f>
        <v>0</v>
      </c>
      <c r="K268" s="53">
        <f>Português!K268</f>
        <v>0</v>
      </c>
      <c r="L268" s="53">
        <f>Português!L268</f>
        <v>0</v>
      </c>
      <c r="M268" s="53">
        <f>Português!M268</f>
        <v>0</v>
      </c>
      <c r="N268" s="53">
        <f>Português!N268</f>
        <v>0</v>
      </c>
      <c r="O268" s="53">
        <f>Português!O268</f>
        <v>0</v>
      </c>
      <c r="P268" s="53">
        <f>Português!P268</f>
        <v>0</v>
      </c>
      <c r="Q268" s="53">
        <f>Português!Q268</f>
        <v>0</v>
      </c>
      <c r="R268" s="53">
        <f>Português!R268</f>
        <v>0</v>
      </c>
      <c r="S268" s="53">
        <f>Português!S268</f>
        <v>0</v>
      </c>
      <c r="T268" s="53">
        <f>Português!T268</f>
        <v>0</v>
      </c>
      <c r="U268" s="53">
        <f>Português!U268</f>
        <v>0</v>
      </c>
      <c r="V268" s="53">
        <f>Português!V268</f>
        <v>0</v>
      </c>
      <c r="W268" s="53">
        <f>Português!W268</f>
        <v>0</v>
      </c>
      <c r="X268" s="53">
        <f>Português!X268</f>
        <v>0</v>
      </c>
      <c r="Y268" s="53">
        <f>Português!Y268</f>
        <v>0</v>
      </c>
      <c r="Z268" s="53">
        <f>Português!Z268</f>
        <v>0</v>
      </c>
      <c r="AA268" s="53">
        <f>Português!AA268</f>
        <v>0</v>
      </c>
      <c r="AB268" s="53">
        <f>Português!AB268</f>
        <v>0</v>
      </c>
      <c r="AC268" s="53">
        <f>Português!AC268</f>
        <v>0</v>
      </c>
      <c r="AD268" s="53">
        <f>Português!AD268</f>
        <v>0</v>
      </c>
      <c r="AE268" s="53">
        <f>Português!AE268</f>
        <v>0</v>
      </c>
      <c r="AF268" s="53">
        <f>Português!AF268</f>
        <v>0</v>
      </c>
      <c r="AG268" s="53">
        <f>Português!AG268</f>
        <v>0</v>
      </c>
      <c r="AH268" s="53">
        <f>Português!AH268</f>
        <v>0</v>
      </c>
      <c r="AI268" s="53">
        <f>Português!AI268</f>
        <v>0</v>
      </c>
      <c r="AJ268" s="53">
        <f>Português!AJ268</f>
        <v>-19.986999999999998</v>
      </c>
      <c r="AK268" s="53">
        <f>Português!AK268</f>
        <v>-6.549000000000003</v>
      </c>
      <c r="AL268" s="53">
        <f>Português!AL268</f>
        <v>0</v>
      </c>
      <c r="AM268" s="53">
        <f>Português!AM268</f>
        <v>0</v>
      </c>
      <c r="AN268" s="53">
        <f>Português!AN268</f>
        <v>-25.366</v>
      </c>
      <c r="AO268" s="53">
        <f>Português!AO268</f>
        <v>0</v>
      </c>
      <c r="AP268" s="53">
        <f>Português!AP268</f>
        <v>0</v>
      </c>
      <c r="AQ268" s="53">
        <f>Português!AQ268</f>
        <v>0</v>
      </c>
      <c r="AR268" s="53">
        <f>Português!AR268</f>
        <v>0</v>
      </c>
      <c r="AS268" s="19"/>
      <c r="AT268" s="53"/>
      <c r="AU268" s="53"/>
      <c r="AV268" s="53"/>
      <c r="AW268" s="53"/>
      <c r="AX268" s="53"/>
      <c r="AY268" s="53"/>
      <c r="AZ268" s="53"/>
      <c r="BA268" s="53">
        <f t="shared" si="177"/>
        <v>-26.536000000000001</v>
      </c>
      <c r="BB268" s="53">
        <f t="shared" si="165"/>
        <v>-25.366</v>
      </c>
      <c r="BC268" s="37"/>
    </row>
    <row r="269" spans="1:55" ht="13.5" outlineLevel="1">
      <c r="A269" s="1"/>
      <c r="B269" s="2" t="s">
        <v>587</v>
      </c>
      <c r="C269" s="120" t="s">
        <v>390</v>
      </c>
      <c r="D269" s="4"/>
      <c r="E269" s="4"/>
      <c r="F269" s="4"/>
      <c r="G269" s="4"/>
      <c r="H269" s="75">
        <f>Português!H269</f>
        <v>0</v>
      </c>
      <c r="I269" s="75">
        <f>Português!I269</f>
        <v>0</v>
      </c>
      <c r="J269" s="75">
        <f>Português!J269</f>
        <v>0</v>
      </c>
      <c r="K269" s="75">
        <f>Português!K269</f>
        <v>0</v>
      </c>
      <c r="L269" s="75">
        <f>Português!L269</f>
        <v>0</v>
      </c>
      <c r="M269" s="75">
        <f>Português!M269</f>
        <v>0</v>
      </c>
      <c r="N269" s="75">
        <f>Português!N269</f>
        <v>0</v>
      </c>
      <c r="O269" s="75">
        <f>Português!O269</f>
        <v>0</v>
      </c>
      <c r="P269" s="75">
        <f>Português!P269</f>
        <v>0</v>
      </c>
      <c r="Q269" s="75">
        <f>Português!Q269</f>
        <v>0</v>
      </c>
      <c r="R269" s="75">
        <f>Português!R269</f>
        <v>0</v>
      </c>
      <c r="S269" s="75">
        <f>Português!S269</f>
        <v>0</v>
      </c>
      <c r="T269" s="75">
        <f>Português!T269</f>
        <v>0</v>
      </c>
      <c r="U269" s="75">
        <f>Português!U269</f>
        <v>0</v>
      </c>
      <c r="V269" s="75">
        <f>Português!V269</f>
        <v>0</v>
      </c>
      <c r="W269" s="75">
        <f>Português!W269</f>
        <v>0</v>
      </c>
      <c r="X269" s="75">
        <f>Português!X269</f>
        <v>0</v>
      </c>
      <c r="Y269" s="75">
        <f>Português!Y269</f>
        <v>0</v>
      </c>
      <c r="Z269" s="75">
        <f>Português!Z269</f>
        <v>0</v>
      </c>
      <c r="AA269" s="75">
        <f>Português!AA269</f>
        <v>0</v>
      </c>
      <c r="AB269" s="75">
        <f>Português!AB269</f>
        <v>0</v>
      </c>
      <c r="AC269" s="75">
        <f>Português!AC269</f>
        <v>0</v>
      </c>
      <c r="AD269" s="75">
        <f>Português!AD269</f>
        <v>0</v>
      </c>
      <c r="AE269" s="75">
        <f>Português!AE269</f>
        <v>0</v>
      </c>
      <c r="AF269" s="75">
        <f>Português!AF269</f>
        <v>0</v>
      </c>
      <c r="AG269" s="75">
        <f>Português!AG269</f>
        <v>0.112</v>
      </c>
      <c r="AH269" s="75">
        <f>Português!AH269</f>
        <v>-0.112</v>
      </c>
      <c r="AI269" s="75">
        <f>Português!AI269</f>
        <v>8.6660000000000004</v>
      </c>
      <c r="AJ269" s="75">
        <f>Português!AJ269</f>
        <v>8.6660000000000004</v>
      </c>
      <c r="AK269" s="75">
        <f>Português!AK269</f>
        <v>0</v>
      </c>
      <c r="AL269" s="75">
        <f>Português!AL269</f>
        <v>0</v>
      </c>
      <c r="AM269" s="75">
        <f>Português!AM269</f>
        <v>0</v>
      </c>
      <c r="AN269" s="75">
        <f>Português!AN269</f>
        <v>0</v>
      </c>
      <c r="AO269" s="75">
        <f>Português!AO269</f>
        <v>0.65700000000000003</v>
      </c>
      <c r="AP269" s="75">
        <f>Português!AP269</f>
        <v>0</v>
      </c>
      <c r="AQ269" s="75">
        <f>Português!AQ269</f>
        <v>0</v>
      </c>
      <c r="AR269" s="75">
        <f>Português!AR269</f>
        <v>0</v>
      </c>
      <c r="AS269" s="19"/>
      <c r="AT269" s="75">
        <f>SUM(H269:K269)</f>
        <v>0</v>
      </c>
      <c r="AU269" s="75">
        <f>SUM(L269:O269)</f>
        <v>0</v>
      </c>
      <c r="AV269" s="75">
        <f>SUM(P269:S269)</f>
        <v>0</v>
      </c>
      <c r="AW269" s="75">
        <f>SUM(T269:W269)</f>
        <v>0</v>
      </c>
      <c r="AX269" s="75">
        <f t="shared" si="174"/>
        <v>0</v>
      </c>
      <c r="AY269" s="75">
        <f t="shared" si="175"/>
        <v>0</v>
      </c>
      <c r="AZ269" s="53">
        <f t="shared" si="176"/>
        <v>8.6660000000000004</v>
      </c>
      <c r="BA269" s="53">
        <f t="shared" si="177"/>
        <v>8.6660000000000004</v>
      </c>
      <c r="BB269" s="53">
        <f t="shared" si="165"/>
        <v>0.65700000000000003</v>
      </c>
      <c r="BC269" s="37"/>
    </row>
    <row r="270" spans="1:55" ht="13.5" outlineLevel="1">
      <c r="B270" s="11" t="s">
        <v>605</v>
      </c>
      <c r="C270" s="114" t="s">
        <v>390</v>
      </c>
      <c r="D270" s="11"/>
      <c r="E270" s="11"/>
      <c r="F270" s="11"/>
      <c r="G270" s="11"/>
      <c r="H270" s="57">
        <f t="shared" ref="H270:AN270" si="178">SUM(H269,H252)</f>
        <v>-11.343</v>
      </c>
      <c r="I270" s="57">
        <f t="shared" si="178"/>
        <v>-124.227</v>
      </c>
      <c r="J270" s="57">
        <f t="shared" si="178"/>
        <v>-20.667999999999992</v>
      </c>
      <c r="K270" s="57">
        <f t="shared" si="178"/>
        <v>-5.9569999999999759</v>
      </c>
      <c r="L270" s="57">
        <f t="shared" si="178"/>
        <v>-70.654999999999987</v>
      </c>
      <c r="M270" s="57">
        <f t="shared" si="178"/>
        <v>2122.8999999999996</v>
      </c>
      <c r="N270" s="57">
        <f t="shared" si="178"/>
        <v>-354.50100000000009</v>
      </c>
      <c r="O270" s="57">
        <f t="shared" si="178"/>
        <v>5.6670000000001526</v>
      </c>
      <c r="P270" s="57">
        <f t="shared" si="178"/>
        <v>-14.062000000000001</v>
      </c>
      <c r="Q270" s="57">
        <f t="shared" si="178"/>
        <v>-205.96899999999999</v>
      </c>
      <c r="R270" s="57">
        <f t="shared" si="178"/>
        <v>4531.6140000000005</v>
      </c>
      <c r="S270" s="57">
        <f t="shared" si="178"/>
        <v>-30.921000000000006</v>
      </c>
      <c r="T270" s="57">
        <f t="shared" si="178"/>
        <v>-107.32</v>
      </c>
      <c r="U270" s="57">
        <f t="shared" si="178"/>
        <v>-37.981000000000002</v>
      </c>
      <c r="V270" s="57">
        <f t="shared" si="178"/>
        <v>-278.12299999999999</v>
      </c>
      <c r="W270" s="57">
        <f t="shared" si="178"/>
        <v>-45.455000000000013</v>
      </c>
      <c r="X270" s="57">
        <f t="shared" si="178"/>
        <v>-79.695999999999998</v>
      </c>
      <c r="Y270" s="57">
        <f t="shared" si="178"/>
        <v>1658.9209999999998</v>
      </c>
      <c r="Z270" s="57">
        <f t="shared" si="178"/>
        <v>-375.41899999999998</v>
      </c>
      <c r="AA270" s="57">
        <f t="shared" si="178"/>
        <v>3126.6850000000004</v>
      </c>
      <c r="AB270" s="57">
        <f t="shared" si="178"/>
        <v>-1448.904</v>
      </c>
      <c r="AC270" s="57">
        <f t="shared" si="178"/>
        <v>218.55800000000011</v>
      </c>
      <c r="AD270" s="57">
        <f t="shared" si="178"/>
        <v>-1176.1589999999999</v>
      </c>
      <c r="AE270" s="57">
        <f t="shared" si="178"/>
        <v>255.26399999999992</v>
      </c>
      <c r="AF270" s="57">
        <f t="shared" si="178"/>
        <v>-408.90900000000005</v>
      </c>
      <c r="AG270" s="57">
        <f t="shared" si="178"/>
        <v>218.11200000000011</v>
      </c>
      <c r="AH270" s="57">
        <f t="shared" si="178"/>
        <v>-1249.7870000000003</v>
      </c>
      <c r="AI270" s="57">
        <f t="shared" si="178"/>
        <v>162.47500000000022</v>
      </c>
      <c r="AJ270" s="57">
        <f t="shared" si="178"/>
        <v>-1100.5</v>
      </c>
      <c r="AK270" s="57">
        <f t="shared" si="178"/>
        <v>41.209999999999965</v>
      </c>
      <c r="AL270" s="57">
        <f t="shared" si="178"/>
        <v>-1167.7439999999997</v>
      </c>
      <c r="AM270" s="57">
        <f t="shared" si="178"/>
        <v>907.65399999999977</v>
      </c>
      <c r="AN270" s="57">
        <f t="shared" si="178"/>
        <v>-260.83100000000002</v>
      </c>
      <c r="AO270" s="57">
        <f>SUM(AO252)</f>
        <v>-800.30400000000009</v>
      </c>
      <c r="AP270" s="57">
        <f>SUM(AP252)</f>
        <v>-390.21899999999999</v>
      </c>
      <c r="AQ270" s="57">
        <f>SUM(AQ252)</f>
        <v>-1788.8989999999997</v>
      </c>
      <c r="AR270" s="57">
        <f>SUM(AR252)</f>
        <v>-186.65600000000001</v>
      </c>
      <c r="AS270" s="19"/>
      <c r="AT270" s="57">
        <f t="shared" ref="AT270:AZ270" si="179">SUM(AT252,AT269)</f>
        <v>-162.19499999999996</v>
      </c>
      <c r="AU270" s="57">
        <f t="shared" si="179"/>
        <v>1703.4110000000001</v>
      </c>
      <c r="AV270" s="57">
        <f t="shared" si="179"/>
        <v>4280.6619999999994</v>
      </c>
      <c r="AW270" s="57">
        <f t="shared" si="179"/>
        <v>-468.87899999999996</v>
      </c>
      <c r="AX270" s="57">
        <f t="shared" si="179"/>
        <v>4330.4910000000009</v>
      </c>
      <c r="AY270" s="57">
        <f t="shared" si="179"/>
        <v>-2151.241</v>
      </c>
      <c r="AZ270" s="57">
        <f t="shared" si="179"/>
        <v>-1278.1089999999997</v>
      </c>
      <c r="BA270" s="57">
        <f>SUM(BA252,BA269)</f>
        <v>-1319.3799999999999</v>
      </c>
      <c r="BB270" s="57">
        <f t="shared" si="165"/>
        <v>-3240.2529999999997</v>
      </c>
      <c r="BC270" s="37"/>
    </row>
    <row r="271" spans="1:55" ht="13.5" outlineLevel="1">
      <c r="A271" s="1"/>
      <c r="B271" s="2" t="s">
        <v>606</v>
      </c>
      <c r="C271" s="120" t="s">
        <v>390</v>
      </c>
      <c r="D271" s="4"/>
      <c r="E271" s="4"/>
      <c r="F271" s="4"/>
      <c r="G271" s="4"/>
      <c r="H271" s="75">
        <f t="shared" ref="H271:AN271" si="180">SUM(H236,H239,H252)</f>
        <v>14.543251347457915</v>
      </c>
      <c r="I271" s="75">
        <f t="shared" si="180"/>
        <v>-15.157405664742868</v>
      </c>
      <c r="J271" s="75">
        <f t="shared" si="180"/>
        <v>6.230483042491997</v>
      </c>
      <c r="K271" s="75">
        <f t="shared" si="180"/>
        <v>41.721030084793043</v>
      </c>
      <c r="L271" s="75">
        <f t="shared" si="180"/>
        <v>243.54112802851563</v>
      </c>
      <c r="M271" s="75">
        <f t="shared" si="180"/>
        <v>-234.87194239923701</v>
      </c>
      <c r="N271" s="75">
        <f t="shared" si="180"/>
        <v>-23.72761168762753</v>
      </c>
      <c r="O271" s="75">
        <f t="shared" si="180"/>
        <v>96.332194306837977</v>
      </c>
      <c r="P271" s="75">
        <f t="shared" si="180"/>
        <v>-42.448999999999941</v>
      </c>
      <c r="Q271" s="75">
        <f t="shared" si="180"/>
        <v>-8.4000000000173713E-2</v>
      </c>
      <c r="R271" s="75">
        <f t="shared" si="180"/>
        <v>26.669000000000779</v>
      </c>
      <c r="S271" s="75">
        <f t="shared" si="180"/>
        <v>54.609000000000137</v>
      </c>
      <c r="T271" s="75">
        <f t="shared" si="180"/>
        <v>273.74199999999934</v>
      </c>
      <c r="U271" s="75">
        <f t="shared" si="180"/>
        <v>-291.03999999999974</v>
      </c>
      <c r="V271" s="75">
        <f t="shared" si="180"/>
        <v>-34.743999999999204</v>
      </c>
      <c r="W271" s="75">
        <f t="shared" si="180"/>
        <v>-28.975000000001359</v>
      </c>
      <c r="X271" s="75">
        <f t="shared" si="180"/>
        <v>32.606999999999601</v>
      </c>
      <c r="Y271" s="75">
        <f t="shared" si="180"/>
        <v>50.797000000000025</v>
      </c>
      <c r="Z271" s="75">
        <f t="shared" si="180"/>
        <v>279.52600466000001</v>
      </c>
      <c r="AA271" s="75">
        <f t="shared" si="180"/>
        <v>-158.88616388852006</v>
      </c>
      <c r="AB271" s="75">
        <f t="shared" si="180"/>
        <v>669.9060000000004</v>
      </c>
      <c r="AC271" s="75">
        <f t="shared" si="180"/>
        <v>-423.80300000000079</v>
      </c>
      <c r="AD271" s="75">
        <f t="shared" si="180"/>
        <v>-24.650999999998476</v>
      </c>
      <c r="AE271" s="75">
        <f t="shared" si="180"/>
        <v>699.35530000000074</v>
      </c>
      <c r="AF271" s="75">
        <f t="shared" si="180"/>
        <v>-903.67199999999934</v>
      </c>
      <c r="AG271" s="75">
        <f t="shared" si="180"/>
        <v>244.33899999999971</v>
      </c>
      <c r="AH271" s="75">
        <f t="shared" si="180"/>
        <v>31.081999999999653</v>
      </c>
      <c r="AI271" s="75">
        <f t="shared" si="180"/>
        <v>823.83550096783983</v>
      </c>
      <c r="AJ271" s="75">
        <f t="shared" si="180"/>
        <v>-573.8462074900026</v>
      </c>
      <c r="AK271" s="75">
        <f t="shared" si="180"/>
        <v>-406.85710936000027</v>
      </c>
      <c r="AL271" s="75">
        <f t="shared" si="180"/>
        <v>33.790862542453397</v>
      </c>
      <c r="AM271" s="75">
        <f t="shared" si="180"/>
        <v>107.91352823552006</v>
      </c>
      <c r="AN271" s="75">
        <f t="shared" si="180"/>
        <v>-101.75973842674534</v>
      </c>
      <c r="AO271" s="75">
        <f>SUM(AO238,AO239,AO252)</f>
        <v>140.40996458754353</v>
      </c>
      <c r="AP271" s="75">
        <f>SUM(AP238,AP239,AP252)</f>
        <v>60.506853336802408</v>
      </c>
      <c r="AQ271" s="75">
        <f>SUM(AQ238,AQ239,AQ252)</f>
        <v>204.70539271766734</v>
      </c>
      <c r="AR271" s="75">
        <f>SUM(AR238,AR239,AR252)</f>
        <v>43.682747350000341</v>
      </c>
      <c r="AS271" s="19"/>
      <c r="AT271" s="75">
        <f>SUM(H271:K271)</f>
        <v>47.337358810000083</v>
      </c>
      <c r="AU271" s="75">
        <f>SUM(L271:O271)</f>
        <v>81.273768248489063</v>
      </c>
      <c r="AV271" s="75">
        <f>SUM(P271:S271)</f>
        <v>38.7450000000008</v>
      </c>
      <c r="AW271" s="75">
        <f>SUM(T271:W271)</f>
        <v>-81.017000000000962</v>
      </c>
      <c r="AX271" s="75">
        <f>SUM(X271:AA271)</f>
        <v>204.04384077147961</v>
      </c>
      <c r="AY271" s="75">
        <f>SUM(AB271:AE271)</f>
        <v>920.80730000000187</v>
      </c>
      <c r="AZ271" s="75">
        <f>SUM(AF271,AG271,AH271,AI271)</f>
        <v>195.58450096783986</v>
      </c>
      <c r="BA271" s="75">
        <f>SUM(AG271,AH271,AI271,AJ271)</f>
        <v>525.4102934778366</v>
      </c>
      <c r="BB271" s="75">
        <f t="shared" si="165"/>
        <v>303.86247221526793</v>
      </c>
      <c r="BC271" s="37"/>
    </row>
    <row r="272" spans="1:55" ht="13.5" outlineLevel="1">
      <c r="A272" s="1"/>
      <c r="B272" s="2" t="s">
        <v>607</v>
      </c>
      <c r="C272" s="120" t="s">
        <v>390</v>
      </c>
      <c r="D272" s="4"/>
      <c r="E272" s="4"/>
      <c r="F272" s="4"/>
      <c r="G272" s="4"/>
      <c r="H272" s="75">
        <f t="shared" ref="H272:AP272" si="181">SUM(H237,H250,H269)</f>
        <v>0</v>
      </c>
      <c r="I272" s="75">
        <f t="shared" si="181"/>
        <v>0</v>
      </c>
      <c r="J272" s="75">
        <f t="shared" si="181"/>
        <v>0</v>
      </c>
      <c r="K272" s="75">
        <f t="shared" si="181"/>
        <v>0</v>
      </c>
      <c r="L272" s="75">
        <f t="shared" si="181"/>
        <v>0</v>
      </c>
      <c r="M272" s="75">
        <f t="shared" si="181"/>
        <v>0</v>
      </c>
      <c r="N272" s="75">
        <f t="shared" si="181"/>
        <v>0</v>
      </c>
      <c r="O272" s="75">
        <f t="shared" si="181"/>
        <v>0</v>
      </c>
      <c r="P272" s="75">
        <f t="shared" si="181"/>
        <v>0</v>
      </c>
      <c r="Q272" s="75">
        <f t="shared" si="181"/>
        <v>0</v>
      </c>
      <c r="R272" s="75">
        <f t="shared" si="181"/>
        <v>0</v>
      </c>
      <c r="S272" s="75">
        <f t="shared" si="181"/>
        <v>0</v>
      </c>
      <c r="T272" s="75">
        <f t="shared" si="181"/>
        <v>0</v>
      </c>
      <c r="U272" s="75">
        <f t="shared" si="181"/>
        <v>0</v>
      </c>
      <c r="V272" s="75">
        <f t="shared" si="181"/>
        <v>0</v>
      </c>
      <c r="W272" s="75">
        <f t="shared" si="181"/>
        <v>0</v>
      </c>
      <c r="X272" s="75">
        <f t="shared" si="181"/>
        <v>0</v>
      </c>
      <c r="Y272" s="75">
        <f t="shared" si="181"/>
        <v>0</v>
      </c>
      <c r="Z272" s="75">
        <f t="shared" si="181"/>
        <v>0</v>
      </c>
      <c r="AA272" s="75">
        <f t="shared" si="181"/>
        <v>0</v>
      </c>
      <c r="AB272" s="75">
        <f t="shared" si="181"/>
        <v>0</v>
      </c>
      <c r="AC272" s="75">
        <f t="shared" si="181"/>
        <v>0</v>
      </c>
      <c r="AD272" s="75">
        <f t="shared" si="181"/>
        <v>0</v>
      </c>
      <c r="AE272" s="75">
        <f t="shared" si="181"/>
        <v>0</v>
      </c>
      <c r="AF272" s="75">
        <f t="shared" si="181"/>
        <v>0</v>
      </c>
      <c r="AG272" s="75">
        <f t="shared" si="181"/>
        <v>-42.346999999999994</v>
      </c>
      <c r="AH272" s="75">
        <f t="shared" si="181"/>
        <v>43.588000000000001</v>
      </c>
      <c r="AI272" s="75">
        <f t="shared" si="181"/>
        <v>-17.937000000000001</v>
      </c>
      <c r="AJ272" s="75">
        <f t="shared" si="181"/>
        <v>-14.879999999999999</v>
      </c>
      <c r="AK272" s="75">
        <f t="shared" si="181"/>
        <v>0</v>
      </c>
      <c r="AL272" s="75">
        <f t="shared" si="181"/>
        <v>0</v>
      </c>
      <c r="AM272" s="75">
        <f t="shared" si="181"/>
        <v>0</v>
      </c>
      <c r="AN272" s="75">
        <f t="shared" si="181"/>
        <v>0</v>
      </c>
      <c r="AO272" s="75">
        <f t="shared" si="181"/>
        <v>-25.195999999999998</v>
      </c>
      <c r="AP272" s="75">
        <f t="shared" si="181"/>
        <v>0</v>
      </c>
      <c r="AQ272" s="75">
        <f>SUM(AQ237,AQ250,AQ269)</f>
        <v>0</v>
      </c>
      <c r="AR272" s="75">
        <f>SUM(AR237,AR250,AR269)</f>
        <v>0</v>
      </c>
      <c r="AS272" s="19"/>
      <c r="AT272" s="75">
        <f>SUM(H272:K272)</f>
        <v>0</v>
      </c>
      <c r="AU272" s="75">
        <f>SUM(L272:O272)</f>
        <v>0</v>
      </c>
      <c r="AV272" s="75">
        <f>SUM(P272:S272)</f>
        <v>0</v>
      </c>
      <c r="AW272" s="75">
        <f>SUM(T272:W272)</f>
        <v>0</v>
      </c>
      <c r="AX272" s="75">
        <f>SUM(X272:AA272)</f>
        <v>0</v>
      </c>
      <c r="AY272" s="75">
        <f>SUM(AB272:AE272)</f>
        <v>0</v>
      </c>
      <c r="AZ272" s="53">
        <f>SUM(AF272,AG272,AH272,AI272)</f>
        <v>-16.695999999999994</v>
      </c>
      <c r="BA272" s="53">
        <f>SUM(AJ272:AM272)</f>
        <v>-14.879999999999999</v>
      </c>
      <c r="BB272" s="53">
        <f t="shared" si="165"/>
        <v>-25.195999999999998</v>
      </c>
      <c r="BC272" s="37"/>
    </row>
    <row r="273" spans="1:55" ht="13.5" outlineLevel="1">
      <c r="B273" s="11" t="s">
        <v>608</v>
      </c>
      <c r="C273" s="114" t="s">
        <v>390</v>
      </c>
      <c r="D273" s="11"/>
      <c r="E273" s="11"/>
      <c r="F273" s="11"/>
      <c r="G273" s="11"/>
      <c r="H273" s="57">
        <f t="shared" ref="H273:AN273" si="182">SUM(H238,H251,H270)</f>
        <v>14.543251347457915</v>
      </c>
      <c r="I273" s="57">
        <f t="shared" si="182"/>
        <v>-15.157405664742868</v>
      </c>
      <c r="J273" s="57">
        <f t="shared" si="182"/>
        <v>6.230483042491997</v>
      </c>
      <c r="K273" s="57">
        <f t="shared" si="182"/>
        <v>41.721030084793043</v>
      </c>
      <c r="L273" s="57">
        <f t="shared" si="182"/>
        <v>243.54112802851563</v>
      </c>
      <c r="M273" s="57">
        <f t="shared" si="182"/>
        <v>-234.87194239923701</v>
      </c>
      <c r="N273" s="57">
        <f t="shared" si="182"/>
        <v>-23.72761168762753</v>
      </c>
      <c r="O273" s="57">
        <f t="shared" si="182"/>
        <v>96.332194306837977</v>
      </c>
      <c r="P273" s="57">
        <f t="shared" si="182"/>
        <v>-42.448999999999941</v>
      </c>
      <c r="Q273" s="57">
        <f t="shared" si="182"/>
        <v>-8.4000000000173713E-2</v>
      </c>
      <c r="R273" s="57">
        <f t="shared" si="182"/>
        <v>26.669000000000779</v>
      </c>
      <c r="S273" s="57">
        <f t="shared" si="182"/>
        <v>54.609000000000137</v>
      </c>
      <c r="T273" s="57">
        <f t="shared" si="182"/>
        <v>273.74199999999934</v>
      </c>
      <c r="U273" s="57">
        <f t="shared" si="182"/>
        <v>-291.03999999999974</v>
      </c>
      <c r="V273" s="57">
        <f t="shared" si="182"/>
        <v>-34.743999999999204</v>
      </c>
      <c r="W273" s="57">
        <f t="shared" si="182"/>
        <v>-28.975000000001359</v>
      </c>
      <c r="X273" s="57">
        <f t="shared" si="182"/>
        <v>32.606999999999601</v>
      </c>
      <c r="Y273" s="57">
        <f t="shared" si="182"/>
        <v>50.797000000000025</v>
      </c>
      <c r="Z273" s="57">
        <f t="shared" si="182"/>
        <v>279.52600466000001</v>
      </c>
      <c r="AA273" s="57">
        <f>SUM(AA238,AA251,AA270)</f>
        <v>-158.88616388852006</v>
      </c>
      <c r="AB273" s="57">
        <f t="shared" si="182"/>
        <v>669.9060000000004</v>
      </c>
      <c r="AC273" s="57">
        <f t="shared" si="182"/>
        <v>-423.80300000000079</v>
      </c>
      <c r="AD273" s="57">
        <f t="shared" si="182"/>
        <v>-24.650999999998476</v>
      </c>
      <c r="AE273" s="57">
        <f t="shared" si="182"/>
        <v>699.35530000000074</v>
      </c>
      <c r="AF273" s="57">
        <f t="shared" si="182"/>
        <v>-903.67199999999934</v>
      </c>
      <c r="AG273" s="57">
        <f>SUM(AG238,AG251,AG270)</f>
        <v>201.99199999999971</v>
      </c>
      <c r="AH273" s="57">
        <f t="shared" si="182"/>
        <v>74.669999999999618</v>
      </c>
      <c r="AI273" s="57">
        <f t="shared" si="182"/>
        <v>805.89850096783982</v>
      </c>
      <c r="AJ273" s="57">
        <f>SUM(AJ238,AJ251,AJ270)</f>
        <v>-588.72620749000271</v>
      </c>
      <c r="AK273" s="57">
        <f>SUM(AK238,AK251,AK270)</f>
        <v>-406.85710936000027</v>
      </c>
      <c r="AL273" s="57">
        <f t="shared" si="182"/>
        <v>33.790862542453397</v>
      </c>
      <c r="AM273" s="57">
        <f t="shared" si="182"/>
        <v>107.91352823552006</v>
      </c>
      <c r="AN273" s="57">
        <f t="shared" si="182"/>
        <v>-101.75973842674534</v>
      </c>
      <c r="AO273" s="57">
        <f>SUM(AO238,AO251,AO270,AO237)</f>
        <v>114.5569645875435</v>
      </c>
      <c r="AP273" s="57">
        <f>SUM(AP238,AP251,AP270,AP237)</f>
        <v>60.506853336802408</v>
      </c>
      <c r="AQ273" s="57">
        <f>SUM(AQ238,AQ251,AQ270,AQ237)</f>
        <v>204.70539271766734</v>
      </c>
      <c r="AR273" s="57">
        <f>SUM(AR238,AR251,AR270,AR237)</f>
        <v>43.682747350000341</v>
      </c>
      <c r="AS273" s="19"/>
      <c r="AT273" s="57">
        <f t="shared" ref="AT273:AY273" si="183">SUM(AT238,AT239,AT252)</f>
        <v>47.337358810000154</v>
      </c>
      <c r="AU273" s="57">
        <f t="shared" si="183"/>
        <v>81.273768248488977</v>
      </c>
      <c r="AV273" s="57">
        <f t="shared" si="183"/>
        <v>38.744999999999891</v>
      </c>
      <c r="AW273" s="57">
        <f t="shared" si="183"/>
        <v>-81.017000000001019</v>
      </c>
      <c r="AX273" s="57">
        <f t="shared" si="183"/>
        <v>204.04384077148097</v>
      </c>
      <c r="AY273" s="57">
        <f t="shared" si="183"/>
        <v>920.80730000000131</v>
      </c>
      <c r="AZ273" s="57">
        <f>SUM(AZ238,AZ251,AZ270)</f>
        <v>178.88850096783995</v>
      </c>
      <c r="BA273" s="57">
        <f>SUM(BA238,BA251,BA270)</f>
        <v>-856.30692607203014</v>
      </c>
      <c r="BB273" s="57">
        <f t="shared" si="165"/>
        <v>278.00947221526792</v>
      </c>
      <c r="BC273" s="37"/>
    </row>
    <row r="274" spans="1:55" outlineLevel="1">
      <c r="B274" s="87" t="s">
        <v>609</v>
      </c>
      <c r="C274" s="115" t="s">
        <v>390</v>
      </c>
      <c r="D274" s="5"/>
      <c r="E274" s="5"/>
      <c r="F274" s="5"/>
      <c r="G274" s="5"/>
      <c r="H274" s="53">
        <f>Português!H274</f>
        <v>56.850999999999999</v>
      </c>
      <c r="I274" s="53">
        <f>Português!I274</f>
        <v>71.39425134745791</v>
      </c>
      <c r="J274" s="53">
        <f>Português!J274</f>
        <v>56.236845682715042</v>
      </c>
      <c r="K274" s="53">
        <f>Português!K274</f>
        <v>62.487000000000002</v>
      </c>
      <c r="L274" s="53">
        <f>Português!L274</f>
        <v>104.209</v>
      </c>
      <c r="M274" s="53">
        <f>Português!M274</f>
        <v>347.75</v>
      </c>
      <c r="N274" s="53">
        <f>Português!N274</f>
        <v>113</v>
      </c>
      <c r="O274" s="53">
        <f>Português!O274</f>
        <v>89.153999999999996</v>
      </c>
      <c r="P274" s="53">
        <f>Português!P274</f>
        <v>185.48400000000001</v>
      </c>
      <c r="Q274" s="53">
        <f>Português!Q274</f>
        <v>143.035</v>
      </c>
      <c r="R274" s="53">
        <f>Português!R274</f>
        <v>142.95099999999999</v>
      </c>
      <c r="S274" s="53">
        <f>Português!S274</f>
        <v>169.62</v>
      </c>
      <c r="T274" s="53">
        <f>Português!T274</f>
        <v>224.22900000000001</v>
      </c>
      <c r="U274" s="53">
        <f>Português!U274</f>
        <v>497.971</v>
      </c>
      <c r="V274" s="53">
        <f>Português!V274</f>
        <v>206.93100000000001</v>
      </c>
      <c r="W274" s="53">
        <f>Português!W274</f>
        <v>172.18700000000001</v>
      </c>
      <c r="X274" s="53">
        <f>Português!X274</f>
        <v>143.21199999999999</v>
      </c>
      <c r="Y274" s="53">
        <f>Português!Y274</f>
        <v>175.81899999999999</v>
      </c>
      <c r="Z274" s="53">
        <f>Português!Z274</f>
        <v>226.61600000000001</v>
      </c>
      <c r="AA274" s="53">
        <f>Português!AA274</f>
        <v>506.142</v>
      </c>
      <c r="AB274" s="53">
        <f>Português!AB274</f>
        <v>347.25599999999997</v>
      </c>
      <c r="AC274" s="53">
        <f>Português!AC274</f>
        <v>1016.801</v>
      </c>
      <c r="AD274" s="53">
        <f>Português!AD274</f>
        <v>593.35799999999995</v>
      </c>
      <c r="AE274" s="53">
        <f>Português!AE274</f>
        <v>568.70699999999999</v>
      </c>
      <c r="AF274" s="53">
        <f>Português!AF274</f>
        <v>1267.915</v>
      </c>
      <c r="AG274" s="53">
        <f>Português!AG274</f>
        <v>364.24299999999999</v>
      </c>
      <c r="AH274" s="53">
        <f>Português!AH274</f>
        <v>547.96199999999999</v>
      </c>
      <c r="AI274" s="53">
        <f>Português!AI274</f>
        <v>639.66300000000001</v>
      </c>
      <c r="AJ274" s="53">
        <f>Português!AJ274</f>
        <v>1430.144</v>
      </c>
      <c r="AK274" s="53">
        <f>Português!AK274</f>
        <v>826.58199999999999</v>
      </c>
      <c r="AL274" s="53">
        <f>Português!AL274</f>
        <v>419.68200000000002</v>
      </c>
      <c r="AM274" s="53">
        <f>Português!AM274</f>
        <v>488.839</v>
      </c>
      <c r="AN274" s="53">
        <f>Português!AN274</f>
        <v>596.75300000000004</v>
      </c>
      <c r="AO274" s="53">
        <f>Português!AO274</f>
        <v>495.03399999999999</v>
      </c>
      <c r="AP274" s="53">
        <f>Português!AP274</f>
        <v>610.20600000000002</v>
      </c>
      <c r="AQ274" s="53">
        <f>Português!AQ274</f>
        <v>670.74800000000005</v>
      </c>
      <c r="AR274" s="53">
        <f>Português!AR274</f>
        <v>875.44399999999996</v>
      </c>
      <c r="AS274" s="19"/>
      <c r="AT274" s="53">
        <f>H274</f>
        <v>56.850999999999999</v>
      </c>
      <c r="AU274" s="53">
        <f t="shared" ref="AU274:BA274" si="184">AT275</f>
        <v>104.209</v>
      </c>
      <c r="AV274" s="53">
        <f t="shared" si="184"/>
        <v>185.48400000000001</v>
      </c>
      <c r="AW274" s="53">
        <f t="shared" si="184"/>
        <v>224.22900000000001</v>
      </c>
      <c r="AX274" s="53">
        <f t="shared" si="184"/>
        <v>143.21199999999999</v>
      </c>
      <c r="AY274" s="53">
        <f t="shared" si="184"/>
        <v>347.25599999999997</v>
      </c>
      <c r="AZ274" s="53">
        <f t="shared" si="184"/>
        <v>1267.915</v>
      </c>
      <c r="BA274" s="53">
        <f t="shared" si="184"/>
        <v>1430.144</v>
      </c>
      <c r="BB274" s="53">
        <f t="shared" si="165"/>
        <v>2372.741</v>
      </c>
      <c r="BC274" s="37"/>
    </row>
    <row r="275" spans="1:55" outlineLevel="1">
      <c r="B275" s="87" t="s">
        <v>610</v>
      </c>
      <c r="C275" s="115" t="s">
        <v>390</v>
      </c>
      <c r="D275" s="5"/>
      <c r="E275" s="5"/>
      <c r="F275" s="5"/>
      <c r="G275" s="5"/>
      <c r="H275" s="53">
        <f>SUM(H274,H273)</f>
        <v>71.39425134745791</v>
      </c>
      <c r="I275" s="53">
        <f>SUM(I274,I273)</f>
        <v>56.236845682715042</v>
      </c>
      <c r="J275" s="53">
        <f t="shared" ref="J275:AP275" si="185">J118</f>
        <v>62.487000000000002</v>
      </c>
      <c r="K275" s="53">
        <f t="shared" si="185"/>
        <v>104.209</v>
      </c>
      <c r="L275" s="53">
        <f t="shared" si="185"/>
        <v>347.75</v>
      </c>
      <c r="M275" s="53">
        <f t="shared" si="185"/>
        <v>113</v>
      </c>
      <c r="N275" s="53">
        <f t="shared" si="185"/>
        <v>89.153999999999996</v>
      </c>
      <c r="O275" s="53">
        <f t="shared" si="185"/>
        <v>185.48400000000001</v>
      </c>
      <c r="P275" s="53">
        <f t="shared" si="185"/>
        <v>143.035</v>
      </c>
      <c r="Q275" s="53">
        <f t="shared" si="185"/>
        <v>142.95099999999999</v>
      </c>
      <c r="R275" s="53">
        <f t="shared" si="185"/>
        <v>169.62</v>
      </c>
      <c r="S275" s="53">
        <f t="shared" si="185"/>
        <v>224.22900000000001</v>
      </c>
      <c r="T275" s="53">
        <f t="shared" si="185"/>
        <v>497.971</v>
      </c>
      <c r="U275" s="53">
        <f t="shared" si="185"/>
        <v>206.93100000000001</v>
      </c>
      <c r="V275" s="53">
        <f t="shared" si="185"/>
        <v>172.18700000000001</v>
      </c>
      <c r="W275" s="53">
        <f t="shared" si="185"/>
        <v>143.21199999999999</v>
      </c>
      <c r="X275" s="53">
        <f t="shared" si="185"/>
        <v>175.81899999999999</v>
      </c>
      <c r="Y275" s="53">
        <f t="shared" si="185"/>
        <v>226.61600000000001</v>
      </c>
      <c r="Z275" s="53">
        <f t="shared" si="185"/>
        <v>506.142</v>
      </c>
      <c r="AA275" s="53">
        <f t="shared" si="185"/>
        <v>347.25599999999997</v>
      </c>
      <c r="AB275" s="53">
        <f t="shared" si="185"/>
        <v>1016.801</v>
      </c>
      <c r="AC275" s="53">
        <f t="shared" si="185"/>
        <v>593.35799999999995</v>
      </c>
      <c r="AD275" s="53">
        <f t="shared" si="185"/>
        <v>568.70699999999999</v>
      </c>
      <c r="AE275" s="53">
        <f t="shared" si="185"/>
        <v>1267.915</v>
      </c>
      <c r="AF275" s="53">
        <f t="shared" si="185"/>
        <v>364.24299999999999</v>
      </c>
      <c r="AG275" s="53">
        <f t="shared" si="185"/>
        <v>547.96199999999999</v>
      </c>
      <c r="AH275" s="53">
        <f t="shared" si="185"/>
        <v>639.66300000000001</v>
      </c>
      <c r="AI275" s="53">
        <f t="shared" si="185"/>
        <v>1430.144</v>
      </c>
      <c r="AJ275" s="53">
        <f t="shared" si="185"/>
        <v>826.58199999999999</v>
      </c>
      <c r="AK275" s="53">
        <f t="shared" si="185"/>
        <v>419.68200000000002</v>
      </c>
      <c r="AL275" s="53">
        <f t="shared" si="185"/>
        <v>488.839</v>
      </c>
      <c r="AM275" s="53">
        <f t="shared" si="185"/>
        <v>596.75300000000004</v>
      </c>
      <c r="AN275" s="53">
        <f t="shared" si="185"/>
        <v>495.03399999999999</v>
      </c>
      <c r="AO275" s="53">
        <f t="shared" si="185"/>
        <v>610.20600000000002</v>
      </c>
      <c r="AP275" s="53">
        <f t="shared" si="185"/>
        <v>670.74800000000005</v>
      </c>
      <c r="AQ275" s="53">
        <f>AQ118</f>
        <v>875.44399999999996</v>
      </c>
      <c r="AR275" s="53">
        <f>AR118</f>
        <v>919.12699999999995</v>
      </c>
      <c r="AS275" s="19"/>
      <c r="AT275" s="53">
        <f t="shared" ref="AT275:BA275" si="186">AT118</f>
        <v>104.209</v>
      </c>
      <c r="AU275" s="53">
        <f t="shared" si="186"/>
        <v>185.48400000000001</v>
      </c>
      <c r="AV275" s="53">
        <f t="shared" si="186"/>
        <v>224.22900000000001</v>
      </c>
      <c r="AW275" s="53">
        <f t="shared" si="186"/>
        <v>143.21199999999999</v>
      </c>
      <c r="AX275" s="53">
        <f t="shared" si="186"/>
        <v>347.25599999999997</v>
      </c>
      <c r="AY275" s="53">
        <f t="shared" si="186"/>
        <v>1267.915</v>
      </c>
      <c r="AZ275" s="53">
        <f t="shared" si="186"/>
        <v>1430.144</v>
      </c>
      <c r="BA275" s="53">
        <f t="shared" si="186"/>
        <v>596.75300000000004</v>
      </c>
      <c r="BB275" s="53">
        <f t="shared" si="165"/>
        <v>2651.4319999999998</v>
      </c>
      <c r="BC275" s="37"/>
    </row>
    <row r="276" spans="1:55">
      <c r="B276" s="14" t="s">
        <v>611</v>
      </c>
      <c r="C276" s="115" t="s">
        <v>390</v>
      </c>
      <c r="H276" s="37">
        <v>0</v>
      </c>
      <c r="I276" s="37">
        <v>0</v>
      </c>
      <c r="J276" s="37">
        <v>0</v>
      </c>
      <c r="K276" s="37">
        <v>0</v>
      </c>
      <c r="L276" s="37">
        <v>0</v>
      </c>
      <c r="M276" s="37">
        <v>0</v>
      </c>
      <c r="N276" s="37">
        <v>0</v>
      </c>
      <c r="O276" s="37">
        <v>0</v>
      </c>
      <c r="P276" s="37">
        <v>0</v>
      </c>
      <c r="Q276" s="37">
        <v>0</v>
      </c>
      <c r="R276" s="37">
        <v>0</v>
      </c>
      <c r="S276" s="37">
        <v>0</v>
      </c>
      <c r="T276" s="37">
        <v>0</v>
      </c>
      <c r="U276" s="37">
        <v>0</v>
      </c>
      <c r="V276" s="37">
        <v>0</v>
      </c>
      <c r="W276" s="37">
        <v>0</v>
      </c>
      <c r="X276" s="37">
        <v>0</v>
      </c>
      <c r="Y276" s="37">
        <v>0</v>
      </c>
      <c r="Z276" s="37">
        <v>0</v>
      </c>
      <c r="AA276" s="37">
        <v>0</v>
      </c>
      <c r="AB276" s="37">
        <v>0</v>
      </c>
      <c r="AC276" s="37">
        <v>0</v>
      </c>
      <c r="AD276" s="37">
        <v>0</v>
      </c>
      <c r="AE276" s="37">
        <v>0</v>
      </c>
      <c r="AF276" s="37">
        <v>0</v>
      </c>
      <c r="AG276" s="53">
        <f>Português!AG276</f>
        <v>-18.271999999999998</v>
      </c>
      <c r="AH276" s="53">
        <f>Português!AH276</f>
        <v>17.030999999999999</v>
      </c>
      <c r="AI276" s="53">
        <f>Português!AI276</f>
        <v>-15.455000000000002</v>
      </c>
      <c r="AJ276" s="53">
        <f>Português!AJ276</f>
        <v>-14.879999999999999</v>
      </c>
      <c r="AK276" s="53">
        <f>Português!AK276</f>
        <v>0</v>
      </c>
      <c r="AL276" s="53">
        <f>Português!AL276</f>
        <v>0</v>
      </c>
      <c r="AM276" s="53">
        <f>Português!AM276</f>
        <v>0</v>
      </c>
      <c r="AN276" s="53">
        <f>Português!AN276</f>
        <v>0</v>
      </c>
      <c r="AO276" s="53">
        <f>Português!AO276</f>
        <v>-25.195999999999998</v>
      </c>
      <c r="AP276" s="53">
        <f>Português!AP276</f>
        <v>0</v>
      </c>
      <c r="AQ276" s="53">
        <f>Português!AQ276</f>
        <v>0</v>
      </c>
      <c r="AR276" s="53">
        <f>Português!AR276</f>
        <v>0</v>
      </c>
      <c r="AS276" s="19"/>
      <c r="AT276" s="37">
        <v>0</v>
      </c>
      <c r="AU276" s="37">
        <v>0</v>
      </c>
      <c r="AV276" s="37">
        <v>0</v>
      </c>
      <c r="AW276" s="37">
        <v>0</v>
      </c>
      <c r="AX276" s="37">
        <v>0</v>
      </c>
      <c r="AY276" s="37">
        <v>0</v>
      </c>
      <c r="AZ276" s="53">
        <f>SUM(AF276:AI276)</f>
        <v>-16.696000000000002</v>
      </c>
      <c r="BA276" s="53">
        <f>SUM(AJ276:AM276)</f>
        <v>-14.879999999999999</v>
      </c>
      <c r="BB276" s="53">
        <f t="shared" si="165"/>
        <v>-25.195999999999998</v>
      </c>
      <c r="BC276" s="37"/>
    </row>
    <row r="277" spans="1:55">
      <c r="L277" s="77"/>
      <c r="M277" s="77"/>
      <c r="AK277" s="42"/>
      <c r="AL277" s="42"/>
      <c r="AM277" s="42"/>
      <c r="AN277" s="42"/>
      <c r="AO277" s="37"/>
      <c r="AP277" s="37"/>
      <c r="AQ277" s="37"/>
      <c r="AR277" s="37"/>
      <c r="AS277" s="19"/>
      <c r="AT277" s="37"/>
      <c r="AU277" s="37"/>
      <c r="AV277" s="37"/>
      <c r="AW277" s="37"/>
      <c r="AX277" s="13"/>
      <c r="AY277" s="13"/>
      <c r="AZ277" s="13"/>
      <c r="BA277" s="37"/>
      <c r="BB277" s="37"/>
      <c r="BC277" s="37"/>
    </row>
    <row r="278" spans="1:55" s="5" customFormat="1" ht="13.5">
      <c r="A278" s="102"/>
      <c r="B278" s="4" t="s">
        <v>612</v>
      </c>
      <c r="AK278" s="42"/>
      <c r="AL278" s="42"/>
      <c r="AM278" s="42"/>
      <c r="AN278" s="42"/>
      <c r="AO278" s="37"/>
      <c r="AP278" s="37"/>
      <c r="AQ278" s="37"/>
      <c r="AR278" s="37"/>
      <c r="AS278" s="19"/>
      <c r="AX278" s="102"/>
      <c r="AY278" s="102"/>
      <c r="AZ278" s="102"/>
      <c r="BA278" s="37"/>
      <c r="BB278" s="37"/>
      <c r="BC278" s="37"/>
    </row>
    <row r="279" spans="1:55" ht="27" customHeight="1" outlineLevel="1">
      <c r="B279" s="6" t="s">
        <v>10</v>
      </c>
      <c r="C279" s="6" t="s">
        <v>335</v>
      </c>
      <c r="D279" s="6" t="s">
        <v>336</v>
      </c>
      <c r="E279" s="6" t="s">
        <v>337</v>
      </c>
      <c r="F279" s="6" t="s">
        <v>338</v>
      </c>
      <c r="G279" s="6" t="s">
        <v>339</v>
      </c>
      <c r="H279" s="6" t="s">
        <v>340</v>
      </c>
      <c r="I279" s="6" t="s">
        <v>341</v>
      </c>
      <c r="J279" s="6" t="s">
        <v>342</v>
      </c>
      <c r="K279" s="6" t="s">
        <v>343</v>
      </c>
      <c r="L279" s="6" t="s">
        <v>344</v>
      </c>
      <c r="M279" s="6" t="s">
        <v>345</v>
      </c>
      <c r="N279" s="6" t="s">
        <v>346</v>
      </c>
      <c r="O279" s="6" t="s">
        <v>23</v>
      </c>
      <c r="P279" s="6" t="str">
        <f>P8</f>
        <v>1Q19</v>
      </c>
      <c r="Q279" s="6" t="s">
        <v>349</v>
      </c>
      <c r="R279" s="6" t="s">
        <v>350</v>
      </c>
      <c r="S279" s="6" t="s">
        <v>351</v>
      </c>
      <c r="T279" s="6" t="s">
        <v>352</v>
      </c>
      <c r="U279" s="6" t="s">
        <v>353</v>
      </c>
      <c r="V279" s="6" t="s">
        <v>354</v>
      </c>
      <c r="W279" s="6" t="s">
        <v>355</v>
      </c>
      <c r="X279" s="6" t="s">
        <v>356</v>
      </c>
      <c r="Y279" s="6" t="s">
        <v>357</v>
      </c>
      <c r="Z279" s="6" t="s">
        <v>358</v>
      </c>
      <c r="AA279" s="6" t="s">
        <v>359</v>
      </c>
      <c r="AB279" s="6" t="s">
        <v>360</v>
      </c>
      <c r="AC279" s="6" t="s">
        <v>361</v>
      </c>
      <c r="AD279" s="6" t="s">
        <v>362</v>
      </c>
      <c r="AE279" s="6" t="s">
        <v>363</v>
      </c>
      <c r="AF279" s="6" t="s">
        <v>364</v>
      </c>
      <c r="AG279" s="6" t="s">
        <v>365</v>
      </c>
      <c r="AH279" s="6" t="s">
        <v>366</v>
      </c>
      <c r="AI279" s="101" t="s">
        <v>613</v>
      </c>
      <c r="AJ279" s="6" t="s">
        <v>368</v>
      </c>
      <c r="AK279" s="6" t="s">
        <v>369</v>
      </c>
      <c r="AL279" s="6" t="s">
        <v>370</v>
      </c>
      <c r="AM279" s="6" t="s">
        <v>371</v>
      </c>
      <c r="AN279" s="6" t="s">
        <v>372</v>
      </c>
      <c r="AO279" s="6" t="s">
        <v>373</v>
      </c>
      <c r="AP279" s="6" t="s">
        <v>374</v>
      </c>
      <c r="AQ279" s="6" t="s">
        <v>375</v>
      </c>
      <c r="AR279" s="6" t="s">
        <v>629</v>
      </c>
      <c r="AS279" s="19"/>
      <c r="AT279" s="6">
        <v>2017</v>
      </c>
      <c r="AU279" s="6">
        <v>2018</v>
      </c>
      <c r="AV279" s="6">
        <v>2019</v>
      </c>
      <c r="AW279" s="6">
        <v>2020</v>
      </c>
      <c r="AX279" s="6">
        <v>2021</v>
      </c>
      <c r="AY279" s="6">
        <v>2022</v>
      </c>
      <c r="AZ279" s="6">
        <v>2023</v>
      </c>
      <c r="BA279" s="6">
        <v>2024</v>
      </c>
      <c r="BB279" s="7">
        <v>2025</v>
      </c>
      <c r="BC279" s="37"/>
    </row>
    <row r="280" spans="1:55" outlineLevel="1">
      <c r="B280" s="87" t="s">
        <v>614</v>
      </c>
      <c r="C280" s="5" t="s">
        <v>390</v>
      </c>
      <c r="D280" s="5"/>
      <c r="E280" s="5"/>
      <c r="F280" s="5"/>
      <c r="G280" s="5"/>
      <c r="H280" s="5"/>
      <c r="I280" s="5"/>
      <c r="J280" s="5"/>
      <c r="K280" s="53">
        <f>Português!K280</f>
        <v>155.75399999999999</v>
      </c>
      <c r="L280" s="53">
        <f>Português!L280</f>
        <v>171.66</v>
      </c>
      <c r="M280" s="53">
        <f>Português!M280</f>
        <v>168.4</v>
      </c>
      <c r="N280" s="53">
        <f>Português!N280</f>
        <v>187.23</v>
      </c>
      <c r="O280" s="53">
        <f>Português!O280</f>
        <v>183.16800000000001</v>
      </c>
      <c r="P280" s="53">
        <f>Português!P280</f>
        <v>197.71299999999999</v>
      </c>
      <c r="Q280" s="53">
        <f>Português!Q280</f>
        <v>200.89099999999999</v>
      </c>
      <c r="R280" s="53">
        <f>Português!R280</f>
        <v>175.8</v>
      </c>
      <c r="S280" s="53">
        <f>Português!S280</f>
        <v>380.166</v>
      </c>
      <c r="T280" s="53">
        <f>Português!T280</f>
        <v>498.13099999999997</v>
      </c>
      <c r="U280" s="53">
        <f>Português!U280</f>
        <v>487.67399999999998</v>
      </c>
      <c r="V280" s="53">
        <f>Português!V280</f>
        <v>475.83199999999999</v>
      </c>
      <c r="W280" s="53">
        <f>Português!W280</f>
        <v>601.67399999999998</v>
      </c>
      <c r="X280" s="53">
        <f>Português!X280</f>
        <v>656.63199999999995</v>
      </c>
      <c r="Y280" s="53">
        <f>Português!Y280</f>
        <v>649.125</v>
      </c>
      <c r="Z280" s="53">
        <f>Português!Z280</f>
        <v>521.14400000000001</v>
      </c>
      <c r="AA280" s="53">
        <f>Português!AA280</f>
        <v>595.09900000000005</v>
      </c>
      <c r="AB280" s="53">
        <f>Português!AB280</f>
        <v>1083.1859999999999</v>
      </c>
      <c r="AC280" s="53">
        <f>Português!AC280</f>
        <v>1229.152</v>
      </c>
      <c r="AD280" s="53">
        <f>Português!AD280</f>
        <v>1226.739</v>
      </c>
      <c r="AE280" s="53">
        <f>Português!AE280</f>
        <v>1435.98</v>
      </c>
      <c r="AF280" s="53">
        <f>Português!AF280</f>
        <v>1391.4059999999999</v>
      </c>
      <c r="AG280" s="53">
        <f>Português!AG280</f>
        <v>1459.41</v>
      </c>
      <c r="AH280" s="53">
        <f>Português!AH280</f>
        <v>1528.8789999999999</v>
      </c>
      <c r="AI280" s="53">
        <f>Português!AI280</f>
        <v>1547.7929999999999</v>
      </c>
      <c r="AJ280" s="53">
        <f>Português!AJ280</f>
        <v>1742.421</v>
      </c>
      <c r="AK280" s="53">
        <f>Português!AK280</f>
        <v>1700.662</v>
      </c>
      <c r="AL280" s="53">
        <f>Português!AL280</f>
        <v>1666.817</v>
      </c>
      <c r="AM280" s="53">
        <f>Português!AM280</f>
        <v>1428.971</v>
      </c>
      <c r="AN280" s="53">
        <f>Português!AN280</f>
        <v>1589.652</v>
      </c>
      <c r="AO280" s="53">
        <f>Português!AO280</f>
        <v>1567.9960000000001</v>
      </c>
      <c r="AP280" s="53">
        <f>Português!AP280</f>
        <v>1582.5329999999999</v>
      </c>
      <c r="AQ280" s="53">
        <f>Português!AQ280</f>
        <v>1647.9369999999999</v>
      </c>
      <c r="AR280" s="53">
        <f>Português!AR280</f>
        <v>1758.107</v>
      </c>
      <c r="AS280" s="19"/>
      <c r="AT280" s="53">
        <f>K280</f>
        <v>155.75399999999999</v>
      </c>
      <c r="AU280" s="53">
        <f>O280</f>
        <v>183.16800000000001</v>
      </c>
      <c r="AV280" s="53">
        <f>S280</f>
        <v>380.166</v>
      </c>
      <c r="AW280" s="53">
        <f>W280</f>
        <v>601.67399999999998</v>
      </c>
      <c r="AX280" s="53">
        <f>AA280</f>
        <v>595.09900000000005</v>
      </c>
      <c r="AY280" s="53">
        <f>AE280</f>
        <v>1435.98</v>
      </c>
      <c r="AZ280" s="53">
        <f>AI280</f>
        <v>1547.7929999999999</v>
      </c>
      <c r="BA280" s="37">
        <f>AM280</f>
        <v>1428.971</v>
      </c>
      <c r="BB280" s="37">
        <f>AQ280</f>
        <v>1647.9369999999999</v>
      </c>
      <c r="BC280" s="37"/>
    </row>
    <row r="281" spans="1:55" outlineLevel="1">
      <c r="B281" s="87" t="s">
        <v>615</v>
      </c>
      <c r="C281" s="5" t="s">
        <v>390</v>
      </c>
      <c r="D281" s="5"/>
      <c r="E281" s="5"/>
      <c r="F281" s="5"/>
      <c r="G281" s="5"/>
      <c r="H281" s="5"/>
      <c r="I281" s="5"/>
      <c r="J281" s="5"/>
      <c r="K281" s="53">
        <f>Português!K281</f>
        <v>7.0609999999999999</v>
      </c>
      <c r="L281" s="53">
        <f>Português!L281</f>
        <v>5.8</v>
      </c>
      <c r="M281" s="53">
        <f>Português!M281</f>
        <v>8.9039999999999999</v>
      </c>
      <c r="N281" s="53">
        <f>Português!N281</f>
        <v>8.8719999999999999</v>
      </c>
      <c r="O281" s="53">
        <f>Português!O281</f>
        <v>8.3190000000000008</v>
      </c>
      <c r="P281" s="53">
        <f>Português!P281</f>
        <v>6.6420000000000003</v>
      </c>
      <c r="Q281" s="53">
        <f>Português!Q281</f>
        <v>6.1479999999999997</v>
      </c>
      <c r="R281" s="53">
        <f>Português!R281</f>
        <v>10.199999999999999</v>
      </c>
      <c r="S281" s="53">
        <f>Português!S281</f>
        <v>53.444000000000003</v>
      </c>
      <c r="T281" s="53">
        <f>Português!T281</f>
        <v>32.459000000000003</v>
      </c>
      <c r="U281" s="53">
        <f>Português!U281</f>
        <v>37.031999999999996</v>
      </c>
      <c r="V281" s="53">
        <f>Português!V281</f>
        <v>45.433</v>
      </c>
      <c r="W281" s="53">
        <f>Português!W281</f>
        <v>43.247999999999998</v>
      </c>
      <c r="X281" s="53">
        <f>Português!X281</f>
        <v>59.247</v>
      </c>
      <c r="Y281" s="53">
        <f>Português!Y281</f>
        <v>79.506</v>
      </c>
      <c r="Z281" s="53">
        <f>Português!Z281</f>
        <v>84.094999999999999</v>
      </c>
      <c r="AA281" s="53">
        <f>Português!AA281</f>
        <v>92.471999999999994</v>
      </c>
      <c r="AB281" s="53">
        <f>Português!AB281</f>
        <v>566.78300000000002</v>
      </c>
      <c r="AC281" s="53">
        <f>Português!AC281</f>
        <v>606.66200000000003</v>
      </c>
      <c r="AD281" s="53">
        <f>Português!AD281</f>
        <v>631.93299999999999</v>
      </c>
      <c r="AE281" s="53">
        <f>Português!AE281</f>
        <v>662.55799999999999</v>
      </c>
      <c r="AF281" s="53">
        <f>Português!AF281</f>
        <v>617.53499999999997</v>
      </c>
      <c r="AG281" s="53">
        <f>Português!AG281</f>
        <v>599.49800000000005</v>
      </c>
      <c r="AH281" s="53">
        <f>Português!AH281</f>
        <v>651.12300000000005</v>
      </c>
      <c r="AI281" s="53">
        <f>Português!AI281</f>
        <v>687.47900000000004</v>
      </c>
      <c r="AJ281" s="53">
        <f>Português!AJ281</f>
        <v>739.78499999999997</v>
      </c>
      <c r="AK281" s="53">
        <f>Português!AK281</f>
        <v>791.36800000000005</v>
      </c>
      <c r="AL281" s="53">
        <f>Português!AL281</f>
        <v>821.03399999999999</v>
      </c>
      <c r="AM281" s="53">
        <f>Português!AM281</f>
        <v>691.37300000000005</v>
      </c>
      <c r="AN281" s="53">
        <f>Português!AN281</f>
        <v>619.85799999999995</v>
      </c>
      <c r="AO281" s="53">
        <f>Português!AO281</f>
        <v>666.65499999999997</v>
      </c>
      <c r="AP281" s="53">
        <f>Português!AP281</f>
        <v>620.42399999999998</v>
      </c>
      <c r="AQ281" s="53">
        <f>Português!AQ281</f>
        <v>495.58</v>
      </c>
      <c r="AR281" s="53">
        <f>Português!AR281</f>
        <v>533.96699999999998</v>
      </c>
      <c r="AS281" s="19"/>
      <c r="AT281" s="53">
        <f>K281</f>
        <v>7.0609999999999999</v>
      </c>
      <c r="AU281" s="53">
        <f>O281</f>
        <v>8.3190000000000008</v>
      </c>
      <c r="AV281" s="53">
        <f>S281</f>
        <v>53.444000000000003</v>
      </c>
      <c r="AW281" s="53">
        <f>W281</f>
        <v>43.247999999999998</v>
      </c>
      <c r="AX281" s="53">
        <f>AA281</f>
        <v>92.471999999999994</v>
      </c>
      <c r="AY281" s="53">
        <f>AE281</f>
        <v>662.55799999999999</v>
      </c>
      <c r="AZ281" s="53">
        <f>AI281</f>
        <v>687.47900000000004</v>
      </c>
      <c r="BA281" s="37">
        <f>AM281</f>
        <v>691.37300000000005</v>
      </c>
      <c r="BB281" s="37">
        <f>AQ281</f>
        <v>495.58</v>
      </c>
      <c r="BC281" s="37"/>
    </row>
    <row r="282" spans="1:55" outlineLevel="1">
      <c r="B282" s="87" t="s">
        <v>616</v>
      </c>
      <c r="C282" s="5" t="s">
        <v>390</v>
      </c>
      <c r="D282" s="5"/>
      <c r="E282" s="5"/>
      <c r="F282" s="5"/>
      <c r="G282" s="5"/>
      <c r="H282" s="5"/>
      <c r="I282" s="5"/>
      <c r="J282" s="5"/>
      <c r="K282" s="53">
        <f>Português!K282</f>
        <v>0</v>
      </c>
      <c r="L282" s="53">
        <f>Português!L282</f>
        <v>0</v>
      </c>
      <c r="M282" s="53">
        <f>Português!M282</f>
        <v>0</v>
      </c>
      <c r="N282" s="53">
        <f>Português!N282</f>
        <v>0</v>
      </c>
      <c r="O282" s="53">
        <f>Português!O282</f>
        <v>0</v>
      </c>
      <c r="P282" s="53">
        <f>Português!P282</f>
        <v>0</v>
      </c>
      <c r="Q282" s="53">
        <f>Português!Q282</f>
        <v>0</v>
      </c>
      <c r="R282" s="53">
        <f>Português!R282</f>
        <v>0</v>
      </c>
      <c r="S282" s="53">
        <f>Português!S282</f>
        <v>14.624000000000001</v>
      </c>
      <c r="T282" s="53">
        <f>Português!T282</f>
        <v>11.317</v>
      </c>
      <c r="U282" s="53">
        <f>Português!U282</f>
        <v>11.298</v>
      </c>
      <c r="V282" s="53">
        <f>Português!V282</f>
        <v>14.034000000000001</v>
      </c>
      <c r="W282" s="53">
        <f>Português!W282</f>
        <v>16.440999999999999</v>
      </c>
      <c r="X282" s="53">
        <f>Português!X282</f>
        <v>11.63</v>
      </c>
      <c r="Y282" s="53">
        <f>Português!Y282</f>
        <v>12.699</v>
      </c>
      <c r="Z282" s="53">
        <f>Português!Z282</f>
        <v>10.851000000000001</v>
      </c>
      <c r="AA282" s="53">
        <f>Português!AA282</f>
        <v>19.167999999999999</v>
      </c>
      <c r="AB282" s="53">
        <f>Português!AB282</f>
        <v>19.722000000000001</v>
      </c>
      <c r="AC282" s="53">
        <f>Português!AC282</f>
        <v>26.16</v>
      </c>
      <c r="AD282" s="53">
        <f>Português!AD282</f>
        <v>20.5</v>
      </c>
      <c r="AE282" s="53">
        <f>Português!AE282</f>
        <v>20.977</v>
      </c>
      <c r="AF282" s="53">
        <f>Português!AF282</f>
        <v>0</v>
      </c>
      <c r="AG282" s="53">
        <f>Português!AG282</f>
        <v>12.145</v>
      </c>
      <c r="AH282" s="53">
        <f>Português!AH282</f>
        <v>10.43</v>
      </c>
      <c r="AI282" s="53">
        <f>Português!AI282</f>
        <v>1.046</v>
      </c>
      <c r="AJ282" s="53">
        <f>Português!AJ282</f>
        <v>0</v>
      </c>
      <c r="AK282" s="53">
        <f>Português!AK282</f>
        <v>0</v>
      </c>
      <c r="AL282" s="53">
        <f>Português!AL282</f>
        <v>0</v>
      </c>
      <c r="AM282" s="53">
        <f>Português!AM282</f>
        <v>0</v>
      </c>
      <c r="AN282" s="53">
        <f>Português!AN282</f>
        <v>1.6839999999999999</v>
      </c>
      <c r="AO282" s="53">
        <f>Português!AO282</f>
        <v>0</v>
      </c>
      <c r="AP282" s="53">
        <f>Português!AP282</f>
        <v>0</v>
      </c>
      <c r="AQ282" s="53">
        <f>Português!AQ282</f>
        <v>0</v>
      </c>
      <c r="AR282" s="53">
        <f>Português!AR282</f>
        <v>0</v>
      </c>
      <c r="AS282" s="19"/>
      <c r="AT282" s="53">
        <f>K282</f>
        <v>0</v>
      </c>
      <c r="AU282" s="53">
        <f>O282</f>
        <v>0</v>
      </c>
      <c r="AV282" s="53">
        <f>S282</f>
        <v>14.624000000000001</v>
      </c>
      <c r="AW282" s="53">
        <f>W282</f>
        <v>16.440999999999999</v>
      </c>
      <c r="AX282" s="53">
        <f>AA282</f>
        <v>19.167999999999999</v>
      </c>
      <c r="AY282" s="53">
        <f>AE282</f>
        <v>20.977</v>
      </c>
      <c r="AZ282" s="53">
        <f>AI282</f>
        <v>1.046</v>
      </c>
      <c r="BA282" s="37">
        <f>AM282</f>
        <v>0</v>
      </c>
      <c r="BB282" s="37">
        <f>AQ282</f>
        <v>0</v>
      </c>
      <c r="BC282" s="37"/>
    </row>
    <row r="283" spans="1:55" ht="13.5" outlineLevel="1">
      <c r="B283" s="11" t="s">
        <v>617</v>
      </c>
      <c r="C283" s="11" t="s">
        <v>390</v>
      </c>
      <c r="D283" s="11"/>
      <c r="E283" s="11"/>
      <c r="F283" s="11"/>
      <c r="G283" s="11"/>
      <c r="H283" s="11"/>
      <c r="I283" s="11"/>
      <c r="J283" s="11"/>
      <c r="K283" s="57">
        <f t="shared" ref="K283:Q283" si="187">SUM(K280:K281)</f>
        <v>162.815</v>
      </c>
      <c r="L283" s="57">
        <f t="shared" si="187"/>
        <v>177.46</v>
      </c>
      <c r="M283" s="57">
        <f t="shared" si="187"/>
        <v>177.304</v>
      </c>
      <c r="N283" s="57">
        <f t="shared" si="187"/>
        <v>196.10199999999998</v>
      </c>
      <c r="O283" s="57">
        <f t="shared" si="187"/>
        <v>191.48699999999999</v>
      </c>
      <c r="P283" s="57">
        <f t="shared" si="187"/>
        <v>204.35499999999999</v>
      </c>
      <c r="Q283" s="57">
        <f t="shared" si="187"/>
        <v>207.03899999999999</v>
      </c>
      <c r="R283" s="57">
        <f>SUM(R280:R282)</f>
        <v>186</v>
      </c>
      <c r="S283" s="57">
        <f t="shared" ref="S283:AH283" si="188">SUM(S280:S282)</f>
        <v>448.23400000000004</v>
      </c>
      <c r="T283" s="57">
        <f t="shared" si="188"/>
        <v>541.90699999999993</v>
      </c>
      <c r="U283" s="57">
        <f t="shared" si="188"/>
        <v>536.00400000000002</v>
      </c>
      <c r="V283" s="57">
        <f t="shared" si="188"/>
        <v>535.29899999999998</v>
      </c>
      <c r="W283" s="57">
        <f t="shared" si="188"/>
        <v>661.36300000000006</v>
      </c>
      <c r="X283" s="57">
        <f t="shared" si="188"/>
        <v>727.5089999999999</v>
      </c>
      <c r="Y283" s="57">
        <f t="shared" si="188"/>
        <v>741.32999999999993</v>
      </c>
      <c r="Z283" s="57">
        <f t="shared" si="188"/>
        <v>616.09</v>
      </c>
      <c r="AA283" s="57">
        <f t="shared" si="188"/>
        <v>706.73900000000003</v>
      </c>
      <c r="AB283" s="57">
        <f t="shared" si="188"/>
        <v>1669.691</v>
      </c>
      <c r="AC283" s="57">
        <f t="shared" si="188"/>
        <v>1861.9740000000002</v>
      </c>
      <c r="AD283" s="57">
        <f t="shared" si="188"/>
        <v>1879.172</v>
      </c>
      <c r="AE283" s="57">
        <f t="shared" si="188"/>
        <v>2119.5149999999999</v>
      </c>
      <c r="AF283" s="57">
        <f t="shared" si="188"/>
        <v>2008.9409999999998</v>
      </c>
      <c r="AG283" s="57">
        <f t="shared" si="188"/>
        <v>2071.0530000000003</v>
      </c>
      <c r="AH283" s="57">
        <f t="shared" si="188"/>
        <v>2190.4319999999998</v>
      </c>
      <c r="AI283" s="57">
        <f>SUM(AI280:AI282)</f>
        <v>2236.3179999999998</v>
      </c>
      <c r="AJ283" s="57">
        <f t="shared" ref="AJ283:AP283" si="189">SUM(AJ280:AJ282)</f>
        <v>2482.2060000000001</v>
      </c>
      <c r="AK283" s="57">
        <f t="shared" si="189"/>
        <v>2492.0300000000002</v>
      </c>
      <c r="AL283" s="57">
        <f t="shared" si="189"/>
        <v>2487.8510000000001</v>
      </c>
      <c r="AM283" s="57">
        <f t="shared" si="189"/>
        <v>2120.3440000000001</v>
      </c>
      <c r="AN283" s="57">
        <f t="shared" si="189"/>
        <v>2211.1940000000004</v>
      </c>
      <c r="AO283" s="57">
        <f t="shared" si="189"/>
        <v>2234.6509999999998</v>
      </c>
      <c r="AP283" s="57">
        <f t="shared" si="189"/>
        <v>2202.9569999999999</v>
      </c>
      <c r="AQ283" s="57">
        <f>SUM(AQ280:AQ282)</f>
        <v>2143.5169999999998</v>
      </c>
      <c r="AR283" s="57">
        <f>SUM(AR280:AR282)</f>
        <v>2292.0740000000001</v>
      </c>
      <c r="AS283" s="19"/>
      <c r="AT283" s="57">
        <f t="shared" ref="AT283:AY283" si="190">SUM(AT280:AT282)</f>
        <v>162.815</v>
      </c>
      <c r="AU283" s="57">
        <f t="shared" si="190"/>
        <v>191.48699999999999</v>
      </c>
      <c r="AV283" s="57">
        <f t="shared" si="190"/>
        <v>448.23400000000004</v>
      </c>
      <c r="AW283" s="57">
        <f t="shared" si="190"/>
        <v>661.36300000000006</v>
      </c>
      <c r="AX283" s="57">
        <f t="shared" si="190"/>
        <v>706.73900000000003</v>
      </c>
      <c r="AY283" s="57">
        <f t="shared" si="190"/>
        <v>2119.5149999999999</v>
      </c>
      <c r="AZ283" s="57">
        <f>SUM(AZ280:AZ282)</f>
        <v>2236.3179999999998</v>
      </c>
      <c r="BA283" s="57">
        <f>SUM(BA280:BA282)</f>
        <v>2120.3440000000001</v>
      </c>
      <c r="BB283" s="57">
        <f>SUM(BB280:BB282)</f>
        <v>2143.5169999999998</v>
      </c>
      <c r="BC283" s="37"/>
    </row>
    <row r="284" spans="1:55" ht="13.5" outlineLevel="1">
      <c r="B284" s="11" t="s">
        <v>618</v>
      </c>
      <c r="C284" s="11" t="s">
        <v>390</v>
      </c>
      <c r="D284" s="11"/>
      <c r="E284" s="11"/>
      <c r="F284" s="11"/>
      <c r="G284" s="11"/>
      <c r="H284" s="11"/>
      <c r="I284" s="11"/>
      <c r="J284" s="11"/>
      <c r="K284" s="57">
        <f t="shared" ref="K284:Q284" si="191">K283-K285</f>
        <v>57.871999999999986</v>
      </c>
      <c r="L284" s="57">
        <v>2</v>
      </c>
      <c r="M284" s="57">
        <f t="shared" si="191"/>
        <v>7.0040000000000191</v>
      </c>
      <c r="N284" s="57">
        <f t="shared" si="191"/>
        <v>65.20199999999997</v>
      </c>
      <c r="O284" s="57">
        <f t="shared" si="191"/>
        <v>57.676999999999992</v>
      </c>
      <c r="P284" s="57">
        <f t="shared" si="191"/>
        <v>62.390999999999991</v>
      </c>
      <c r="Q284" s="57">
        <f t="shared" si="191"/>
        <v>61.121999999999986</v>
      </c>
      <c r="R284" s="57">
        <v>43.8</v>
      </c>
      <c r="S284" s="57">
        <v>84.182000000000002</v>
      </c>
      <c r="T284" s="57">
        <v>134.19999999999999</v>
      </c>
      <c r="U284" s="57">
        <v>103.871</v>
      </c>
      <c r="V284" s="57">
        <v>90.775000000000006</v>
      </c>
      <c r="W284" s="57">
        <v>234.68299999999999</v>
      </c>
      <c r="X284" s="57">
        <v>213.51300000000001</v>
      </c>
      <c r="Y284" s="57">
        <f t="shared" ref="Y284:AH284" si="192">Y283-Y285</f>
        <v>196.34099999999989</v>
      </c>
      <c r="Z284" s="57">
        <f t="shared" si="192"/>
        <v>91.668999999999983</v>
      </c>
      <c r="AA284" s="57">
        <f t="shared" si="192"/>
        <v>94.634000000000015</v>
      </c>
      <c r="AB284" s="57">
        <f t="shared" si="192"/>
        <v>463.19100000000003</v>
      </c>
      <c r="AC284" s="57">
        <f t="shared" si="192"/>
        <v>539.34400000000005</v>
      </c>
      <c r="AD284" s="57">
        <f t="shared" si="192"/>
        <v>541.72</v>
      </c>
      <c r="AE284" s="57">
        <f t="shared" si="192"/>
        <v>464.8962563499972</v>
      </c>
      <c r="AF284" s="57">
        <f t="shared" si="192"/>
        <v>515.26299999999992</v>
      </c>
      <c r="AG284" s="57">
        <f t="shared" si="192"/>
        <v>707.37800000000038</v>
      </c>
      <c r="AH284" s="57">
        <f t="shared" si="192"/>
        <v>560.33599999999979</v>
      </c>
      <c r="AI284" s="57">
        <f>AI283-AI285</f>
        <v>514.22699999999986</v>
      </c>
      <c r="AJ284" s="57">
        <f>AJ283-AJ285</f>
        <v>558.95400000000018</v>
      </c>
      <c r="AK284" s="57">
        <f>AK283-AK285</f>
        <v>648.86300000000028</v>
      </c>
      <c r="AL284" s="57">
        <f>AL283-AL285</f>
        <v>645.30300000000011</v>
      </c>
      <c r="AM284" s="57">
        <f>AM283-AM285</f>
        <v>295.06100000000015</v>
      </c>
      <c r="AN284" s="57">
        <v>454.77</v>
      </c>
      <c r="AO284" s="57">
        <v>643.601</v>
      </c>
      <c r="AP284" s="57">
        <v>974.56799999999998</v>
      </c>
      <c r="AQ284" s="57">
        <f>Português!AQ284</f>
        <v>824.99900000000002</v>
      </c>
      <c r="AR284" s="57">
        <f>Português!AR284</f>
        <v>913.21299999999997</v>
      </c>
      <c r="AS284" s="19"/>
      <c r="AT284" s="57">
        <f t="shared" ref="AT284:AY284" si="193">AT283-AT285</f>
        <v>57.871999999999986</v>
      </c>
      <c r="AU284" s="57">
        <f t="shared" si="193"/>
        <v>57.676999999999992</v>
      </c>
      <c r="AV284" s="57">
        <f t="shared" si="193"/>
        <v>84.182000000000016</v>
      </c>
      <c r="AW284" s="57">
        <f t="shared" si="193"/>
        <v>234.68300000000005</v>
      </c>
      <c r="AX284" s="57">
        <f t="shared" si="193"/>
        <v>94.634000000000015</v>
      </c>
      <c r="AY284" s="57">
        <f t="shared" si="193"/>
        <v>464.8962563499972</v>
      </c>
      <c r="AZ284" s="57">
        <f>AZ283-AZ285</f>
        <v>514.22699999999986</v>
      </c>
      <c r="BA284" s="57">
        <f>BA283-BA285</f>
        <v>295.06100000000015</v>
      </c>
      <c r="BB284" s="57">
        <f>BB283-BB285</f>
        <v>824.9989999999998</v>
      </c>
      <c r="BC284" s="37"/>
    </row>
    <row r="285" spans="1:55" ht="13.5" outlineLevel="1">
      <c r="B285" s="11" t="s">
        <v>619</v>
      </c>
      <c r="C285" s="11" t="s">
        <v>390</v>
      </c>
      <c r="D285" s="11"/>
      <c r="E285" s="11"/>
      <c r="F285" s="11"/>
      <c r="G285" s="11"/>
      <c r="H285" s="11"/>
      <c r="I285" s="11"/>
      <c r="J285" s="11"/>
      <c r="K285" s="57">
        <f>SUM(K286:K289)</f>
        <v>104.94300000000001</v>
      </c>
      <c r="L285" s="57">
        <f>SUM(L286:L289)</f>
        <v>175.5</v>
      </c>
      <c r="M285" s="57">
        <f>SUM(M286:M289)</f>
        <v>170.29999999999998</v>
      </c>
      <c r="N285" s="57">
        <f>SUM(N286:N289)</f>
        <v>130.9</v>
      </c>
      <c r="O285" s="57">
        <f>SUM(O286:O289)</f>
        <v>133.81</v>
      </c>
      <c r="P285" s="57">
        <f t="shared" ref="P285:AI285" si="194">SUM(P286:P289)</f>
        <v>141.964</v>
      </c>
      <c r="Q285" s="57">
        <f t="shared" si="194"/>
        <v>145.917</v>
      </c>
      <c r="R285" s="57">
        <f t="shared" si="194"/>
        <v>142.19999999999999</v>
      </c>
      <c r="S285" s="57">
        <f t="shared" si="194"/>
        <v>364.05200000000002</v>
      </c>
      <c r="T285" s="57">
        <f t="shared" si="194"/>
        <v>407.70699999999999</v>
      </c>
      <c r="U285" s="57">
        <f t="shared" si="194"/>
        <v>432.13300000000004</v>
      </c>
      <c r="V285" s="57">
        <f t="shared" si="194"/>
        <v>444.524</v>
      </c>
      <c r="W285" s="57">
        <f t="shared" si="194"/>
        <v>426.68</v>
      </c>
      <c r="X285" s="57">
        <f t="shared" si="194"/>
        <v>513.99599999999998</v>
      </c>
      <c r="Y285" s="57">
        <f t="shared" si="194"/>
        <v>544.98900000000003</v>
      </c>
      <c r="Z285" s="57">
        <f t="shared" si="194"/>
        <v>524.42100000000005</v>
      </c>
      <c r="AA285" s="57">
        <f t="shared" si="194"/>
        <v>612.10500000000002</v>
      </c>
      <c r="AB285" s="57">
        <f t="shared" si="194"/>
        <v>1206.5</v>
      </c>
      <c r="AC285" s="57">
        <f t="shared" si="194"/>
        <v>1322.63</v>
      </c>
      <c r="AD285" s="57">
        <f t="shared" si="194"/>
        <v>1337.452</v>
      </c>
      <c r="AE285" s="57">
        <f t="shared" si="194"/>
        <v>1654.6187436500027</v>
      </c>
      <c r="AF285" s="57">
        <f t="shared" si="194"/>
        <v>1493.6779999999999</v>
      </c>
      <c r="AG285" s="57">
        <f t="shared" si="194"/>
        <v>1363.675</v>
      </c>
      <c r="AH285" s="57">
        <f t="shared" si="194"/>
        <v>1630.096</v>
      </c>
      <c r="AI285" s="57">
        <f t="shared" si="194"/>
        <v>1722.0909999999999</v>
      </c>
      <c r="AJ285" s="57">
        <f>SUM(AJ286:AJ289)</f>
        <v>1923.252</v>
      </c>
      <c r="AK285" s="57">
        <f>SUM(AK286:AK289)</f>
        <v>1843.1669999999999</v>
      </c>
      <c r="AL285" s="57">
        <f>SUM(AL286:AL289)</f>
        <v>1842.548</v>
      </c>
      <c r="AM285" s="57">
        <f>SUM(AM286:AM289)</f>
        <v>1825.2829999999999</v>
      </c>
      <c r="AN285" s="57">
        <v>1756.424</v>
      </c>
      <c r="AO285" s="57">
        <v>1591.0500000000002</v>
      </c>
      <c r="AP285" s="57">
        <v>1228.3889999999999</v>
      </c>
      <c r="AQ285" s="57">
        <f>Português!AQ285</f>
        <v>1318.518</v>
      </c>
      <c r="AR285" s="57">
        <f>Português!AR285</f>
        <v>1378.8609999999999</v>
      </c>
      <c r="AS285" s="19"/>
      <c r="AT285" s="57">
        <f t="shared" ref="AT285:BA285" si="195">SUM(AT286:AT289)</f>
        <v>104.94300000000001</v>
      </c>
      <c r="AU285" s="57">
        <f t="shared" si="195"/>
        <v>133.81</v>
      </c>
      <c r="AV285" s="57">
        <f t="shared" si="195"/>
        <v>364.05200000000002</v>
      </c>
      <c r="AW285" s="57">
        <f t="shared" si="195"/>
        <v>426.68</v>
      </c>
      <c r="AX285" s="57">
        <f t="shared" si="195"/>
        <v>612.10500000000002</v>
      </c>
      <c r="AY285" s="57">
        <f t="shared" si="195"/>
        <v>1654.6187436500027</v>
      </c>
      <c r="AZ285" s="57">
        <f t="shared" si="195"/>
        <v>1722.0909999999999</v>
      </c>
      <c r="BA285" s="57">
        <f t="shared" si="195"/>
        <v>1825.2829999999999</v>
      </c>
      <c r="BB285" s="57">
        <f>SUM(BB286:BB289)</f>
        <v>1318.518</v>
      </c>
      <c r="BC285" s="37"/>
    </row>
    <row r="286" spans="1:55" outlineLevel="1">
      <c r="B286" s="87" t="s">
        <v>620</v>
      </c>
      <c r="C286" s="5" t="s">
        <v>390</v>
      </c>
      <c r="D286" s="5"/>
      <c r="E286" s="5"/>
      <c r="F286" s="5"/>
      <c r="G286" s="5"/>
      <c r="H286" s="5"/>
      <c r="I286" s="5"/>
      <c r="J286" s="5"/>
      <c r="K286" s="53">
        <f>Português!K286</f>
        <v>48.57</v>
      </c>
      <c r="L286" s="53">
        <f>Português!L286</f>
        <v>98.7</v>
      </c>
      <c r="M286" s="53">
        <f>Português!M286</f>
        <v>102.7</v>
      </c>
      <c r="N286" s="53">
        <f>Português!N286</f>
        <v>62.2</v>
      </c>
      <c r="O286" s="53">
        <f>Português!O286</f>
        <v>63.28</v>
      </c>
      <c r="P286" s="53">
        <f>Português!P286</f>
        <v>69.849000000000004</v>
      </c>
      <c r="Q286" s="53">
        <f>Português!Q286</f>
        <v>74.117000000000004</v>
      </c>
      <c r="R286" s="53">
        <f>Português!R286</f>
        <v>61.8</v>
      </c>
      <c r="S286" s="53">
        <f>Português!S286</f>
        <v>140.58199999999999</v>
      </c>
      <c r="T286" s="53">
        <f>Português!T286</f>
        <v>143.48500000000001</v>
      </c>
      <c r="U286" s="53">
        <f>Português!U286</f>
        <v>124.75700000000001</v>
      </c>
      <c r="V286" s="53">
        <f>Português!V286</f>
        <v>134.38300000000001</v>
      </c>
      <c r="W286" s="53">
        <f>Português!W286</f>
        <v>128.803</v>
      </c>
      <c r="X286" s="53">
        <f>Português!X286</f>
        <v>181.429</v>
      </c>
      <c r="Y286" s="53">
        <f>Português!Y286</f>
        <v>174.374</v>
      </c>
      <c r="Z286" s="53">
        <f>Português!Z286</f>
        <v>204.31</v>
      </c>
      <c r="AA286" s="53">
        <f>Português!AA286</f>
        <v>197.70400000000001</v>
      </c>
      <c r="AB286" s="53">
        <f>Português!AB286</f>
        <v>342.09899999999999</v>
      </c>
      <c r="AC286" s="53">
        <f>Português!AC286</f>
        <v>419.3</v>
      </c>
      <c r="AD286" s="53">
        <f>Português!AD286</f>
        <v>464.09100000000001</v>
      </c>
      <c r="AE286" s="53">
        <f>Português!AE286</f>
        <v>505.26894894998605</v>
      </c>
      <c r="AF286" s="53">
        <f>Português!AF286</f>
        <v>353.08800000000002</v>
      </c>
      <c r="AG286" s="53">
        <f>Português!AG286</f>
        <v>358.32400000000001</v>
      </c>
      <c r="AH286" s="53">
        <f>Português!AH286</f>
        <v>442.21899999999999</v>
      </c>
      <c r="AI286" s="53">
        <f>Português!AI286</f>
        <v>501.11599999999999</v>
      </c>
      <c r="AJ286" s="53">
        <f>Português!AJ286</f>
        <v>491.846</v>
      </c>
      <c r="AK286" s="53">
        <f>Português!AK286</f>
        <v>404.51600000000002</v>
      </c>
      <c r="AL286" s="53">
        <f>Português!AL286</f>
        <v>351.88200000000001</v>
      </c>
      <c r="AM286" s="53">
        <f>Português!AM286</f>
        <v>602.80499999999995</v>
      </c>
      <c r="AN286" s="53">
        <f>Português!AN286</f>
        <v>499.17899999999997</v>
      </c>
      <c r="AO286" s="53">
        <f>Português!AO286</f>
        <v>342.96199999999999</v>
      </c>
      <c r="AP286" s="53">
        <f>Português!AP286</f>
        <v>333.35</v>
      </c>
      <c r="AQ286" s="53">
        <f>Português!AQ286</f>
        <v>430.83699999999999</v>
      </c>
      <c r="AR286" s="53">
        <f>Português!AR286</f>
        <v>437.26400000000001</v>
      </c>
      <c r="AS286" s="19"/>
      <c r="AT286" s="53">
        <f>K286</f>
        <v>48.57</v>
      </c>
      <c r="AU286" s="53">
        <f>O286</f>
        <v>63.28</v>
      </c>
      <c r="AV286" s="53">
        <f>S286</f>
        <v>140.58199999999999</v>
      </c>
      <c r="AW286" s="53">
        <f>W286</f>
        <v>128.803</v>
      </c>
      <c r="AX286" s="53">
        <f>AA286</f>
        <v>197.70400000000001</v>
      </c>
      <c r="AY286" s="53">
        <f>AE286</f>
        <v>505.26894894998605</v>
      </c>
      <c r="AZ286" s="53">
        <f>AI286</f>
        <v>501.11599999999999</v>
      </c>
      <c r="BA286" s="37">
        <f>AM286</f>
        <v>602.80499999999995</v>
      </c>
      <c r="BB286" s="37">
        <f>AQ286</f>
        <v>430.83699999999999</v>
      </c>
      <c r="BC286" s="37"/>
    </row>
    <row r="287" spans="1:55" outlineLevel="1">
      <c r="B287" s="87" t="s">
        <v>621</v>
      </c>
      <c r="C287" s="5" t="s">
        <v>390</v>
      </c>
      <c r="D287" s="5"/>
      <c r="E287" s="5"/>
      <c r="F287" s="5"/>
      <c r="G287" s="5"/>
      <c r="H287" s="5"/>
      <c r="I287" s="5"/>
      <c r="J287" s="5"/>
      <c r="K287" s="53">
        <f>Português!K287</f>
        <v>19.422000000000001</v>
      </c>
      <c r="L287" s="53">
        <f>Português!L287</f>
        <v>29.6</v>
      </c>
      <c r="M287" s="53">
        <f>Português!M287</f>
        <v>25.9</v>
      </c>
      <c r="N287" s="53">
        <f>Português!N287</f>
        <v>31</v>
      </c>
      <c r="O287" s="53">
        <f>Português!O287</f>
        <v>22.672000000000001</v>
      </c>
      <c r="P287" s="53">
        <f>Português!P287</f>
        <v>28.347000000000001</v>
      </c>
      <c r="Q287" s="53">
        <f>Português!Q287</f>
        <v>30.28</v>
      </c>
      <c r="R287" s="53">
        <f>Português!R287</f>
        <v>35.5</v>
      </c>
      <c r="S287" s="53">
        <f>Português!S287</f>
        <v>54.719000000000001</v>
      </c>
      <c r="T287" s="53">
        <f>Português!T287</f>
        <v>55.067</v>
      </c>
      <c r="U287" s="53">
        <f>Português!U287</f>
        <v>63.936</v>
      </c>
      <c r="V287" s="53">
        <f>Português!V287</f>
        <v>58.363999999999997</v>
      </c>
      <c r="W287" s="53">
        <f>Português!W287</f>
        <v>45.948</v>
      </c>
      <c r="X287" s="53">
        <f>Português!X287</f>
        <v>71.617999999999995</v>
      </c>
      <c r="Y287" s="53">
        <f>Português!Y287</f>
        <v>74.147999999999996</v>
      </c>
      <c r="Z287" s="53">
        <f>Português!Z287</f>
        <v>66.346000000000004</v>
      </c>
      <c r="AA287" s="53">
        <f>Português!AA287</f>
        <v>91.551000000000002</v>
      </c>
      <c r="AB287" s="53">
        <f>Português!AB287</f>
        <v>337.93900000000002</v>
      </c>
      <c r="AC287" s="53">
        <f>Português!AC287</f>
        <v>219.87100000000001</v>
      </c>
      <c r="AD287" s="53">
        <f>Português!AD287</f>
        <v>164.21</v>
      </c>
      <c r="AE287" s="53">
        <f>Português!AE287</f>
        <v>140.08077414999974</v>
      </c>
      <c r="AF287" s="53">
        <f>Português!AF287</f>
        <v>171.82400000000001</v>
      </c>
      <c r="AG287" s="53">
        <f>Português!AG287</f>
        <v>149.71899999999999</v>
      </c>
      <c r="AH287" s="53">
        <f>Português!AH287</f>
        <v>175.62299999999999</v>
      </c>
      <c r="AI287" s="53">
        <f>Português!AI287</f>
        <v>190.24299999999999</v>
      </c>
      <c r="AJ287" s="53">
        <f>Português!AJ287</f>
        <v>244.50899999999999</v>
      </c>
      <c r="AK287" s="53">
        <f>Português!AK287</f>
        <v>205.06299999999999</v>
      </c>
      <c r="AL287" s="53">
        <f>Português!AL287</f>
        <v>192.35300000000001</v>
      </c>
      <c r="AM287" s="53">
        <f>Português!AM287</f>
        <v>188.203</v>
      </c>
      <c r="AN287" s="53">
        <f>Português!AN287</f>
        <v>271.83999999999997</v>
      </c>
      <c r="AO287" s="53">
        <f>Português!AO287</f>
        <v>232.523</v>
      </c>
      <c r="AP287" s="53">
        <f>Português!AP287</f>
        <v>170.13</v>
      </c>
      <c r="AQ287" s="53">
        <f>Português!AQ287</f>
        <v>178.04499999999999</v>
      </c>
      <c r="AR287" s="53">
        <f>Português!AR287</f>
        <v>195.79900000000001</v>
      </c>
      <c r="AS287" s="19"/>
      <c r="AT287" s="53">
        <f>K287</f>
        <v>19.422000000000001</v>
      </c>
      <c r="AU287" s="53">
        <f>O287</f>
        <v>22.672000000000001</v>
      </c>
      <c r="AV287" s="53">
        <f>S287</f>
        <v>54.719000000000001</v>
      </c>
      <c r="AW287" s="53">
        <f>W287</f>
        <v>45.948</v>
      </c>
      <c r="AX287" s="53">
        <f>AA287</f>
        <v>91.551000000000002</v>
      </c>
      <c r="AY287" s="53">
        <f>AE287</f>
        <v>140.08077414999974</v>
      </c>
      <c r="AZ287" s="53">
        <f>AI287</f>
        <v>190.24299999999999</v>
      </c>
      <c r="BA287" s="37">
        <f>AM287</f>
        <v>188.203</v>
      </c>
      <c r="BB287" s="37">
        <f>AQ287</f>
        <v>178.04499999999999</v>
      </c>
      <c r="BC287" s="37"/>
    </row>
    <row r="288" spans="1:55" outlineLevel="1">
      <c r="B288" s="87" t="s">
        <v>622</v>
      </c>
      <c r="C288" s="5" t="s">
        <v>390</v>
      </c>
      <c r="D288" s="5"/>
      <c r="E288" s="5"/>
      <c r="F288" s="5"/>
      <c r="G288" s="5"/>
      <c r="H288" s="5"/>
      <c r="I288" s="5"/>
      <c r="J288" s="5"/>
      <c r="K288" s="53">
        <f>Português!K288</f>
        <v>10.944000000000001</v>
      </c>
      <c r="L288" s="53">
        <f>Português!L288</f>
        <v>11.7</v>
      </c>
      <c r="M288" s="53">
        <f>Português!M288</f>
        <v>14.2</v>
      </c>
      <c r="N288" s="53">
        <f>Português!N288</f>
        <v>11.8</v>
      </c>
      <c r="O288" s="53">
        <f>Português!O288</f>
        <v>12.698</v>
      </c>
      <c r="P288" s="53">
        <f>Português!P288</f>
        <v>16.297999999999998</v>
      </c>
      <c r="Q288" s="53">
        <f>Português!Q288</f>
        <v>13.939</v>
      </c>
      <c r="R288" s="53">
        <f>Português!R288</f>
        <v>14.3</v>
      </c>
      <c r="S288" s="53">
        <f>Português!S288</f>
        <v>29.562000000000001</v>
      </c>
      <c r="T288" s="53">
        <f>Português!T288</f>
        <v>35.121000000000002</v>
      </c>
      <c r="U288" s="53">
        <f>Português!U288</f>
        <v>37.881999999999998</v>
      </c>
      <c r="V288" s="53">
        <f>Português!V288</f>
        <v>28.225000000000001</v>
      </c>
      <c r="W288" s="53">
        <f>Português!W288</f>
        <v>22.63</v>
      </c>
      <c r="X288" s="53">
        <f>Português!X288</f>
        <v>22.378</v>
      </c>
      <c r="Y288" s="53">
        <f>Português!Y288</f>
        <v>37.021000000000001</v>
      </c>
      <c r="Z288" s="53">
        <f>Português!Z288</f>
        <v>28.164999999999999</v>
      </c>
      <c r="AA288" s="53">
        <f>Português!AA288</f>
        <v>75.653000000000006</v>
      </c>
      <c r="AB288" s="53">
        <f>Português!AB288</f>
        <v>139.83699999999999</v>
      </c>
      <c r="AC288" s="53">
        <f>Português!AC288</f>
        <v>144.87299999999999</v>
      </c>
      <c r="AD288" s="53">
        <f>Português!AD288</f>
        <v>95.742000000000004</v>
      </c>
      <c r="AE288" s="53">
        <f>Português!AE288</f>
        <v>121.44495564999993</v>
      </c>
      <c r="AF288" s="53">
        <f>Português!AF288</f>
        <v>65.879000000000005</v>
      </c>
      <c r="AG288" s="53">
        <f>Português!AG288</f>
        <v>80.415000000000006</v>
      </c>
      <c r="AH288" s="53">
        <f>Português!AH288</f>
        <v>118.086</v>
      </c>
      <c r="AI288" s="53">
        <f>Português!AI288</f>
        <v>129.84800000000001</v>
      </c>
      <c r="AJ288" s="53">
        <f>Português!AJ288</f>
        <v>149.04300000000001</v>
      </c>
      <c r="AK288" s="53">
        <f>Português!AK288</f>
        <v>156.79900000000001</v>
      </c>
      <c r="AL288" s="53">
        <f>Português!AL288</f>
        <v>166.44499999999999</v>
      </c>
      <c r="AM288" s="53">
        <f>Português!AM288</f>
        <v>153.751</v>
      </c>
      <c r="AN288" s="53">
        <f>Português!AN288</f>
        <v>112.852</v>
      </c>
      <c r="AO288" s="53">
        <f>Português!AO288</f>
        <v>128.63399999999999</v>
      </c>
      <c r="AP288" s="53">
        <f>Português!AP288</f>
        <v>110.71</v>
      </c>
      <c r="AQ288" s="53">
        <f>Português!AQ288</f>
        <v>112.17700000000001</v>
      </c>
      <c r="AR288" s="53">
        <f>Português!AR288</f>
        <v>81.102999999999994</v>
      </c>
      <c r="AS288" s="19"/>
      <c r="AT288" s="53">
        <f>K288</f>
        <v>10.944000000000001</v>
      </c>
      <c r="AU288" s="53">
        <f>O288</f>
        <v>12.698</v>
      </c>
      <c r="AV288" s="53">
        <f>S288</f>
        <v>29.562000000000001</v>
      </c>
      <c r="AW288" s="53">
        <f>W288</f>
        <v>22.63</v>
      </c>
      <c r="AX288" s="53">
        <f>AA288</f>
        <v>75.653000000000006</v>
      </c>
      <c r="AY288" s="53">
        <f>AE288</f>
        <v>121.44495564999993</v>
      </c>
      <c r="AZ288" s="53">
        <f>AI288</f>
        <v>129.84800000000001</v>
      </c>
      <c r="BA288" s="37">
        <f>AM288</f>
        <v>153.751</v>
      </c>
      <c r="BB288" s="37">
        <f>AQ288</f>
        <v>112.17700000000001</v>
      </c>
      <c r="BC288" s="37"/>
    </row>
    <row r="289" spans="1:55" outlineLevel="1">
      <c r="B289" s="87" t="s">
        <v>623</v>
      </c>
      <c r="C289" s="5" t="s">
        <v>390</v>
      </c>
      <c r="D289" s="5"/>
      <c r="E289" s="5"/>
      <c r="F289" s="5"/>
      <c r="G289" s="5"/>
      <c r="H289" s="5"/>
      <c r="I289" s="5"/>
      <c r="J289" s="5"/>
      <c r="K289" s="53">
        <f>Português!K289</f>
        <v>26.007000000000001</v>
      </c>
      <c r="L289" s="53">
        <f>Português!L289</f>
        <v>35.5</v>
      </c>
      <c r="M289" s="53">
        <f>Português!M289</f>
        <v>27.5</v>
      </c>
      <c r="N289" s="53">
        <f>Português!N289</f>
        <v>25.9</v>
      </c>
      <c r="O289" s="53">
        <f>Português!O289</f>
        <v>35.159999999999997</v>
      </c>
      <c r="P289" s="53">
        <f>Português!P289</f>
        <v>27.47</v>
      </c>
      <c r="Q289" s="53">
        <f>Português!Q289</f>
        <v>27.581</v>
      </c>
      <c r="R289" s="53">
        <f>Português!R289</f>
        <v>30.6</v>
      </c>
      <c r="S289" s="53">
        <f>Português!S289</f>
        <v>139.18899999999999</v>
      </c>
      <c r="T289" s="53">
        <f>Português!T289</f>
        <v>174.03399999999999</v>
      </c>
      <c r="U289" s="53">
        <f>Português!U289</f>
        <v>205.55799999999999</v>
      </c>
      <c r="V289" s="53">
        <f>Português!V289</f>
        <v>223.55199999999999</v>
      </c>
      <c r="W289" s="53">
        <f>Português!W289</f>
        <v>229.29900000000001</v>
      </c>
      <c r="X289" s="53">
        <f>Português!X289</f>
        <v>238.571</v>
      </c>
      <c r="Y289" s="53">
        <f>Português!Y289</f>
        <v>259.44600000000003</v>
      </c>
      <c r="Z289" s="53">
        <f>Português!Z289</f>
        <v>225.6</v>
      </c>
      <c r="AA289" s="53">
        <f>Português!AA289</f>
        <v>247.197</v>
      </c>
      <c r="AB289" s="53">
        <f>Português!AB289</f>
        <v>386.625</v>
      </c>
      <c r="AC289" s="53">
        <f>Português!AC289</f>
        <v>538.58600000000001</v>
      </c>
      <c r="AD289" s="53">
        <f>Português!AD289</f>
        <v>613.40899999999999</v>
      </c>
      <c r="AE289" s="53">
        <f>Português!AE289</f>
        <v>887.82406490001688</v>
      </c>
      <c r="AF289" s="53">
        <f>Português!AF289</f>
        <v>902.88699999999994</v>
      </c>
      <c r="AG289" s="53">
        <f>Português!AG289</f>
        <v>775.21699999999998</v>
      </c>
      <c r="AH289" s="53">
        <f>Português!AH289</f>
        <v>894.16800000000001</v>
      </c>
      <c r="AI289" s="53">
        <f>Português!AI289</f>
        <v>900.88400000000001</v>
      </c>
      <c r="AJ289" s="53">
        <f>Português!AJ289</f>
        <v>1037.854</v>
      </c>
      <c r="AK289" s="53">
        <f>Português!AK289</f>
        <v>1076.789</v>
      </c>
      <c r="AL289" s="53">
        <f>Português!AL289</f>
        <v>1131.8679999999999</v>
      </c>
      <c r="AM289" s="53">
        <f>Português!AM289</f>
        <v>880.524</v>
      </c>
      <c r="AN289" s="53">
        <f>Português!AN289</f>
        <v>872.553</v>
      </c>
      <c r="AO289" s="53">
        <f>Português!AO289</f>
        <v>886.93100000000004</v>
      </c>
      <c r="AP289" s="53">
        <f>Português!AP289</f>
        <v>614.43799999999999</v>
      </c>
      <c r="AQ289" s="53">
        <f>Português!AQ289</f>
        <v>597.45899999999995</v>
      </c>
      <c r="AR289" s="53">
        <f>Português!AR289</f>
        <v>664.69500000000005</v>
      </c>
      <c r="AS289" s="19"/>
      <c r="AT289" s="53">
        <f>K289</f>
        <v>26.007000000000001</v>
      </c>
      <c r="AU289" s="53">
        <f>O289</f>
        <v>35.159999999999997</v>
      </c>
      <c r="AV289" s="53">
        <f>S289</f>
        <v>139.18899999999999</v>
      </c>
      <c r="AW289" s="53">
        <f>W289</f>
        <v>229.29900000000001</v>
      </c>
      <c r="AX289" s="53">
        <f>AA289</f>
        <v>247.197</v>
      </c>
      <c r="AY289" s="53">
        <f>AE289</f>
        <v>887.82406490001688</v>
      </c>
      <c r="AZ289" s="53">
        <f>AI289</f>
        <v>900.88400000000001</v>
      </c>
      <c r="BA289" s="37">
        <f>AM289</f>
        <v>880.524</v>
      </c>
      <c r="BB289" s="37">
        <f>AQ289</f>
        <v>597.45899999999995</v>
      </c>
      <c r="BC289" s="37"/>
    </row>
    <row r="290" spans="1:55" ht="13.5" outlineLevel="1">
      <c r="B290" s="11" t="s">
        <v>624</v>
      </c>
      <c r="C290" s="11" t="s">
        <v>390</v>
      </c>
      <c r="D290" s="11"/>
      <c r="E290" s="11"/>
      <c r="F290" s="11"/>
      <c r="G290" s="11"/>
      <c r="H290" s="11"/>
      <c r="I290" s="11"/>
      <c r="J290" s="11"/>
      <c r="K290" s="57">
        <f>Português!K290</f>
        <v>-19.77</v>
      </c>
      <c r="L290" s="57">
        <f>Português!L290</f>
        <v>-57.262</v>
      </c>
      <c r="M290" s="57">
        <f>Português!M290</f>
        <v>-44.155000000000001</v>
      </c>
      <c r="N290" s="57">
        <f>Português!N290</f>
        <v>-42.404000000000003</v>
      </c>
      <c r="O290" s="57">
        <f>Português!O290</f>
        <v>-38.738</v>
      </c>
      <c r="P290" s="57">
        <f>Português!P290</f>
        <v>-36.783999999999999</v>
      </c>
      <c r="Q290" s="57">
        <f>Português!Q290</f>
        <v>-33.33</v>
      </c>
      <c r="R290" s="57">
        <f>Português!R290</f>
        <v>-39.9</v>
      </c>
      <c r="S290" s="57">
        <f>Português!S290</f>
        <v>-151.24700000000001</v>
      </c>
      <c r="T290" s="57">
        <f>Português!T290</f>
        <v>-183.154</v>
      </c>
      <c r="U290" s="57">
        <f>Português!U290</f>
        <v>-208.66399999999999</v>
      </c>
      <c r="V290" s="57">
        <f>Português!V290</f>
        <v>-220.52699999999999</v>
      </c>
      <c r="W290" s="57">
        <f>Português!W290</f>
        <v>-227.93700000000001</v>
      </c>
      <c r="X290" s="57">
        <f>Português!X290</f>
        <v>-239.78200000000001</v>
      </c>
      <c r="Y290" s="57">
        <f>Português!Y290</f>
        <v>-244.72800000000001</v>
      </c>
      <c r="Z290" s="57">
        <f>Português!Z290</f>
        <v>-191.93299999999999</v>
      </c>
      <c r="AA290" s="57">
        <f>Português!AA290</f>
        <v>-232.435</v>
      </c>
      <c r="AB290" s="57">
        <f>Português!AB290</f>
        <v>-400.154</v>
      </c>
      <c r="AC290" s="57">
        <f>Português!AC290</f>
        <v>-550.54499999999996</v>
      </c>
      <c r="AD290" s="57">
        <f>Português!AD290</f>
        <v>-571.20100000000002</v>
      </c>
      <c r="AE290" s="57">
        <f>Português!AE290</f>
        <v>-638.71400000000006</v>
      </c>
      <c r="AF290" s="57">
        <f>Português!AF290</f>
        <v>-638.71400000000006</v>
      </c>
      <c r="AG290" s="57">
        <f>Português!AG290</f>
        <v>-613.54200000000003</v>
      </c>
      <c r="AH290" s="57">
        <f>Português!AH290</f>
        <v>-636.10599999999999</v>
      </c>
      <c r="AI290" s="57">
        <f>Português!AI290</f>
        <v>-675.39099999999996</v>
      </c>
      <c r="AJ290" s="57">
        <f>Português!AJ290</f>
        <v>-739.072</v>
      </c>
      <c r="AK290" s="57">
        <f>Português!AK290</f>
        <v>-724.27499999999998</v>
      </c>
      <c r="AL290" s="57">
        <f>Português!AL290</f>
        <v>-730.66300000000001</v>
      </c>
      <c r="AM290" s="57">
        <f>Português!AM290</f>
        <v>-444</v>
      </c>
      <c r="AN290" s="57">
        <f>Português!AN290</f>
        <v>-406.28699999999998</v>
      </c>
      <c r="AO290" s="57">
        <f>Português!AO290</f>
        <v>-349.738</v>
      </c>
      <c r="AP290" s="57">
        <f>Português!AP290</f>
        <v>-259.53300000000002</v>
      </c>
      <c r="AQ290" s="57">
        <f>Português!AQ290</f>
        <v>-244.21299999999999</v>
      </c>
      <c r="AR290" s="57">
        <f>Português!AR290</f>
        <v>-233.23599999999999</v>
      </c>
      <c r="AS290" s="19"/>
      <c r="AT290" s="57">
        <f>K290</f>
        <v>-19.77</v>
      </c>
      <c r="AU290" s="57">
        <f>O290</f>
        <v>-38.738</v>
      </c>
      <c r="AV290" s="57">
        <f>S290</f>
        <v>-151.24700000000001</v>
      </c>
      <c r="AW290" s="57">
        <f>W290</f>
        <v>-227.93700000000001</v>
      </c>
      <c r="AX290" s="57">
        <f>AA290</f>
        <v>-232.435</v>
      </c>
      <c r="AY290" s="57">
        <f>AE290</f>
        <v>-638.71400000000006</v>
      </c>
      <c r="AZ290" s="57">
        <f>AI290</f>
        <v>-675.39099999999996</v>
      </c>
      <c r="BA290" s="57">
        <f>AJ290</f>
        <v>-739.072</v>
      </c>
      <c r="BB290" s="57">
        <f>AQ290</f>
        <v>-244.21299999999999</v>
      </c>
      <c r="BC290" s="37"/>
    </row>
    <row r="291" spans="1:55">
      <c r="AK291" s="42"/>
      <c r="AL291" s="42"/>
      <c r="AM291" s="42"/>
      <c r="AN291" s="42"/>
      <c r="AO291" s="3"/>
      <c r="AP291" s="3"/>
      <c r="AQ291" s="3"/>
      <c r="AR291" s="3"/>
      <c r="AS291" s="19"/>
    </row>
    <row r="292" spans="1:55" s="83" customFormat="1" ht="13.5">
      <c r="B292" s="88" t="s">
        <v>625</v>
      </c>
      <c r="D292" s="90"/>
      <c r="E292" s="90"/>
      <c r="F292" s="90"/>
      <c r="G292" s="90"/>
      <c r="K292" s="55"/>
      <c r="L292" s="55"/>
      <c r="N292" s="53"/>
      <c r="Z292" s="54"/>
      <c r="AS292" s="19"/>
    </row>
    <row r="293" spans="1:55" s="83" customFormat="1" ht="13.5">
      <c r="B293" s="8" t="s">
        <v>10</v>
      </c>
      <c r="C293" s="6" t="s">
        <v>335</v>
      </c>
      <c r="D293" s="92"/>
      <c r="E293" s="92"/>
      <c r="F293" s="92"/>
      <c r="G293" s="92"/>
      <c r="H293" s="8" t="s">
        <v>368</v>
      </c>
      <c r="I293" s="8" t="s">
        <v>369</v>
      </c>
      <c r="J293" s="8" t="s">
        <v>370</v>
      </c>
      <c r="K293" s="8" t="s">
        <v>371</v>
      </c>
      <c r="L293" s="8" t="s">
        <v>372</v>
      </c>
      <c r="M293" s="8" t="s">
        <v>373</v>
      </c>
      <c r="N293" s="8" t="s">
        <v>374</v>
      </c>
      <c r="O293" s="8" t="s">
        <v>375</v>
      </c>
      <c r="P293" s="8" t="s">
        <v>629</v>
      </c>
      <c r="Q293" s="55"/>
      <c r="R293" s="55"/>
      <c r="S293" s="55"/>
      <c r="T293" s="55"/>
      <c r="U293" s="55"/>
      <c r="V293" s="55"/>
      <c r="W293" s="55"/>
      <c r="X293" s="55"/>
      <c r="Y293" s="55"/>
      <c r="Z293" s="55"/>
      <c r="AA293" s="55"/>
      <c r="AS293" s="19"/>
    </row>
    <row r="294" spans="1:55">
      <c r="A294" s="1"/>
      <c r="B294" s="83" t="s">
        <v>626</v>
      </c>
      <c r="C294" s="1" t="s">
        <v>627</v>
      </c>
      <c r="D294" s="13"/>
      <c r="E294" s="13"/>
      <c r="F294" s="13"/>
      <c r="G294" s="13"/>
      <c r="H294" s="121">
        <f>Português!H294</f>
        <v>314166.66666666669</v>
      </c>
      <c r="I294" s="121">
        <f>Português!I294</f>
        <v>314166.66666666669</v>
      </c>
      <c r="J294" s="121">
        <f>Português!J294</f>
        <v>314166.66666666669</v>
      </c>
      <c r="K294" s="121">
        <f>Português!K294</f>
        <v>314166.66666666669</v>
      </c>
      <c r="L294" s="121">
        <f>Português!L294</f>
        <v>314166.66666666669</v>
      </c>
      <c r="M294" s="121">
        <f>Português!M294</f>
        <v>314166.66666666669</v>
      </c>
      <c r="N294" s="121">
        <f>Português!N294</f>
        <v>314166.66666666669</v>
      </c>
      <c r="O294" s="121">
        <f>Português!O294</f>
        <v>314166.66666666669</v>
      </c>
      <c r="P294" s="121">
        <f>Português!P294</f>
        <v>314166.66666666669</v>
      </c>
      <c r="Q294" s="121"/>
      <c r="R294" s="121"/>
      <c r="S294" s="121"/>
      <c r="T294" s="121"/>
      <c r="U294" s="121"/>
      <c r="V294" s="121"/>
      <c r="W294" s="121"/>
      <c r="X294" s="121"/>
      <c r="Y294" s="121"/>
      <c r="AS294" s="19"/>
    </row>
    <row r="295" spans="1:55">
      <c r="AK295" s="42"/>
      <c r="AL295" s="42"/>
      <c r="AM295" s="42"/>
      <c r="AN295" s="42"/>
      <c r="AO295" s="83"/>
      <c r="AP295" s="83"/>
      <c r="AQ295" s="83"/>
      <c r="AR295" s="83"/>
      <c r="AS295" s="19"/>
    </row>
    <row r="296" spans="1:55" s="83" customFormat="1" ht="13.5">
      <c r="B296" s="88" t="s">
        <v>628</v>
      </c>
      <c r="D296" s="90"/>
      <c r="E296" s="90"/>
      <c r="F296" s="90"/>
      <c r="G296" s="90"/>
      <c r="K296" s="55"/>
      <c r="L296" s="55"/>
      <c r="N296" s="53"/>
      <c r="Z296" s="54"/>
      <c r="AS296" s="19"/>
    </row>
    <row r="297" spans="1:55" s="83" customFormat="1" ht="13.5">
      <c r="B297" s="8" t="s">
        <v>10</v>
      </c>
      <c r="C297" s="6" t="s">
        <v>335</v>
      </c>
      <c r="D297" s="92"/>
      <c r="E297" s="92"/>
      <c r="F297" s="92"/>
      <c r="G297" s="92"/>
      <c r="H297" s="8" t="s">
        <v>630</v>
      </c>
      <c r="I297" s="8" t="s">
        <v>631</v>
      </c>
      <c r="J297" s="8" t="s">
        <v>632</v>
      </c>
      <c r="K297" s="8" t="s">
        <v>633</v>
      </c>
      <c r="L297" s="8" t="s">
        <v>634</v>
      </c>
      <c r="M297" s="8" t="s">
        <v>635</v>
      </c>
      <c r="N297" s="8" t="s">
        <v>636</v>
      </c>
      <c r="S297" s="54"/>
      <c r="AG297" s="19"/>
      <c r="AH297" s="19"/>
      <c r="AI297" s="19"/>
      <c r="AK297" s="19"/>
      <c r="AS297" s="19"/>
    </row>
    <row r="298" spans="1:55">
      <c r="A298" s="1"/>
      <c r="B298" s="83" t="s">
        <v>637</v>
      </c>
      <c r="C298" s="1" t="s">
        <v>627</v>
      </c>
      <c r="D298" s="13"/>
      <c r="E298" s="13"/>
      <c r="F298" s="13"/>
      <c r="G298" s="13"/>
      <c r="H298" s="121">
        <f>Português!H298</f>
        <v>314166.66666666669</v>
      </c>
      <c r="I298" s="121">
        <f>Português!I298</f>
        <v>314166.66666666669</v>
      </c>
      <c r="J298" s="121">
        <f>Português!J298</f>
        <v>314166.66666666669</v>
      </c>
      <c r="K298" s="121">
        <f>Português!K298</f>
        <v>314166.66666666669</v>
      </c>
      <c r="L298" s="121">
        <f>Português!L298</f>
        <v>314166.66666666669</v>
      </c>
      <c r="M298" s="121">
        <f>Português!M298</f>
        <v>314166.66666666669</v>
      </c>
      <c r="N298" s="121">
        <f>Português!N298</f>
        <v>314166.66666666669</v>
      </c>
      <c r="O298" s="121"/>
      <c r="U298" s="37"/>
      <c r="AG298" s="19"/>
      <c r="AH298" s="19"/>
      <c r="AI298" s="19"/>
      <c r="AK298" s="19"/>
      <c r="AS298" s="19"/>
    </row>
    <row r="299" spans="1:55">
      <c r="A299" s="1"/>
      <c r="B299" s="83"/>
      <c r="D299" s="13"/>
      <c r="E299" s="13"/>
      <c r="F299" s="13"/>
      <c r="G299" s="13"/>
      <c r="H299" s="121"/>
      <c r="I299" s="121"/>
      <c r="J299" s="121"/>
      <c r="K299" s="121"/>
      <c r="L299" s="121"/>
      <c r="M299" s="121"/>
      <c r="N299" s="121"/>
      <c r="O299" s="121"/>
      <c r="P299" s="121"/>
      <c r="Q299" s="121"/>
      <c r="R299" s="121"/>
      <c r="S299" s="121"/>
      <c r="T299" s="121"/>
      <c r="U299" s="121"/>
      <c r="AB299" s="37"/>
      <c r="AS299" s="19"/>
    </row>
    <row r="300" spans="1:55" ht="13.5">
      <c r="B300" s="88" t="s">
        <v>638</v>
      </c>
      <c r="C300" s="83"/>
      <c r="D300" s="90"/>
      <c r="E300" s="90"/>
      <c r="F300" s="90"/>
      <c r="G300" s="90"/>
      <c r="H300" s="83"/>
      <c r="I300" s="83"/>
      <c r="J300" s="83"/>
      <c r="K300" s="83"/>
      <c r="L300" s="83"/>
      <c r="M300" s="83"/>
      <c r="N300" s="83"/>
      <c r="O300" s="83"/>
      <c r="P300" s="83"/>
      <c r="Q300" s="83"/>
      <c r="R300" s="83"/>
      <c r="S300" s="83"/>
      <c r="AK300" s="42"/>
      <c r="AL300" s="42"/>
      <c r="AM300" s="42"/>
      <c r="AN300" s="42"/>
      <c r="AS300" s="19"/>
    </row>
    <row r="301" spans="1:55" ht="27">
      <c r="B301" s="8" t="s">
        <v>10</v>
      </c>
      <c r="C301" s="6" t="s">
        <v>335</v>
      </c>
      <c r="D301" s="13"/>
      <c r="E301" s="13"/>
      <c r="F301" s="13"/>
      <c r="G301" s="13"/>
      <c r="H301" s="95" t="s">
        <v>878</v>
      </c>
      <c r="I301" s="6" t="s">
        <v>876</v>
      </c>
      <c r="J301" s="6">
        <v>2027</v>
      </c>
      <c r="K301" s="6">
        <v>2028</v>
      </c>
      <c r="L301" s="6">
        <v>2029</v>
      </c>
      <c r="M301" s="6">
        <v>2030</v>
      </c>
      <c r="N301" s="6">
        <v>2031</v>
      </c>
      <c r="O301" s="6">
        <v>2032</v>
      </c>
      <c r="P301" s="6">
        <v>2033</v>
      </c>
      <c r="Q301" s="6" t="s">
        <v>640</v>
      </c>
      <c r="AE301" s="42"/>
      <c r="AF301" s="42"/>
      <c r="AK301" s="19"/>
      <c r="AL301" s="19"/>
      <c r="AM301" s="19"/>
      <c r="AQ301" s="19"/>
      <c r="AR301" s="19"/>
      <c r="AS301" s="19"/>
    </row>
    <row r="302" spans="1:55">
      <c r="B302" s="1" t="s">
        <v>641</v>
      </c>
      <c r="C302" s="5" t="s">
        <v>390</v>
      </c>
      <c r="H302" s="122">
        <f>Português!H302</f>
        <v>1144.3093385299999</v>
      </c>
      <c r="I302" s="122">
        <f>Português!I302</f>
        <v>590.83964688000037</v>
      </c>
      <c r="J302" s="122">
        <f>Português!J302</f>
        <v>85.133654276234921</v>
      </c>
      <c r="K302" s="122">
        <f>Português!K302</f>
        <v>78.703621379568517</v>
      </c>
      <c r="L302" s="122">
        <f>Português!L302</f>
        <v>64.648741800996959</v>
      </c>
      <c r="M302" s="122">
        <f>Português!M302</f>
        <v>61.401885370997014</v>
      </c>
      <c r="N302" s="122">
        <f>Português!N302</f>
        <v>51.428676320997056</v>
      </c>
      <c r="O302" s="122">
        <f>Português!O302</f>
        <v>44.840568990996985</v>
      </c>
      <c r="P302" s="122">
        <f>Português!P302</f>
        <v>43.018820240997002</v>
      </c>
      <c r="Q302" s="122">
        <f>Português!Q302</f>
        <v>124.29372326921116</v>
      </c>
      <c r="AE302" s="42"/>
      <c r="AF302" s="42"/>
      <c r="AK302" s="19"/>
      <c r="AL302" s="19"/>
      <c r="AM302" s="19"/>
      <c r="AQ302" s="19"/>
      <c r="AR302" s="19"/>
      <c r="AS302" s="19"/>
    </row>
    <row r="303" spans="1:55">
      <c r="B303" s="1" t="s">
        <v>642</v>
      </c>
      <c r="C303" s="5" t="s">
        <v>390</v>
      </c>
      <c r="H303" s="122">
        <f>Português!H303</f>
        <v>1993.2289598499999</v>
      </c>
      <c r="I303" s="122">
        <f>Português!I303</f>
        <v>60.653126720000266</v>
      </c>
      <c r="J303" s="122">
        <f>Português!J303</f>
        <v>79.052692680000064</v>
      </c>
      <c r="K303" s="122">
        <f>Português!K303</f>
        <v>79.052692680000064</v>
      </c>
      <c r="L303" s="122">
        <f>Português!L303</f>
        <v>79.052692680000064</v>
      </c>
      <c r="M303" s="122">
        <f>Português!M303</f>
        <v>79.052692680000064</v>
      </c>
      <c r="N303" s="122">
        <f>Português!N303</f>
        <v>79.052692680000064</v>
      </c>
      <c r="O303" s="122">
        <f>Português!O303</f>
        <v>79.052692680000064</v>
      </c>
      <c r="P303" s="122">
        <f>Português!P303</f>
        <v>79.052692680000064</v>
      </c>
      <c r="Q303" s="122">
        <f>Português!Q303</f>
        <v>1379.2069843699992</v>
      </c>
      <c r="AE303" s="42"/>
      <c r="AF303" s="42"/>
      <c r="AK303" s="19"/>
      <c r="AL303" s="19"/>
      <c r="AM303" s="19"/>
      <c r="AQ303" s="19"/>
      <c r="AR303" s="19"/>
      <c r="AS303" s="19"/>
    </row>
    <row r="304" spans="1:55">
      <c r="AK304" s="42"/>
      <c r="AL304" s="42"/>
      <c r="AM304" s="42"/>
      <c r="AN304" s="42"/>
      <c r="AS304" s="19"/>
    </row>
    <row r="305" spans="1:45" ht="13.5">
      <c r="A305" s="1"/>
      <c r="B305" s="88" t="s">
        <v>877</v>
      </c>
      <c r="C305" s="83"/>
      <c r="D305" s="90"/>
      <c r="E305" s="90"/>
      <c r="F305" s="90"/>
      <c r="G305" s="90"/>
      <c r="H305" s="83"/>
      <c r="I305" s="83"/>
      <c r="J305" s="83"/>
      <c r="K305" s="83"/>
      <c r="L305" s="83"/>
      <c r="M305" s="83"/>
      <c r="N305" s="83"/>
      <c r="O305" s="83"/>
      <c r="P305" s="83"/>
      <c r="Q305" s="83"/>
      <c r="R305" s="83"/>
      <c r="S305" s="83"/>
      <c r="AK305" s="42"/>
      <c r="AL305" s="42"/>
      <c r="AM305" s="42"/>
      <c r="AN305" s="42"/>
      <c r="AS305" s="19"/>
    </row>
    <row r="306" spans="1:45" ht="13.5">
      <c r="A306" s="1"/>
      <c r="B306" s="8" t="s">
        <v>10</v>
      </c>
      <c r="C306" s="6" t="s">
        <v>335</v>
      </c>
      <c r="D306" s="92"/>
      <c r="E306" s="92"/>
      <c r="F306" s="92"/>
      <c r="G306" s="92"/>
      <c r="H306" s="6">
        <v>2026</v>
      </c>
      <c r="I306" s="6">
        <v>2027</v>
      </c>
      <c r="J306" s="6">
        <v>2028</v>
      </c>
      <c r="K306" s="6">
        <v>2029</v>
      </c>
      <c r="L306" s="6">
        <v>2030</v>
      </c>
      <c r="M306" s="6" t="s">
        <v>640</v>
      </c>
      <c r="AE306" s="42"/>
      <c r="AF306" s="42"/>
      <c r="AG306" s="42"/>
      <c r="AJ306" s="19"/>
      <c r="AK306" s="19"/>
      <c r="AL306" s="19"/>
      <c r="AO306" s="19"/>
      <c r="AP306" s="19"/>
      <c r="AS306" s="19"/>
    </row>
    <row r="307" spans="1:45">
      <c r="A307" s="1"/>
      <c r="B307" s="99" t="s">
        <v>643</v>
      </c>
      <c r="C307" s="5" t="s">
        <v>390</v>
      </c>
      <c r="H307" s="123">
        <f>Português!H307</f>
        <v>615.05473834597626</v>
      </c>
      <c r="I307" s="123">
        <f>Português!I307</f>
        <v>661.30253034828183</v>
      </c>
      <c r="J307" s="123">
        <f>Português!J307</f>
        <v>327.78254980333327</v>
      </c>
      <c r="K307" s="123">
        <f>Português!K307</f>
        <v>296.44849937433338</v>
      </c>
      <c r="L307" s="123">
        <f>Português!L307</f>
        <v>296.44849937433338</v>
      </c>
      <c r="M307" s="123">
        <f>Português!M307</f>
        <v>680.0373070852778</v>
      </c>
      <c r="N307" s="100"/>
      <c r="O307" s="100"/>
      <c r="AE307" s="42"/>
      <c r="AF307" s="42"/>
      <c r="AG307" s="42"/>
      <c r="AJ307" s="19"/>
      <c r="AK307" s="19"/>
      <c r="AL307" s="19"/>
      <c r="AO307" s="19"/>
      <c r="AP307" s="19"/>
      <c r="AS307" s="19"/>
    </row>
    <row r="308" spans="1:45">
      <c r="A308" s="1"/>
      <c r="B308" s="99" t="s">
        <v>644</v>
      </c>
      <c r="C308" s="5" t="s">
        <v>390</v>
      </c>
      <c r="H308" s="123">
        <f>Português!H308</f>
        <v>285.93110786202431</v>
      </c>
      <c r="I308" s="123">
        <f>Português!I308</f>
        <v>352.40644139472613</v>
      </c>
      <c r="J308" s="123">
        <f>Português!J308</f>
        <v>293.40886636132689</v>
      </c>
      <c r="K308" s="123">
        <f>Português!K308</f>
        <v>271.0398463362169</v>
      </c>
      <c r="L308" s="123">
        <f>Português!L308</f>
        <v>255.22148178728574</v>
      </c>
      <c r="M308" s="123">
        <f>Português!M308</f>
        <v>1039.0934597146756</v>
      </c>
      <c r="N308" s="100"/>
      <c r="O308" s="100"/>
      <c r="AE308" s="42"/>
      <c r="AF308" s="42"/>
      <c r="AG308" s="42"/>
      <c r="AJ308" s="19"/>
      <c r="AK308" s="19"/>
      <c r="AL308" s="19"/>
      <c r="AO308" s="19"/>
      <c r="AP308" s="19"/>
      <c r="AS308" s="19"/>
    </row>
    <row r="309" spans="1:45">
      <c r="A309" s="1"/>
      <c r="H309" s="13"/>
      <c r="I309" s="13"/>
      <c r="J309" s="13"/>
      <c r="K309" s="13"/>
      <c r="L309" s="13"/>
      <c r="M309" s="13"/>
      <c r="AK309" s="42"/>
      <c r="AL309" s="42"/>
      <c r="AM309" s="42"/>
      <c r="AN309" s="42"/>
      <c r="AS309" s="19"/>
    </row>
    <row r="310" spans="1:45" ht="13.5">
      <c r="A310" s="1"/>
      <c r="B310" s="88" t="s">
        <v>645</v>
      </c>
      <c r="C310" s="83"/>
      <c r="D310" s="90"/>
      <c r="E310" s="90"/>
      <c r="F310" s="90"/>
      <c r="G310" s="90"/>
      <c r="H310" s="83"/>
      <c r="I310" s="83"/>
      <c r="J310" s="83"/>
      <c r="K310" s="83"/>
      <c r="L310" s="83"/>
      <c r="M310" s="83"/>
      <c r="N310" s="83"/>
      <c r="O310" s="83"/>
      <c r="P310" s="83"/>
      <c r="Q310" s="83"/>
      <c r="R310" s="83"/>
      <c r="S310" s="83"/>
      <c r="AK310" s="42"/>
      <c r="AL310" s="42"/>
      <c r="AM310" s="42"/>
      <c r="AN310" s="42"/>
      <c r="AS310" s="19"/>
    </row>
    <row r="311" spans="1:45" ht="27">
      <c r="A311" s="1"/>
      <c r="B311" s="8" t="s">
        <v>639</v>
      </c>
      <c r="C311" s="6" t="s">
        <v>335</v>
      </c>
      <c r="D311" s="92"/>
      <c r="E311" s="92"/>
      <c r="F311" s="92"/>
      <c r="G311" s="92"/>
      <c r="H311" s="101" t="s">
        <v>646</v>
      </c>
      <c r="I311" s="101" t="s">
        <v>647</v>
      </c>
      <c r="AK311" s="42"/>
      <c r="AL311" s="42"/>
      <c r="AM311" s="42"/>
      <c r="AN311" s="42"/>
      <c r="AS311" s="19"/>
    </row>
    <row r="312" spans="1:45">
      <c r="A312" s="1"/>
      <c r="B312" s="99" t="s">
        <v>643</v>
      </c>
      <c r="C312" s="5" t="s">
        <v>390</v>
      </c>
      <c r="H312" s="123">
        <f>Português!H312</f>
        <v>2919.4642186699994</v>
      </c>
      <c r="I312" s="123">
        <f>Português!I312</f>
        <v>30799.546999999988</v>
      </c>
      <c r="J312" s="100"/>
      <c r="K312" s="100"/>
      <c r="L312" s="100"/>
      <c r="M312" s="100"/>
      <c r="N312" s="100"/>
      <c r="P312" s="100"/>
      <c r="Q312" s="100"/>
      <c r="R312" s="100"/>
      <c r="S312" s="100"/>
      <c r="AK312" s="42"/>
      <c r="AL312" s="42"/>
      <c r="AM312" s="42"/>
      <c r="AN312" s="42"/>
      <c r="AS312" s="19"/>
    </row>
    <row r="313" spans="1:45">
      <c r="A313" s="1"/>
      <c r="B313" s="99" t="s">
        <v>644</v>
      </c>
      <c r="C313" s="5" t="s">
        <v>390</v>
      </c>
      <c r="H313" s="123">
        <f>Português!H313</f>
        <v>266.37021368710009</v>
      </c>
      <c r="I313" s="123">
        <f>Português!I313</f>
        <v>5467.0910000000003</v>
      </c>
      <c r="J313" s="100"/>
      <c r="K313" s="100"/>
      <c r="L313" s="100"/>
      <c r="M313" s="100"/>
      <c r="N313" s="100"/>
      <c r="P313" s="100"/>
      <c r="Q313" s="100"/>
      <c r="R313" s="100"/>
      <c r="S313" s="100"/>
      <c r="AK313" s="42"/>
      <c r="AL313" s="42"/>
      <c r="AM313" s="42"/>
      <c r="AN313" s="42"/>
      <c r="AS313" s="19"/>
    </row>
    <row r="314" spans="1:45">
      <c r="AK314" s="13"/>
      <c r="AL314" s="13"/>
      <c r="AM314" s="13"/>
      <c r="AN314" s="13"/>
      <c r="AS314" s="19"/>
    </row>
    <row r="315" spans="1:45">
      <c r="B315" s="1" t="s">
        <v>648</v>
      </c>
      <c r="AS315" s="19"/>
    </row>
    <row r="316" spans="1:45" ht="52.5">
      <c r="B316" s="158" t="s">
        <v>649</v>
      </c>
      <c r="AS316" s="19"/>
    </row>
    <row r="317" spans="1:45" ht="66.75" customHeight="1">
      <c r="B317" s="157" t="s">
        <v>650</v>
      </c>
      <c r="AS317" s="19"/>
    </row>
    <row r="318" spans="1:45" ht="39.4">
      <c r="B318" s="157" t="s">
        <v>651</v>
      </c>
      <c r="AS318" s="19"/>
    </row>
    <row r="319" spans="1:45" ht="26.25">
      <c r="B319" s="157" t="s">
        <v>652</v>
      </c>
      <c r="AS319" s="19"/>
    </row>
    <row r="320" spans="1:45" ht="39.4">
      <c r="B320" s="157" t="s">
        <v>653</v>
      </c>
      <c r="AS320" s="19"/>
    </row>
    <row r="321" spans="45:45">
      <c r="AS321" s="19"/>
    </row>
    <row r="322" spans="45:45">
      <c r="AS322" s="19"/>
    </row>
    <row r="323" spans="45:45">
      <c r="AS323" s="19"/>
    </row>
    <row r="324" spans="45:45">
      <c r="AS324" s="19"/>
    </row>
    <row r="325" spans="45:45">
      <c r="AS325" s="19"/>
    </row>
    <row r="326" spans="45:45">
      <c r="AS326" s="19"/>
    </row>
    <row r="327" spans="45:45">
      <c r="AS327" s="19"/>
    </row>
    <row r="328" spans="45:45">
      <c r="AS328" s="19"/>
    </row>
    <row r="329" spans="45:45">
      <c r="AS329" s="19"/>
    </row>
    <row r="330" spans="45:45">
      <c r="AS330" s="19"/>
    </row>
    <row r="331" spans="45:45">
      <c r="AS331" s="19"/>
    </row>
    <row r="332" spans="45:45">
      <c r="AS332" s="19"/>
    </row>
    <row r="333" spans="45:45">
      <c r="AS333" s="19"/>
    </row>
    <row r="334" spans="45:45">
      <c r="AS334" s="19"/>
    </row>
    <row r="335" spans="45:45">
      <c r="AS335" s="19"/>
    </row>
    <row r="336" spans="45:45">
      <c r="AS336" s="19"/>
    </row>
    <row r="337" spans="45:45">
      <c r="AS337" s="19"/>
    </row>
    <row r="338" spans="45:45">
      <c r="AS338" s="19"/>
    </row>
    <row r="339" spans="45:45">
      <c r="AS339" s="19"/>
    </row>
    <row r="340" spans="45:45">
      <c r="AS340" s="19"/>
    </row>
    <row r="341" spans="45:45">
      <c r="AS341" s="19"/>
    </row>
    <row r="342" spans="45:45">
      <c r="AS342" s="19"/>
    </row>
    <row r="343" spans="45:45">
      <c r="AS343" s="19"/>
    </row>
    <row r="344" spans="45:45">
      <c r="AS344" s="19"/>
    </row>
    <row r="345" spans="45:45">
      <c r="AS345" s="19"/>
    </row>
    <row r="346" spans="45:45">
      <c r="AS346" s="19"/>
    </row>
    <row r="347" spans="45:45">
      <c r="AS347" s="19"/>
    </row>
    <row r="348" spans="45:45">
      <c r="AS348" s="19"/>
    </row>
    <row r="349" spans="45:45">
      <c r="AS349" s="19"/>
    </row>
    <row r="350" spans="45:45">
      <c r="AS350" s="19"/>
    </row>
    <row r="351" spans="45:45">
      <c r="AS351" s="19"/>
    </row>
    <row r="352" spans="45:45">
      <c r="AS352" s="19"/>
    </row>
    <row r="353" spans="45:45">
      <c r="AS353" s="19"/>
    </row>
    <row r="354" spans="45:45">
      <c r="AS354" s="19"/>
    </row>
    <row r="355" spans="45:45">
      <c r="AS355" s="19"/>
    </row>
    <row r="356" spans="45:45">
      <c r="AS356" s="19"/>
    </row>
    <row r="357" spans="45:45">
      <c r="AS357" s="19"/>
    </row>
    <row r="358" spans="45:45">
      <c r="AS358" s="19"/>
    </row>
    <row r="359" spans="45:45">
      <c r="AS359" s="19"/>
    </row>
    <row r="360" spans="45:45">
      <c r="AS360" s="19"/>
    </row>
    <row r="361" spans="45:45">
      <c r="AS361" s="19"/>
    </row>
    <row r="362" spans="45:45">
      <c r="AS362" s="19"/>
    </row>
    <row r="363" spans="45:45">
      <c r="AS363" s="19"/>
    </row>
    <row r="364" spans="45:45">
      <c r="AS364" s="19"/>
    </row>
    <row r="365" spans="45:45">
      <c r="AS365" s="19"/>
    </row>
    <row r="366" spans="45:45">
      <c r="AS366" s="19"/>
    </row>
    <row r="367" spans="45:45">
      <c r="AS367" s="19"/>
    </row>
    <row r="368" spans="45:45">
      <c r="AS368" s="19"/>
    </row>
    <row r="369" spans="45:45">
      <c r="AS369" s="19"/>
    </row>
    <row r="370" spans="45:45">
      <c r="AS370" s="19"/>
    </row>
    <row r="371" spans="45:45">
      <c r="AS371" s="19"/>
    </row>
    <row r="372" spans="45:45">
      <c r="AS372" s="19"/>
    </row>
    <row r="373" spans="45:45">
      <c r="AS373" s="19"/>
    </row>
    <row r="374" spans="45:45">
      <c r="AS374" s="19"/>
    </row>
    <row r="375" spans="45:45">
      <c r="AS375" s="19"/>
    </row>
    <row r="376" spans="45:45">
      <c r="AS376" s="19"/>
    </row>
    <row r="377" spans="45:45">
      <c r="AS377" s="19"/>
    </row>
    <row r="378" spans="45:45">
      <c r="AS378" s="19"/>
    </row>
    <row r="379" spans="45:45">
      <c r="AS379" s="19"/>
    </row>
    <row r="380" spans="45:45">
      <c r="AS380" s="19"/>
    </row>
    <row r="381" spans="45:45">
      <c r="AS381" s="19"/>
    </row>
    <row r="382" spans="45:45">
      <c r="AS382" s="19"/>
    </row>
    <row r="383" spans="45:45">
      <c r="AS383" s="19"/>
    </row>
    <row r="384" spans="45:45">
      <c r="AS384" s="19"/>
    </row>
    <row r="385" spans="45:45">
      <c r="AS385" s="19"/>
    </row>
    <row r="386" spans="45:45">
      <c r="AS386" s="19"/>
    </row>
    <row r="387" spans="45:45">
      <c r="AS387" s="19"/>
    </row>
    <row r="388" spans="45:45">
      <c r="AS388" s="19"/>
    </row>
    <row r="389" spans="45:45">
      <c r="AS389" s="19"/>
    </row>
    <row r="390" spans="45:45">
      <c r="AS390" s="19"/>
    </row>
    <row r="391" spans="45:45">
      <c r="AS391" s="19"/>
    </row>
    <row r="392" spans="45:45">
      <c r="AS392" s="19"/>
    </row>
    <row r="393" spans="45:45">
      <c r="AS393" s="19"/>
    </row>
    <row r="394" spans="45:45">
      <c r="AS394" s="19"/>
    </row>
    <row r="395" spans="45:45">
      <c r="AS395" s="19"/>
    </row>
    <row r="396" spans="45:45">
      <c r="AS396" s="19"/>
    </row>
    <row r="397" spans="45:45">
      <c r="AS397" s="19"/>
    </row>
    <row r="398" spans="45:45">
      <c r="AS398" s="19"/>
    </row>
    <row r="399" spans="45:45">
      <c r="AS399" s="19"/>
    </row>
    <row r="400" spans="45:45">
      <c r="AS400" s="19"/>
    </row>
    <row r="401" spans="45:45">
      <c r="AS401" s="19"/>
    </row>
    <row r="402" spans="45:45">
      <c r="AS402" s="19"/>
    </row>
    <row r="403" spans="45:45">
      <c r="AS403" s="19"/>
    </row>
    <row r="404" spans="45:45">
      <c r="AS404" s="19"/>
    </row>
    <row r="405" spans="45:45">
      <c r="AS405" s="19"/>
    </row>
    <row r="406" spans="45:45">
      <c r="AS406" s="19"/>
    </row>
    <row r="407" spans="45:45">
      <c r="AS407" s="19"/>
    </row>
    <row r="408" spans="45:45">
      <c r="AS408" s="19"/>
    </row>
    <row r="409" spans="45:45">
      <c r="AS409" s="19"/>
    </row>
    <row r="410" spans="45:45">
      <c r="AS410" s="19"/>
    </row>
    <row r="411" spans="45:45">
      <c r="AS411" s="19"/>
    </row>
    <row r="412" spans="45:45">
      <c r="AS412" s="19"/>
    </row>
    <row r="413" spans="45:45">
      <c r="AS413" s="19"/>
    </row>
    <row r="414" spans="45:45">
      <c r="AS414" s="19"/>
    </row>
    <row r="415" spans="45:45">
      <c r="AS415" s="19"/>
    </row>
    <row r="416" spans="45:45">
      <c r="AS416" s="19"/>
    </row>
    <row r="417" spans="45:45">
      <c r="AS417" s="19"/>
    </row>
    <row r="418" spans="45:45">
      <c r="AS418" s="19"/>
    </row>
    <row r="419" spans="45:45">
      <c r="AS419" s="19"/>
    </row>
    <row r="420" spans="45:45">
      <c r="AS420" s="19"/>
    </row>
    <row r="421" spans="45:45">
      <c r="AS421" s="19"/>
    </row>
    <row r="422" spans="45:45">
      <c r="AS422" s="19"/>
    </row>
    <row r="423" spans="45:45">
      <c r="AS423" s="19"/>
    </row>
    <row r="424" spans="45:45">
      <c r="AS424" s="19"/>
    </row>
    <row r="425" spans="45:45">
      <c r="AS425" s="19"/>
    </row>
    <row r="426" spans="45:45">
      <c r="AS426" s="19"/>
    </row>
    <row r="427" spans="45:45">
      <c r="AS427" s="19"/>
    </row>
    <row r="428" spans="45:45">
      <c r="AS428" s="19"/>
    </row>
    <row r="429" spans="45:45">
      <c r="AS429" s="19"/>
    </row>
    <row r="430" spans="45:45">
      <c r="AS430" s="19"/>
    </row>
    <row r="431" spans="45:45">
      <c r="AS431" s="19"/>
    </row>
    <row r="432" spans="45:45">
      <c r="AS432" s="19"/>
    </row>
    <row r="433" spans="45:45">
      <c r="AS433" s="19"/>
    </row>
    <row r="434" spans="45:45">
      <c r="AS434" s="19"/>
    </row>
    <row r="435" spans="45:45">
      <c r="AS435" s="19"/>
    </row>
    <row r="436" spans="45:45">
      <c r="AS436" s="19"/>
    </row>
    <row r="437" spans="45:45">
      <c r="AS437" s="19"/>
    </row>
    <row r="438" spans="45:45">
      <c r="AS438" s="19"/>
    </row>
    <row r="439" spans="45:45">
      <c r="AS439" s="19"/>
    </row>
    <row r="440" spans="45:45">
      <c r="AS440" s="19"/>
    </row>
    <row r="441" spans="45:45">
      <c r="AS441" s="19"/>
    </row>
    <row r="442" spans="45:45">
      <c r="AS442" s="19"/>
    </row>
    <row r="443" spans="45:45">
      <c r="AS443" s="19"/>
    </row>
    <row r="444" spans="45:45">
      <c r="AS444" s="19"/>
    </row>
    <row r="445" spans="45:45">
      <c r="AS445" s="19"/>
    </row>
    <row r="446" spans="45:45">
      <c r="AS446" s="19"/>
    </row>
    <row r="447" spans="45:45">
      <c r="AS447" s="19"/>
    </row>
    <row r="448" spans="45:45">
      <c r="AS448" s="19"/>
    </row>
    <row r="449" spans="45:45">
      <c r="AS449" s="19"/>
    </row>
    <row r="450" spans="45:45">
      <c r="AS450" s="19"/>
    </row>
    <row r="451" spans="45:45">
      <c r="AS451" s="19"/>
    </row>
    <row r="452" spans="45:45">
      <c r="AS452" s="19"/>
    </row>
    <row r="453" spans="45:45">
      <c r="AS453" s="19"/>
    </row>
    <row r="454" spans="45:45">
      <c r="AS454" s="19"/>
    </row>
    <row r="455" spans="45:45">
      <c r="AS455" s="19"/>
    </row>
    <row r="456" spans="45:45">
      <c r="AS456" s="19"/>
    </row>
    <row r="457" spans="45:45">
      <c r="AS457" s="19"/>
    </row>
    <row r="458" spans="45:45">
      <c r="AS458" s="19"/>
    </row>
    <row r="459" spans="45:45">
      <c r="AS459" s="19"/>
    </row>
    <row r="460" spans="45:45">
      <c r="AS460" s="19"/>
    </row>
    <row r="461" spans="45:45">
      <c r="AS461" s="19"/>
    </row>
    <row r="462" spans="45:45">
      <c r="AS462" s="19"/>
    </row>
    <row r="463" spans="45:45">
      <c r="AS463" s="19"/>
    </row>
    <row r="464" spans="45:45">
      <c r="AS464" s="19"/>
    </row>
    <row r="465" spans="45:45">
      <c r="AS465" s="19"/>
    </row>
    <row r="466" spans="45:45">
      <c r="AS466" s="19"/>
    </row>
    <row r="467" spans="45:45">
      <c r="AS467" s="19"/>
    </row>
    <row r="468" spans="45:45">
      <c r="AS468" s="19"/>
    </row>
    <row r="469" spans="45:45">
      <c r="AS469" s="19"/>
    </row>
    <row r="470" spans="45:45">
      <c r="AS470" s="19"/>
    </row>
    <row r="471" spans="45:45">
      <c r="AS471" s="19"/>
    </row>
    <row r="472" spans="45:45">
      <c r="AS472" s="19"/>
    </row>
    <row r="473" spans="45:45">
      <c r="AS473" s="19"/>
    </row>
    <row r="474" spans="45:45">
      <c r="AS474" s="19"/>
    </row>
    <row r="475" spans="45:45">
      <c r="AS475" s="19"/>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BA100:BB104"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4290-C3B0-435D-8F1C-19D11D56EB0A}">
  <sheetPr>
    <tabColor theme="0" tint="-4.9989318521683403E-2"/>
  </sheetPr>
  <dimension ref="A2:AM42"/>
  <sheetViews>
    <sheetView showGridLines="0" zoomScale="55" zoomScaleNormal="55" workbookViewId="0">
      <pane xSplit="1" topLeftCell="B1" activePane="topRight" state="frozen"/>
      <selection pane="topRight" activeCell="A7" sqref="A7"/>
    </sheetView>
  </sheetViews>
  <sheetFormatPr defaultColWidth="9.1328125" defaultRowHeight="19.5" customHeight="1"/>
  <cols>
    <col min="1" max="1" width="53.3984375" style="83" customWidth="1"/>
    <col min="2" max="3" width="12.86328125" style="83" bestFit="1" customWidth="1"/>
    <col min="4" max="4" width="13.3984375" style="83" bestFit="1" customWidth="1"/>
    <col min="5" max="5" width="13.73046875" style="83" bestFit="1" customWidth="1"/>
    <col min="6" max="6" width="13.3984375" style="83" bestFit="1" customWidth="1"/>
    <col min="7" max="7" width="13.1328125" style="83" bestFit="1" customWidth="1"/>
    <col min="8" max="8" width="10.86328125" style="83" bestFit="1" customWidth="1"/>
    <col min="9" max="9" width="11.265625" style="83" bestFit="1" customWidth="1"/>
    <col min="10" max="10" width="10.59765625" style="83" bestFit="1" customWidth="1"/>
    <col min="11" max="12" width="10.86328125" style="83" bestFit="1" customWidth="1"/>
    <col min="13" max="13" width="11.265625" style="83" bestFit="1" customWidth="1"/>
    <col min="14" max="14" width="12.265625" style="83" bestFit="1" customWidth="1"/>
    <col min="15" max="15" width="13.3984375" style="83" bestFit="1" customWidth="1"/>
    <col min="16" max="16" width="12.86328125" style="83" bestFit="1" customWidth="1"/>
    <col min="17" max="17" width="13.3984375" style="83" bestFit="1" customWidth="1"/>
    <col min="18" max="19" width="12.86328125" style="83" bestFit="1" customWidth="1"/>
    <col min="20" max="20" width="5.1328125" style="90" customWidth="1"/>
    <col min="21" max="21" width="40.86328125" style="83" customWidth="1"/>
    <col min="22" max="22" width="14.265625" style="133" customWidth="1"/>
    <col min="23" max="23" width="13" style="133" customWidth="1"/>
    <col min="24" max="24" width="11.73046875" style="133" bestFit="1" customWidth="1"/>
    <col min="25" max="25" width="12.59765625" style="133" customWidth="1"/>
    <col min="26" max="27" width="11.73046875" style="83" bestFit="1" customWidth="1"/>
    <col min="28" max="31" width="11.73046875" style="83" customWidth="1"/>
    <col min="32" max="32" width="9.73046875" style="83" customWidth="1"/>
    <col min="33" max="33" width="9.73046875" style="83" bestFit="1" customWidth="1"/>
    <col min="34" max="38" width="14.3984375" style="83" customWidth="1"/>
    <col min="39" max="39" width="12.3984375" style="83" customWidth="1"/>
    <col min="40" max="16384" width="9.1328125" style="83"/>
  </cols>
  <sheetData>
    <row r="2" spans="1:39" ht="19.5" customHeight="1">
      <c r="A2" s="218" t="s">
        <v>654</v>
      </c>
      <c r="B2" s="218"/>
      <c r="C2" s="218"/>
      <c r="D2" s="218"/>
      <c r="E2" s="160"/>
      <c r="F2" s="160"/>
      <c r="G2" s="161"/>
      <c r="H2" s="160"/>
      <c r="I2" s="160"/>
      <c r="J2" s="160"/>
      <c r="K2" s="160"/>
      <c r="L2" s="160"/>
      <c r="M2" s="161"/>
      <c r="N2" s="160"/>
      <c r="O2" s="160"/>
      <c r="P2" s="160"/>
      <c r="Q2" s="160"/>
      <c r="R2" s="160"/>
      <c r="S2" s="161"/>
      <c r="T2" s="165"/>
      <c r="U2" s="218" t="s">
        <v>409</v>
      </c>
      <c r="V2" s="218"/>
      <c r="W2" s="218"/>
      <c r="X2" s="218"/>
      <c r="Y2" s="218"/>
      <c r="Z2" s="218"/>
      <c r="AA2" s="218"/>
      <c r="AB2" s="218"/>
      <c r="AC2" s="218"/>
      <c r="AD2" s="218"/>
      <c r="AE2" s="218"/>
      <c r="AF2" s="218"/>
      <c r="AG2" s="161"/>
      <c r="AH2" s="160"/>
      <c r="AI2" s="160"/>
      <c r="AJ2" s="160"/>
      <c r="AK2" s="160"/>
      <c r="AL2" s="160"/>
      <c r="AM2" s="161"/>
    </row>
    <row r="3" spans="1:39" s="90" customFormat="1" ht="19.5" customHeight="1">
      <c r="A3" s="162"/>
      <c r="B3" s="162"/>
      <c r="C3" s="162"/>
      <c r="D3" s="162"/>
      <c r="E3" s="163"/>
      <c r="F3" s="163"/>
      <c r="G3" s="164"/>
      <c r="H3" s="163"/>
      <c r="I3" s="163"/>
      <c r="J3" s="163"/>
      <c r="K3" s="163"/>
      <c r="L3" s="163"/>
      <c r="M3" s="164"/>
      <c r="N3" s="163"/>
      <c r="O3" s="163"/>
      <c r="P3" s="163"/>
      <c r="Q3" s="163"/>
      <c r="R3" s="163"/>
      <c r="S3" s="164"/>
      <c r="T3" s="165"/>
      <c r="U3" s="165"/>
      <c r="V3" s="190"/>
      <c r="W3" s="190"/>
      <c r="X3" s="190"/>
      <c r="Y3" s="190"/>
      <c r="Z3" s="163"/>
      <c r="AA3" s="164"/>
      <c r="AB3" s="164"/>
      <c r="AC3" s="164"/>
      <c r="AD3" s="164"/>
      <c r="AE3" s="164"/>
      <c r="AF3" s="163"/>
      <c r="AG3" s="164"/>
      <c r="AH3" s="163"/>
      <c r="AI3" s="163"/>
      <c r="AJ3" s="163"/>
      <c r="AK3" s="163"/>
      <c r="AL3" s="163"/>
      <c r="AM3" s="164"/>
    </row>
    <row r="4" spans="1:39" ht="19.5" customHeight="1">
      <c r="A4" s="166"/>
      <c r="B4" s="217" t="s">
        <v>655</v>
      </c>
      <c r="C4" s="217"/>
      <c r="D4" s="217"/>
      <c r="E4" s="217"/>
      <c r="F4" s="217"/>
      <c r="G4" s="217"/>
      <c r="H4" s="217" t="s">
        <v>656</v>
      </c>
      <c r="I4" s="217"/>
      <c r="J4" s="217"/>
      <c r="K4" s="217"/>
      <c r="L4" s="217"/>
      <c r="M4" s="217"/>
      <c r="N4" s="217" t="s">
        <v>657</v>
      </c>
      <c r="O4" s="217"/>
      <c r="P4" s="217"/>
      <c r="Q4" s="217"/>
      <c r="R4" s="217"/>
      <c r="S4" s="217"/>
      <c r="T4" s="185"/>
      <c r="U4" s="166"/>
      <c r="V4" s="217" t="s">
        <v>658</v>
      </c>
      <c r="W4" s="217"/>
      <c r="X4" s="217"/>
      <c r="Y4" s="217"/>
      <c r="Z4" s="217"/>
      <c r="AA4" s="217"/>
      <c r="AB4" s="217" t="s">
        <v>659</v>
      </c>
      <c r="AC4" s="217"/>
      <c r="AD4" s="217"/>
      <c r="AE4" s="217"/>
      <c r="AF4" s="217"/>
      <c r="AG4" s="217"/>
      <c r="AH4" s="217" t="s">
        <v>660</v>
      </c>
      <c r="AI4" s="217"/>
      <c r="AJ4" s="217"/>
      <c r="AK4" s="217"/>
      <c r="AL4" s="217"/>
      <c r="AM4" s="217"/>
    </row>
    <row r="5" spans="1:39" ht="19.5" customHeight="1">
      <c r="A5" s="167" t="s">
        <v>71</v>
      </c>
      <c r="B5" s="168" t="s">
        <v>44</v>
      </c>
      <c r="C5" s="168" t="s">
        <v>45</v>
      </c>
      <c r="D5" s="168" t="s">
        <v>46</v>
      </c>
      <c r="E5" s="168" t="s">
        <v>47</v>
      </c>
      <c r="F5" s="168" t="s">
        <v>48</v>
      </c>
      <c r="G5" s="168" t="str">
        <f>S5</f>
        <v>2T25</v>
      </c>
      <c r="H5" s="168" t="s">
        <v>44</v>
      </c>
      <c r="I5" s="168" t="s">
        <v>45</v>
      </c>
      <c r="J5" s="168" t="s">
        <v>46</v>
      </c>
      <c r="K5" s="168" t="s">
        <v>47</v>
      </c>
      <c r="L5" s="168" t="s">
        <v>48</v>
      </c>
      <c r="M5" s="168" t="s">
        <v>49</v>
      </c>
      <c r="N5" s="168" t="s">
        <v>44</v>
      </c>
      <c r="O5" s="168" t="s">
        <v>45</v>
      </c>
      <c r="P5" s="168" t="s">
        <v>46</v>
      </c>
      <c r="Q5" s="168" t="s">
        <v>47</v>
      </c>
      <c r="R5" s="168" t="s">
        <v>48</v>
      </c>
      <c r="S5" s="168" t="s">
        <v>49</v>
      </c>
      <c r="T5" s="185"/>
      <c r="U5" s="167" t="s">
        <v>390</v>
      </c>
      <c r="V5" s="191" t="s">
        <v>368</v>
      </c>
      <c r="W5" s="191" t="s">
        <v>369</v>
      </c>
      <c r="X5" s="191" t="s">
        <v>370</v>
      </c>
      <c r="Y5" s="191" t="s">
        <v>371</v>
      </c>
      <c r="Z5" s="168" t="str">
        <f>SUBSTITUTE(F5,"T","Q")</f>
        <v>1Q25</v>
      </c>
      <c r="AA5" s="168" t="str">
        <f>SUBSTITUTE(G5,"T","Q")</f>
        <v>2Q25</v>
      </c>
      <c r="AB5" s="191" t="s">
        <v>368</v>
      </c>
      <c r="AC5" s="191" t="s">
        <v>369</v>
      </c>
      <c r="AD5" s="191" t="s">
        <v>370</v>
      </c>
      <c r="AE5" s="191" t="s">
        <v>371</v>
      </c>
      <c r="AF5" s="168" t="str">
        <f>SUBSTITUTE(L5,"T","Q")</f>
        <v>1Q25</v>
      </c>
      <c r="AG5" s="168" t="str">
        <f>SUBSTITUTE(M5,"T","Q")</f>
        <v>2Q25</v>
      </c>
      <c r="AH5" s="191" t="s">
        <v>368</v>
      </c>
      <c r="AI5" s="191" t="s">
        <v>369</v>
      </c>
      <c r="AJ5" s="191" t="s">
        <v>370</v>
      </c>
      <c r="AK5" s="191" t="s">
        <v>371</v>
      </c>
      <c r="AL5" s="168" t="str">
        <f>SUBSTITUTE(R5,"T","Q")</f>
        <v>1Q25</v>
      </c>
      <c r="AM5" s="168" t="str">
        <f>SUBSTITUTE(S5,"T","Q")</f>
        <v>2Q25</v>
      </c>
    </row>
    <row r="6" spans="1:39" ht="19.5" customHeight="1">
      <c r="A6" s="169" t="s">
        <v>661</v>
      </c>
      <c r="B6" s="170">
        <v>6991.4468534199987</v>
      </c>
      <c r="C6" s="170">
        <v>7150.3995186399989</v>
      </c>
      <c r="D6" s="170">
        <v>7337.7594554800007</v>
      </c>
      <c r="E6" s="170">
        <v>7472.4495928500028</v>
      </c>
      <c r="F6" s="170">
        <v>7499.5088660700003</v>
      </c>
      <c r="G6" s="170">
        <v>7673.9669725900003</v>
      </c>
      <c r="H6" s="171"/>
      <c r="I6" s="171"/>
      <c r="J6" s="171"/>
      <c r="K6" s="171"/>
      <c r="L6" s="171"/>
      <c r="M6" s="171"/>
      <c r="N6" s="170">
        <f t="shared" ref="N6:S6" si="0">B6+H6</f>
        <v>6991.4468534199987</v>
      </c>
      <c r="O6" s="170">
        <f t="shared" si="0"/>
        <v>7150.3995186399989</v>
      </c>
      <c r="P6" s="170">
        <f t="shared" si="0"/>
        <v>7337.7594554800007</v>
      </c>
      <c r="Q6" s="170">
        <f t="shared" si="0"/>
        <v>7472.4495928500028</v>
      </c>
      <c r="R6" s="170">
        <f t="shared" si="0"/>
        <v>7499.5088660700003</v>
      </c>
      <c r="S6" s="170">
        <f t="shared" si="0"/>
        <v>7673.9669725900003</v>
      </c>
      <c r="T6" s="186"/>
      <c r="U6" s="169" t="s">
        <v>662</v>
      </c>
      <c r="V6" s="192">
        <f t="shared" ref="V6:AA6" si="1">B6</f>
        <v>6991.4468534199987</v>
      </c>
      <c r="W6" s="192">
        <f t="shared" si="1"/>
        <v>7150.3995186399989</v>
      </c>
      <c r="X6" s="192">
        <f t="shared" si="1"/>
        <v>7337.7594554800007</v>
      </c>
      <c r="Y6" s="192">
        <f t="shared" si="1"/>
        <v>7472.4495928500028</v>
      </c>
      <c r="Z6" s="170">
        <f t="shared" si="1"/>
        <v>7499.5088660700003</v>
      </c>
      <c r="AA6" s="170">
        <f t="shared" si="1"/>
        <v>7673.9669725900003</v>
      </c>
      <c r="AB6" s="171"/>
      <c r="AC6" s="171"/>
      <c r="AD6" s="171"/>
      <c r="AE6" s="171"/>
      <c r="AF6" s="171"/>
      <c r="AG6" s="171"/>
      <c r="AH6" s="170">
        <f t="shared" ref="AH6:AM6" si="2">N6</f>
        <v>6991.4468534199987</v>
      </c>
      <c r="AI6" s="170">
        <f t="shared" si="2"/>
        <v>7150.3995186399989</v>
      </c>
      <c r="AJ6" s="170">
        <f t="shared" si="2"/>
        <v>7337.7594554800007</v>
      </c>
      <c r="AK6" s="170">
        <f t="shared" si="2"/>
        <v>7472.4495928500028</v>
      </c>
      <c r="AL6" s="170">
        <f t="shared" si="2"/>
        <v>7499.5088660700003</v>
      </c>
      <c r="AM6" s="170">
        <f t="shared" si="2"/>
        <v>7673.9669725900003</v>
      </c>
    </row>
    <row r="7" spans="1:39" ht="19.5" customHeight="1">
      <c r="A7" s="172" t="s">
        <v>98</v>
      </c>
      <c r="B7" s="173"/>
      <c r="C7" s="173"/>
      <c r="D7" s="173"/>
      <c r="E7" s="173"/>
      <c r="F7" s="173">
        <f>N7-H7</f>
        <v>7611.95803505</v>
      </c>
      <c r="G7" s="173">
        <f>S7-M7</f>
        <v>7754.2292429500003</v>
      </c>
      <c r="H7" s="174"/>
      <c r="I7" s="174"/>
      <c r="J7" s="174"/>
      <c r="K7" s="174"/>
      <c r="L7" s="174"/>
      <c r="M7" s="174"/>
      <c r="N7" s="173">
        <v>7611.95803505</v>
      </c>
      <c r="O7" s="173"/>
      <c r="P7" s="173"/>
      <c r="Q7" s="173"/>
      <c r="R7" s="173"/>
      <c r="S7" s="173">
        <v>7754.2292429500003</v>
      </c>
      <c r="T7" s="185"/>
      <c r="U7" s="172" t="s">
        <v>663</v>
      </c>
      <c r="V7" s="194"/>
      <c r="W7" s="194"/>
      <c r="X7" s="194"/>
      <c r="Y7" s="194"/>
      <c r="Z7" s="173">
        <f t="shared" ref="Z7:AA9" si="3">F7</f>
        <v>7611.95803505</v>
      </c>
      <c r="AA7" s="173">
        <f t="shared" si="3"/>
        <v>7754.2292429500003</v>
      </c>
      <c r="AB7" s="174"/>
      <c r="AC7" s="174"/>
      <c r="AD7" s="174"/>
      <c r="AE7" s="174"/>
      <c r="AF7" s="174"/>
      <c r="AG7" s="174"/>
      <c r="AH7" s="173">
        <f>N7</f>
        <v>7611.95803505</v>
      </c>
      <c r="AI7" s="173"/>
      <c r="AJ7" s="173"/>
      <c r="AK7" s="173"/>
      <c r="AL7" s="173"/>
      <c r="AM7" s="173">
        <f>S7</f>
        <v>7754.2292429500003</v>
      </c>
    </row>
    <row r="8" spans="1:39" ht="19.5" customHeight="1">
      <c r="A8" s="172" t="s">
        <v>99</v>
      </c>
      <c r="B8" s="173"/>
      <c r="C8" s="173"/>
      <c r="D8" s="173"/>
      <c r="E8" s="173"/>
      <c r="F8" s="173">
        <f>N8-H8</f>
        <v>222.36699999999999</v>
      </c>
      <c r="G8" s="173">
        <f>S8-M8</f>
        <v>217.02272963999999</v>
      </c>
      <c r="H8" s="174"/>
      <c r="I8" s="174"/>
      <c r="J8" s="174"/>
      <c r="K8" s="174"/>
      <c r="L8" s="174"/>
      <c r="M8" s="174"/>
      <c r="N8" s="173">
        <v>222.36699999999999</v>
      </c>
      <c r="O8" s="173"/>
      <c r="P8" s="173"/>
      <c r="Q8" s="173"/>
      <c r="R8" s="173"/>
      <c r="S8" s="173">
        <v>217.02272963999999</v>
      </c>
      <c r="T8" s="185"/>
      <c r="U8" s="172" t="s">
        <v>417</v>
      </c>
      <c r="V8" s="194"/>
      <c r="W8" s="194"/>
      <c r="X8" s="194"/>
      <c r="Y8" s="194"/>
      <c r="Z8" s="173">
        <f t="shared" si="3"/>
        <v>222.36699999999999</v>
      </c>
      <c r="AA8" s="173">
        <f t="shared" si="3"/>
        <v>217.02272963999999</v>
      </c>
      <c r="AB8" s="174"/>
      <c r="AC8" s="174"/>
      <c r="AD8" s="174"/>
      <c r="AE8" s="174"/>
      <c r="AF8" s="174"/>
      <c r="AG8" s="174"/>
      <c r="AH8" s="173">
        <f>N8</f>
        <v>222.36699999999999</v>
      </c>
      <c r="AI8" s="173"/>
      <c r="AJ8" s="173"/>
      <c r="AK8" s="173"/>
      <c r="AL8" s="173"/>
      <c r="AM8" s="173">
        <f>S8</f>
        <v>217.02272963999999</v>
      </c>
    </row>
    <row r="9" spans="1:39" ht="19.5" customHeight="1">
      <c r="A9" s="172" t="s">
        <v>100</v>
      </c>
      <c r="B9" s="173"/>
      <c r="C9" s="173"/>
      <c r="D9" s="173"/>
      <c r="E9" s="173"/>
      <c r="F9" s="173">
        <f>N9-H9</f>
        <v>-334.81616897999999</v>
      </c>
      <c r="G9" s="173">
        <f>S9-M9</f>
        <v>-297.28499999999997</v>
      </c>
      <c r="H9" s="174"/>
      <c r="I9" s="174"/>
      <c r="J9" s="174"/>
      <c r="K9" s="174"/>
      <c r="L9" s="174"/>
      <c r="M9" s="174"/>
      <c r="N9" s="173">
        <v>-334.81616897999999</v>
      </c>
      <c r="O9" s="173"/>
      <c r="P9" s="173"/>
      <c r="Q9" s="173"/>
      <c r="R9" s="173"/>
      <c r="S9" s="173">
        <v>-297.28499999999997</v>
      </c>
      <c r="T9" s="185"/>
      <c r="U9" s="172" t="s">
        <v>418</v>
      </c>
      <c r="V9" s="194"/>
      <c r="W9" s="194"/>
      <c r="X9" s="194"/>
      <c r="Y9" s="194"/>
      <c r="Z9" s="173">
        <f t="shared" si="3"/>
        <v>-334.81616897999999</v>
      </c>
      <c r="AA9" s="173">
        <f t="shared" si="3"/>
        <v>-297.28499999999997</v>
      </c>
      <c r="AB9" s="174"/>
      <c r="AC9" s="174"/>
      <c r="AD9" s="174"/>
      <c r="AE9" s="174"/>
      <c r="AF9" s="174"/>
      <c r="AG9" s="174"/>
      <c r="AH9" s="173">
        <f>N9</f>
        <v>-334.81616897999999</v>
      </c>
      <c r="AI9" s="173"/>
      <c r="AJ9" s="173"/>
      <c r="AK9" s="173"/>
      <c r="AL9" s="173"/>
      <c r="AM9" s="173">
        <f>S9</f>
        <v>-297.28499999999997</v>
      </c>
    </row>
    <row r="10" spans="1:39" ht="9.75" customHeight="1">
      <c r="A10" s="175"/>
      <c r="B10" s="176"/>
      <c r="C10" s="176"/>
      <c r="D10" s="176"/>
      <c r="E10" s="176"/>
      <c r="F10" s="176"/>
      <c r="G10" s="176"/>
      <c r="H10" s="177"/>
      <c r="I10" s="177"/>
      <c r="J10" s="177"/>
      <c r="K10" s="177"/>
      <c r="L10" s="177"/>
      <c r="M10" s="177"/>
      <c r="N10" s="176"/>
      <c r="O10" s="176"/>
      <c r="P10" s="176"/>
      <c r="Q10" s="176"/>
      <c r="R10" s="176"/>
      <c r="S10" s="176"/>
      <c r="T10" s="185"/>
      <c r="U10" s="175"/>
      <c r="V10" s="193"/>
      <c r="W10" s="193"/>
      <c r="X10" s="193"/>
      <c r="Y10" s="193"/>
      <c r="Z10" s="176"/>
      <c r="AA10" s="176"/>
      <c r="AB10" s="177"/>
      <c r="AC10" s="177"/>
      <c r="AD10" s="177"/>
      <c r="AE10" s="177"/>
      <c r="AF10" s="177"/>
      <c r="AG10" s="177"/>
      <c r="AH10" s="176"/>
      <c r="AI10" s="176"/>
      <c r="AJ10" s="176"/>
      <c r="AK10" s="176"/>
      <c r="AL10" s="176"/>
      <c r="AM10" s="176"/>
    </row>
    <row r="11" spans="1:39" ht="19.5" customHeight="1">
      <c r="A11" s="169" t="s">
        <v>664</v>
      </c>
      <c r="B11" s="170">
        <f>SUM(B12:B15)</f>
        <v>-4916.9567372900001</v>
      </c>
      <c r="C11" s="170">
        <f>SUM(C12:C15)</f>
        <v>-5162.0096837800011</v>
      </c>
      <c r="D11" s="170">
        <f>SUM(D12:D15)</f>
        <v>-5363.828153049998</v>
      </c>
      <c r="E11" s="170">
        <f>SUM(E12:E15)</f>
        <v>-4699.6323664999909</v>
      </c>
      <c r="F11" s="170">
        <f t="shared" ref="F11:S11" si="4">SUM(F12:F15)</f>
        <v>-5362.30901189</v>
      </c>
      <c r="G11" s="170">
        <f t="shared" si="4"/>
        <v>-5865.6429346800005</v>
      </c>
      <c r="H11" s="171">
        <f t="shared" si="4"/>
        <v>-255.55042411859063</v>
      </c>
      <c r="I11" s="171">
        <f t="shared" si="4"/>
        <v>-226.75905913472377</v>
      </c>
      <c r="J11" s="171">
        <f t="shared" si="4"/>
        <v>-261.66256360376707</v>
      </c>
      <c r="K11" s="171">
        <f t="shared" si="4"/>
        <v>-244.09773002754889</v>
      </c>
      <c r="L11" s="171">
        <f t="shared" si="4"/>
        <v>-257.30705938999955</v>
      </c>
      <c r="M11" s="171">
        <f t="shared" si="4"/>
        <v>-239.64094742000003</v>
      </c>
      <c r="N11" s="170">
        <f t="shared" si="4"/>
        <v>-5172.5071614085909</v>
      </c>
      <c r="O11" s="170">
        <f t="shared" si="4"/>
        <v>-5388.7687429147245</v>
      </c>
      <c r="P11" s="170">
        <f t="shared" si="4"/>
        <v>-5625.490716653765</v>
      </c>
      <c r="Q11" s="170">
        <f t="shared" si="4"/>
        <v>-4943.7300965275399</v>
      </c>
      <c r="R11" s="170">
        <f t="shared" si="4"/>
        <v>-5619.6160712800001</v>
      </c>
      <c r="S11" s="170">
        <f t="shared" si="4"/>
        <v>-6105.2838821000005</v>
      </c>
      <c r="T11" s="187"/>
      <c r="U11" s="169" t="s">
        <v>665</v>
      </c>
      <c r="V11" s="192">
        <f t="shared" ref="V11:V16" si="5">B11</f>
        <v>-4916.9567372900001</v>
      </c>
      <c r="W11" s="192">
        <f t="shared" ref="W11:W16" si="6">C11</f>
        <v>-5162.0096837800011</v>
      </c>
      <c r="X11" s="192">
        <f t="shared" ref="X11:X16" si="7">D11</f>
        <v>-5363.828153049998</v>
      </c>
      <c r="Y11" s="192">
        <f t="shared" ref="Y11:Y16" si="8">E11</f>
        <v>-4699.6323664999909</v>
      </c>
      <c r="Z11" s="170">
        <f t="shared" ref="Z11:AG11" si="9">F11</f>
        <v>-5362.30901189</v>
      </c>
      <c r="AA11" s="170">
        <f t="shared" si="9"/>
        <v>-5865.6429346800005</v>
      </c>
      <c r="AB11" s="171">
        <f t="shared" si="9"/>
        <v>-255.55042411859063</v>
      </c>
      <c r="AC11" s="171">
        <f t="shared" si="9"/>
        <v>-226.75905913472377</v>
      </c>
      <c r="AD11" s="171">
        <f t="shared" si="9"/>
        <v>-261.66256360376707</v>
      </c>
      <c r="AE11" s="171">
        <f t="shared" si="9"/>
        <v>-244.09773002754889</v>
      </c>
      <c r="AF11" s="171">
        <f t="shared" si="9"/>
        <v>-257.30705938999955</v>
      </c>
      <c r="AG11" s="171">
        <f t="shared" si="9"/>
        <v>-239.64094742000003</v>
      </c>
      <c r="AH11" s="170">
        <f t="shared" ref="AH11:AH16" si="10">N11</f>
        <v>-5172.5071614085909</v>
      </c>
      <c r="AI11" s="170">
        <f t="shared" ref="AI11:AM16" si="11">O11</f>
        <v>-5388.7687429147245</v>
      </c>
      <c r="AJ11" s="170">
        <f t="shared" si="11"/>
        <v>-5625.490716653765</v>
      </c>
      <c r="AK11" s="170">
        <f t="shared" si="11"/>
        <v>-4943.7300965275399</v>
      </c>
      <c r="AL11" s="170">
        <f t="shared" si="11"/>
        <v>-5619.6160712800001</v>
      </c>
      <c r="AM11" s="170">
        <f t="shared" si="11"/>
        <v>-6105.2838821000005</v>
      </c>
    </row>
    <row r="12" spans="1:39" ht="19.5" customHeight="1">
      <c r="A12" s="178" t="s">
        <v>105</v>
      </c>
      <c r="B12" s="173">
        <v>-0.97773089000000057</v>
      </c>
      <c r="C12" s="173">
        <v>37.655209170000006</v>
      </c>
      <c r="D12" s="173">
        <v>-21.386609440000004</v>
      </c>
      <c r="E12" s="173">
        <v>22.977060460000004</v>
      </c>
      <c r="F12" s="173">
        <v>-24.047611390000007</v>
      </c>
      <c r="G12" s="173">
        <v>-1.3388381399999962</v>
      </c>
      <c r="H12" s="174"/>
      <c r="I12" s="174"/>
      <c r="J12" s="174"/>
      <c r="K12" s="174"/>
      <c r="L12" s="174"/>
      <c r="M12" s="174"/>
      <c r="N12" s="173">
        <f t="shared" ref="N12:S15" si="12">B12+H12</f>
        <v>-0.97773089000000057</v>
      </c>
      <c r="O12" s="173">
        <f t="shared" si="12"/>
        <v>37.655209170000006</v>
      </c>
      <c r="P12" s="173">
        <f t="shared" si="12"/>
        <v>-21.386609440000004</v>
      </c>
      <c r="Q12" s="173">
        <f t="shared" si="12"/>
        <v>22.977060460000004</v>
      </c>
      <c r="R12" s="173">
        <f t="shared" si="12"/>
        <v>-24.047611390000007</v>
      </c>
      <c r="S12" s="173">
        <f t="shared" si="12"/>
        <v>-1.3388381399999962</v>
      </c>
      <c r="T12" s="185"/>
      <c r="U12" s="172" t="s">
        <v>423</v>
      </c>
      <c r="V12" s="194">
        <f t="shared" si="5"/>
        <v>-0.97773089000000057</v>
      </c>
      <c r="W12" s="194">
        <f t="shared" si="6"/>
        <v>37.655209170000006</v>
      </c>
      <c r="X12" s="194">
        <f t="shared" si="7"/>
        <v>-21.386609440000004</v>
      </c>
      <c r="Y12" s="194">
        <f t="shared" si="8"/>
        <v>22.977060460000004</v>
      </c>
      <c r="Z12" s="173">
        <f t="shared" ref="Z12:AA16" si="13">F12</f>
        <v>-24.047611390000007</v>
      </c>
      <c r="AA12" s="173">
        <f t="shared" si="13"/>
        <v>-1.3388381399999962</v>
      </c>
      <c r="AB12" s="174"/>
      <c r="AC12" s="174"/>
      <c r="AD12" s="174"/>
      <c r="AE12" s="174"/>
      <c r="AF12" s="174"/>
      <c r="AG12" s="174"/>
      <c r="AH12" s="173">
        <f t="shared" si="10"/>
        <v>-0.97773089000000057</v>
      </c>
      <c r="AI12" s="173">
        <f t="shared" si="11"/>
        <v>37.655209170000006</v>
      </c>
      <c r="AJ12" s="173">
        <f t="shared" si="11"/>
        <v>-21.386609440000004</v>
      </c>
      <c r="AK12" s="173">
        <f t="shared" si="11"/>
        <v>22.977060460000004</v>
      </c>
      <c r="AL12" s="173">
        <f t="shared" si="11"/>
        <v>-24.047611390000007</v>
      </c>
      <c r="AM12" s="173">
        <f t="shared" si="11"/>
        <v>-1.3388381399999962</v>
      </c>
    </row>
    <row r="13" spans="1:39" ht="19.5" customHeight="1">
      <c r="A13" s="178" t="s">
        <v>106</v>
      </c>
      <c r="B13" s="173">
        <v>-52.34527855999999</v>
      </c>
      <c r="C13" s="173">
        <v>-58.125738580000032</v>
      </c>
      <c r="D13" s="173">
        <v>-57.927450139999962</v>
      </c>
      <c r="E13" s="173">
        <v>475.79337349999992</v>
      </c>
      <c r="F13" s="173">
        <v>-71.769716380000034</v>
      </c>
      <c r="G13" s="173">
        <v>-297.8288589899999</v>
      </c>
      <c r="H13" s="174"/>
      <c r="I13" s="174"/>
      <c r="J13" s="174"/>
      <c r="K13" s="174"/>
      <c r="L13" s="174"/>
      <c r="M13" s="174"/>
      <c r="N13" s="173">
        <f t="shared" si="12"/>
        <v>-52.34527855999999</v>
      </c>
      <c r="O13" s="173">
        <f t="shared" si="12"/>
        <v>-58.125738580000032</v>
      </c>
      <c r="P13" s="173">
        <f t="shared" si="12"/>
        <v>-57.927450139999962</v>
      </c>
      <c r="Q13" s="173">
        <f t="shared" si="12"/>
        <v>475.79337349999992</v>
      </c>
      <c r="R13" s="173">
        <f t="shared" si="12"/>
        <v>-71.769716380000034</v>
      </c>
      <c r="S13" s="173">
        <f t="shared" si="12"/>
        <v>-297.8288589899999</v>
      </c>
      <c r="T13" s="185"/>
      <c r="U13" s="172" t="s">
        <v>666</v>
      </c>
      <c r="V13" s="194">
        <f t="shared" si="5"/>
        <v>-52.34527855999999</v>
      </c>
      <c r="W13" s="194">
        <f t="shared" si="6"/>
        <v>-58.125738580000032</v>
      </c>
      <c r="X13" s="194">
        <f t="shared" si="7"/>
        <v>-57.927450139999962</v>
      </c>
      <c r="Y13" s="194">
        <f t="shared" si="8"/>
        <v>475.79337349999992</v>
      </c>
      <c r="Z13" s="173">
        <f t="shared" si="13"/>
        <v>-71.769716380000034</v>
      </c>
      <c r="AA13" s="173">
        <f t="shared" si="13"/>
        <v>-297.8288589899999</v>
      </c>
      <c r="AB13" s="174"/>
      <c r="AC13" s="174"/>
      <c r="AD13" s="174"/>
      <c r="AE13" s="174"/>
      <c r="AF13" s="174"/>
      <c r="AG13" s="174"/>
      <c r="AH13" s="173">
        <f t="shared" si="10"/>
        <v>-52.34527855999999</v>
      </c>
      <c r="AI13" s="173">
        <f t="shared" si="11"/>
        <v>-58.125738580000032</v>
      </c>
      <c r="AJ13" s="173">
        <f t="shared" si="11"/>
        <v>-57.927450139999962</v>
      </c>
      <c r="AK13" s="173">
        <f t="shared" si="11"/>
        <v>475.79337349999992</v>
      </c>
      <c r="AL13" s="173">
        <f t="shared" si="11"/>
        <v>-71.769716380000034</v>
      </c>
      <c r="AM13" s="173">
        <f t="shared" si="11"/>
        <v>-297.8288589899999</v>
      </c>
    </row>
    <row r="14" spans="1:39" ht="19.5" customHeight="1">
      <c r="A14" s="178" t="s">
        <v>104</v>
      </c>
      <c r="B14" s="173">
        <v>-112.26570794999999</v>
      </c>
      <c r="C14" s="173">
        <v>-103.81708492000001</v>
      </c>
      <c r="D14" s="173">
        <v>-120.91924526999995</v>
      </c>
      <c r="E14" s="173">
        <v>-124.55387576000005</v>
      </c>
      <c r="F14" s="173">
        <v>-120.55271266999999</v>
      </c>
      <c r="G14" s="173">
        <v>-118.16808172999994</v>
      </c>
      <c r="H14" s="174">
        <f>-[1]DRE_EX_AJUSTE!I12</f>
        <v>-8.374265443923619</v>
      </c>
      <c r="I14" s="174">
        <f>-[1]DRE_EX_AJUSTE!J12</f>
        <v>-9.0211502413270637</v>
      </c>
      <c r="J14" s="174">
        <f>-[1]DRE_EX_AJUSTE!K12</f>
        <v>-13.087229720960806</v>
      </c>
      <c r="K14" s="174">
        <f>-[1]DRE_EX_AJUSTE!L12</f>
        <v>-14.956422558780915</v>
      </c>
      <c r="L14" s="174">
        <f>-[1]DRE_EX_AJUSTE!M12</f>
        <v>-15.642656800000012</v>
      </c>
      <c r="M14" s="174">
        <f>-[1]DRE_EX_AJUSTE!N12</f>
        <v>-15.819702670000012</v>
      </c>
      <c r="N14" s="173">
        <f>B14+H14</f>
        <v>-120.63997339392361</v>
      </c>
      <c r="O14" s="173">
        <f t="shared" si="12"/>
        <v>-112.83823516132708</v>
      </c>
      <c r="P14" s="173">
        <f t="shared" si="12"/>
        <v>-134.00647499096075</v>
      </c>
      <c r="Q14" s="173">
        <f t="shared" si="12"/>
        <v>-139.51029831878097</v>
      </c>
      <c r="R14" s="173">
        <f t="shared" si="12"/>
        <v>-136.19536947</v>
      </c>
      <c r="S14" s="173">
        <f t="shared" si="12"/>
        <v>-133.98778439999995</v>
      </c>
      <c r="T14" s="185"/>
      <c r="U14" s="172" t="s">
        <v>422</v>
      </c>
      <c r="V14" s="194">
        <f t="shared" si="5"/>
        <v>-112.26570794999999</v>
      </c>
      <c r="W14" s="194">
        <f t="shared" si="6"/>
        <v>-103.81708492000001</v>
      </c>
      <c r="X14" s="194">
        <f t="shared" si="7"/>
        <v>-120.91924526999995</v>
      </c>
      <c r="Y14" s="194">
        <f t="shared" si="8"/>
        <v>-124.55387576000005</v>
      </c>
      <c r="Z14" s="173">
        <f t="shared" si="13"/>
        <v>-120.55271266999999</v>
      </c>
      <c r="AA14" s="173">
        <f t="shared" si="13"/>
        <v>-118.16808172999994</v>
      </c>
      <c r="AB14" s="174">
        <f>H14</f>
        <v>-8.374265443923619</v>
      </c>
      <c r="AC14" s="174">
        <f t="shared" ref="AC14:AG15" si="14">I14</f>
        <v>-9.0211502413270637</v>
      </c>
      <c r="AD14" s="174">
        <f t="shared" si="14"/>
        <v>-13.087229720960806</v>
      </c>
      <c r="AE14" s="174">
        <f t="shared" si="14"/>
        <v>-14.956422558780915</v>
      </c>
      <c r="AF14" s="174">
        <f t="shared" si="14"/>
        <v>-15.642656800000012</v>
      </c>
      <c r="AG14" s="174">
        <f t="shared" si="14"/>
        <v>-15.819702670000012</v>
      </c>
      <c r="AH14" s="173">
        <f t="shared" si="10"/>
        <v>-120.63997339392361</v>
      </c>
      <c r="AI14" s="173">
        <f t="shared" si="11"/>
        <v>-112.83823516132708</v>
      </c>
      <c r="AJ14" s="173">
        <f t="shared" si="11"/>
        <v>-134.00647499096075</v>
      </c>
      <c r="AK14" s="173">
        <f t="shared" si="11"/>
        <v>-139.51029831878097</v>
      </c>
      <c r="AL14" s="173">
        <f t="shared" si="11"/>
        <v>-136.19536947</v>
      </c>
      <c r="AM14" s="173">
        <f t="shared" si="11"/>
        <v>-133.98778439999995</v>
      </c>
    </row>
    <row r="15" spans="1:39" ht="19.5" customHeight="1">
      <c r="A15" s="178" t="s">
        <v>102</v>
      </c>
      <c r="B15" s="173">
        <v>-4751.3680198900001</v>
      </c>
      <c r="C15" s="173">
        <v>-5037.7220694500011</v>
      </c>
      <c r="D15" s="173">
        <v>-5163.5948481999985</v>
      </c>
      <c r="E15" s="173">
        <v>-5073.8489246999907</v>
      </c>
      <c r="F15" s="173">
        <v>-5145.9389714500003</v>
      </c>
      <c r="G15" s="173">
        <v>-5448.3071558200008</v>
      </c>
      <c r="H15" s="174">
        <f>-[1]DRE_EX_AJUSTE!I13</f>
        <v>-247.17615867466702</v>
      </c>
      <c r="I15" s="174">
        <f>-[1]DRE_EX_AJUSTE!J13</f>
        <v>-217.73790889339671</v>
      </c>
      <c r="J15" s="174">
        <f>-[1]DRE_EX_AJUSTE!K13</f>
        <v>-248.57533388280626</v>
      </c>
      <c r="K15" s="174">
        <f>-[1]DRE_EX_AJUSTE!L13</f>
        <v>-229.14130746876799</v>
      </c>
      <c r="L15" s="174">
        <f>-[1]DRE_EX_AJUSTE!M13</f>
        <v>-241.66440258999955</v>
      </c>
      <c r="M15" s="174">
        <f>-[1]DRE_EX_AJUSTE!N13</f>
        <v>-223.82124475000001</v>
      </c>
      <c r="N15" s="173">
        <f t="shared" si="12"/>
        <v>-4998.5441785646672</v>
      </c>
      <c r="O15" s="173">
        <f t="shared" si="12"/>
        <v>-5255.4599783433978</v>
      </c>
      <c r="P15" s="173">
        <f t="shared" si="12"/>
        <v>-5412.1701820828048</v>
      </c>
      <c r="Q15" s="173">
        <f t="shared" si="12"/>
        <v>-5302.9902321687587</v>
      </c>
      <c r="R15" s="173">
        <f t="shared" si="12"/>
        <v>-5387.6033740399998</v>
      </c>
      <c r="S15" s="173">
        <f t="shared" si="12"/>
        <v>-5672.1284005700008</v>
      </c>
      <c r="T15" s="185"/>
      <c r="U15" s="172" t="s">
        <v>667</v>
      </c>
      <c r="V15" s="194">
        <f t="shared" si="5"/>
        <v>-4751.3680198900001</v>
      </c>
      <c r="W15" s="194">
        <f t="shared" si="6"/>
        <v>-5037.7220694500011</v>
      </c>
      <c r="X15" s="194">
        <f t="shared" si="7"/>
        <v>-5163.5948481999985</v>
      </c>
      <c r="Y15" s="194">
        <f t="shared" si="8"/>
        <v>-5073.8489246999907</v>
      </c>
      <c r="Z15" s="173">
        <f t="shared" si="13"/>
        <v>-5145.9389714500003</v>
      </c>
      <c r="AA15" s="173">
        <f t="shared" si="13"/>
        <v>-5448.3071558200008</v>
      </c>
      <c r="AB15" s="174">
        <f>H15</f>
        <v>-247.17615867466702</v>
      </c>
      <c r="AC15" s="174">
        <f t="shared" si="14"/>
        <v>-217.73790889339671</v>
      </c>
      <c r="AD15" s="174">
        <f t="shared" si="14"/>
        <v>-248.57533388280626</v>
      </c>
      <c r="AE15" s="174">
        <f t="shared" si="14"/>
        <v>-229.14130746876799</v>
      </c>
      <c r="AF15" s="174">
        <f t="shared" si="14"/>
        <v>-241.66440258999955</v>
      </c>
      <c r="AG15" s="174">
        <f t="shared" si="14"/>
        <v>-223.82124475000001</v>
      </c>
      <c r="AH15" s="173">
        <f t="shared" si="10"/>
        <v>-4998.5441785646672</v>
      </c>
      <c r="AI15" s="173">
        <f t="shared" si="11"/>
        <v>-5255.4599783433978</v>
      </c>
      <c r="AJ15" s="173">
        <f t="shared" si="11"/>
        <v>-5412.1701820828048</v>
      </c>
      <c r="AK15" s="173">
        <f t="shared" si="11"/>
        <v>-5302.9902321687587</v>
      </c>
      <c r="AL15" s="173">
        <f t="shared" si="11"/>
        <v>-5387.6033740399998</v>
      </c>
      <c r="AM15" s="173">
        <f t="shared" si="11"/>
        <v>-5672.1284005700008</v>
      </c>
    </row>
    <row r="16" spans="1:39" ht="19.5" customHeight="1">
      <c r="A16" s="179" t="s">
        <v>668</v>
      </c>
      <c r="B16" s="180">
        <f t="shared" ref="B16:G16" si="15">B15/B$6</f>
        <v>-0.67959724496307639</v>
      </c>
      <c r="C16" s="180">
        <f t="shared" si="15"/>
        <v>-0.70453714597588979</v>
      </c>
      <c r="D16" s="180">
        <f t="shared" si="15"/>
        <v>-0.7037018424396172</v>
      </c>
      <c r="E16" s="180">
        <f t="shared" si="15"/>
        <v>-0.67900744751157538</v>
      </c>
      <c r="F16" s="180">
        <f t="shared" si="15"/>
        <v>-0.68617012971766089</v>
      </c>
      <c r="G16" s="180">
        <f t="shared" si="15"/>
        <v>-0.70997271362782155</v>
      </c>
      <c r="H16" s="181"/>
      <c r="I16" s="181"/>
      <c r="J16" s="181"/>
      <c r="K16" s="181"/>
      <c r="L16" s="181"/>
      <c r="M16" s="181"/>
      <c r="N16" s="180">
        <f t="shared" ref="N16:S16" si="16">N15/N$6</f>
        <v>-0.71495132314701559</v>
      </c>
      <c r="O16" s="180">
        <f t="shared" si="16"/>
        <v>-0.73498829885563965</v>
      </c>
      <c r="P16" s="180">
        <f t="shared" si="16"/>
        <v>-0.73757803249340326</v>
      </c>
      <c r="Q16" s="180">
        <f t="shared" si="16"/>
        <v>-0.70967226560389429</v>
      </c>
      <c r="R16" s="180">
        <f t="shared" si="16"/>
        <v>-0.71839416023829417</v>
      </c>
      <c r="S16" s="180">
        <f t="shared" si="16"/>
        <v>-0.7391390164734617</v>
      </c>
      <c r="T16" s="188"/>
      <c r="U16" s="179" t="s">
        <v>669</v>
      </c>
      <c r="V16" s="195">
        <f t="shared" si="5"/>
        <v>-0.67959724496307639</v>
      </c>
      <c r="W16" s="195">
        <f t="shared" si="6"/>
        <v>-0.70453714597588979</v>
      </c>
      <c r="X16" s="195">
        <f t="shared" si="7"/>
        <v>-0.7037018424396172</v>
      </c>
      <c r="Y16" s="195">
        <f t="shared" si="8"/>
        <v>-0.67900744751157538</v>
      </c>
      <c r="Z16" s="180">
        <f t="shared" si="13"/>
        <v>-0.68617012971766089</v>
      </c>
      <c r="AA16" s="180">
        <f t="shared" si="13"/>
        <v>-0.70997271362782155</v>
      </c>
      <c r="AB16" s="181"/>
      <c r="AC16" s="181"/>
      <c r="AD16" s="181"/>
      <c r="AE16" s="181"/>
      <c r="AF16" s="181"/>
      <c r="AG16" s="181"/>
      <c r="AH16" s="180">
        <f t="shared" si="10"/>
        <v>-0.71495132314701559</v>
      </c>
      <c r="AI16" s="180">
        <f t="shared" si="11"/>
        <v>-0.73498829885563965</v>
      </c>
      <c r="AJ16" s="180">
        <f t="shared" si="11"/>
        <v>-0.73757803249340326</v>
      </c>
      <c r="AK16" s="180">
        <f t="shared" si="11"/>
        <v>-0.70967226560389429</v>
      </c>
      <c r="AL16" s="180">
        <f t="shared" si="11"/>
        <v>-0.71839416023829417</v>
      </c>
      <c r="AM16" s="180">
        <f t="shared" si="11"/>
        <v>-0.7391390164734617</v>
      </c>
    </row>
    <row r="17" spans="1:39" ht="15" customHeight="1">
      <c r="A17" s="175"/>
      <c r="B17" s="176"/>
      <c r="C17" s="176"/>
      <c r="D17" s="176"/>
      <c r="E17" s="176"/>
      <c r="F17" s="176"/>
      <c r="G17" s="176"/>
      <c r="H17" s="177"/>
      <c r="I17" s="177"/>
      <c r="J17" s="177"/>
      <c r="K17" s="177"/>
      <c r="L17" s="177"/>
      <c r="M17" s="177"/>
      <c r="N17" s="176"/>
      <c r="O17" s="176"/>
      <c r="P17" s="176"/>
      <c r="Q17" s="176"/>
      <c r="R17" s="176"/>
      <c r="S17" s="176"/>
      <c r="T17" s="185"/>
      <c r="U17" s="175"/>
      <c r="V17" s="193"/>
      <c r="W17" s="193"/>
      <c r="X17" s="193"/>
      <c r="Y17" s="193"/>
      <c r="Z17" s="176"/>
      <c r="AA17" s="176"/>
      <c r="AB17" s="177"/>
      <c r="AC17" s="177"/>
      <c r="AD17" s="177"/>
      <c r="AE17" s="177"/>
      <c r="AF17" s="177"/>
      <c r="AG17" s="177"/>
      <c r="AH17" s="176"/>
      <c r="AI17" s="176"/>
      <c r="AJ17" s="176"/>
      <c r="AK17" s="176"/>
      <c r="AL17" s="176"/>
      <c r="AM17" s="176"/>
    </row>
    <row r="18" spans="1:39" ht="19.5" customHeight="1">
      <c r="A18" s="169" t="s">
        <v>110</v>
      </c>
      <c r="B18" s="170">
        <f t="shared" ref="B18:S18" si="17">SUM(B19:B23)</f>
        <v>-551.22000104999995</v>
      </c>
      <c r="C18" s="170">
        <f t="shared" si="17"/>
        <v>-495.97976019000004</v>
      </c>
      <c r="D18" s="170">
        <f t="shared" si="17"/>
        <v>-508.01550964000012</v>
      </c>
      <c r="E18" s="170">
        <f t="shared" si="17"/>
        <v>-551.28436789000091</v>
      </c>
      <c r="F18" s="170">
        <f t="shared" si="17"/>
        <v>-557.95262338000009</v>
      </c>
      <c r="G18" s="170">
        <f t="shared" si="17"/>
        <v>-568.31500641999992</v>
      </c>
      <c r="H18" s="171">
        <f t="shared" si="17"/>
        <v>-12.176247249999998</v>
      </c>
      <c r="I18" s="171">
        <f t="shared" si="17"/>
        <v>-11.358302880000027</v>
      </c>
      <c r="J18" s="171">
        <f t="shared" si="17"/>
        <v>-8.0569296100000223</v>
      </c>
      <c r="K18" s="171">
        <f t="shared" si="17"/>
        <v>-12.973542789999971</v>
      </c>
      <c r="L18" s="171">
        <f t="shared" si="17"/>
        <v>-8.9126269799999989</v>
      </c>
      <c r="M18" s="171">
        <f t="shared" si="17"/>
        <v>-5.4525575599999954</v>
      </c>
      <c r="N18" s="170">
        <f t="shared" si="17"/>
        <v>-563.39624830000002</v>
      </c>
      <c r="O18" s="170">
        <f t="shared" si="17"/>
        <v>-507.33806307000003</v>
      </c>
      <c r="P18" s="170">
        <f t="shared" si="17"/>
        <v>-516.07243925000012</v>
      </c>
      <c r="Q18" s="170">
        <f t="shared" si="17"/>
        <v>-564.2579106800008</v>
      </c>
      <c r="R18" s="170">
        <f t="shared" si="17"/>
        <v>-566.86525036000023</v>
      </c>
      <c r="S18" s="170">
        <f t="shared" si="17"/>
        <v>-573.76756397999998</v>
      </c>
      <c r="T18" s="187"/>
      <c r="U18" s="169" t="s">
        <v>428</v>
      </c>
      <c r="V18" s="192">
        <f t="shared" ref="V18:V24" si="18">B18</f>
        <v>-551.22000104999995</v>
      </c>
      <c r="W18" s="192">
        <f t="shared" ref="W18:W24" si="19">C18</f>
        <v>-495.97976019000004</v>
      </c>
      <c r="X18" s="192">
        <f t="shared" ref="X18:X24" si="20">D18</f>
        <v>-508.01550964000012</v>
      </c>
      <c r="Y18" s="192">
        <f t="shared" ref="Y18:Y24" si="21">E18</f>
        <v>-551.28436789000091</v>
      </c>
      <c r="Z18" s="170">
        <f>F18</f>
        <v>-557.95262338000009</v>
      </c>
      <c r="AA18" s="170">
        <f>G18</f>
        <v>-568.31500641999992</v>
      </c>
      <c r="AB18" s="171">
        <f>H18</f>
        <v>-12.176247249999998</v>
      </c>
      <c r="AC18" s="171">
        <f t="shared" ref="AC18:AC23" si="22">I18</f>
        <v>-11.358302880000027</v>
      </c>
      <c r="AD18" s="171">
        <f t="shared" ref="AD18:AD23" si="23">J18</f>
        <v>-8.0569296100000223</v>
      </c>
      <c r="AE18" s="171">
        <f t="shared" ref="AE18:AE23" si="24">K18</f>
        <v>-12.973542789999971</v>
      </c>
      <c r="AF18" s="171">
        <f t="shared" ref="AF18:AF23" si="25">L18</f>
        <v>-8.9126269799999989</v>
      </c>
      <c r="AG18" s="171">
        <f t="shared" ref="AG18:AG23" si="26">M18</f>
        <v>-5.4525575599999954</v>
      </c>
      <c r="AH18" s="170">
        <f>N18</f>
        <v>-563.39624830000002</v>
      </c>
      <c r="AI18" s="170">
        <f t="shared" ref="AI18:AM33" si="27">O18</f>
        <v>-507.33806307000003</v>
      </c>
      <c r="AJ18" s="170">
        <f t="shared" si="27"/>
        <v>-516.07243925000012</v>
      </c>
      <c r="AK18" s="170">
        <f t="shared" si="27"/>
        <v>-564.2579106800008</v>
      </c>
      <c r="AL18" s="170">
        <f t="shared" si="27"/>
        <v>-566.86525036000023</v>
      </c>
      <c r="AM18" s="170">
        <f t="shared" si="27"/>
        <v>-573.76756397999998</v>
      </c>
    </row>
    <row r="19" spans="1:39" ht="19.5" customHeight="1">
      <c r="A19" s="178" t="s">
        <v>112</v>
      </c>
      <c r="B19" s="173">
        <v>-12.51138377</v>
      </c>
      <c r="C19" s="173">
        <v>-23.934762329999995</v>
      </c>
      <c r="D19" s="173">
        <v>-10.64597161</v>
      </c>
      <c r="E19" s="173">
        <v>-35.16891780000001</v>
      </c>
      <c r="F19" s="173">
        <v>-14.13405231</v>
      </c>
      <c r="G19" s="173">
        <v>-42.414322939999998</v>
      </c>
      <c r="H19" s="174">
        <v>2.1631425600000007</v>
      </c>
      <c r="I19" s="174">
        <v>2.8946100399999928</v>
      </c>
      <c r="J19" s="174">
        <v>1.2694293600000019</v>
      </c>
      <c r="K19" s="174">
        <v>3.8141252100000038</v>
      </c>
      <c r="L19" s="174">
        <v>0</v>
      </c>
      <c r="M19" s="174">
        <v>0</v>
      </c>
      <c r="N19" s="173">
        <f t="shared" ref="N19:S23" si="28">B19+H19</f>
        <v>-10.348241209999999</v>
      </c>
      <c r="O19" s="173">
        <f t="shared" si="28"/>
        <v>-21.040152290000002</v>
      </c>
      <c r="P19" s="173">
        <f t="shared" si="28"/>
        <v>-9.3765422499999982</v>
      </c>
      <c r="Q19" s="173">
        <f t="shared" si="28"/>
        <v>-31.354792590000006</v>
      </c>
      <c r="R19" s="173">
        <f t="shared" si="28"/>
        <v>-14.13405231</v>
      </c>
      <c r="S19" s="173">
        <f t="shared" si="28"/>
        <v>-42.414322939999998</v>
      </c>
      <c r="T19" s="185"/>
      <c r="U19" s="172" t="s">
        <v>429</v>
      </c>
      <c r="V19" s="194">
        <f t="shared" si="18"/>
        <v>-12.51138377</v>
      </c>
      <c r="W19" s="194">
        <f t="shared" si="19"/>
        <v>-23.934762329999995</v>
      </c>
      <c r="X19" s="194">
        <f t="shared" si="20"/>
        <v>-10.64597161</v>
      </c>
      <c r="Y19" s="194">
        <f t="shared" si="21"/>
        <v>-35.16891780000001</v>
      </c>
      <c r="Z19" s="173">
        <f t="shared" ref="Z19:AA39" si="29">F19</f>
        <v>-14.13405231</v>
      </c>
      <c r="AA19" s="173">
        <f t="shared" si="29"/>
        <v>-42.414322939999998</v>
      </c>
      <c r="AB19" s="174">
        <f>H19</f>
        <v>2.1631425600000007</v>
      </c>
      <c r="AC19" s="174">
        <f t="shared" si="22"/>
        <v>2.8946100399999928</v>
      </c>
      <c r="AD19" s="174">
        <f t="shared" si="23"/>
        <v>1.2694293600000019</v>
      </c>
      <c r="AE19" s="174">
        <f t="shared" si="24"/>
        <v>3.8141252100000038</v>
      </c>
      <c r="AF19" s="174">
        <f t="shared" si="25"/>
        <v>0</v>
      </c>
      <c r="AG19" s="174">
        <f t="shared" si="26"/>
        <v>0</v>
      </c>
      <c r="AH19" s="173">
        <f t="shared" ref="AH19:AH39" si="30">N19</f>
        <v>-10.348241209999999</v>
      </c>
      <c r="AI19" s="173">
        <f t="shared" si="27"/>
        <v>-21.040152290000002</v>
      </c>
      <c r="AJ19" s="173">
        <f t="shared" si="27"/>
        <v>-9.3765422499999982</v>
      </c>
      <c r="AK19" s="173">
        <f t="shared" si="27"/>
        <v>-31.354792590000006</v>
      </c>
      <c r="AL19" s="173">
        <f t="shared" si="27"/>
        <v>-14.13405231</v>
      </c>
      <c r="AM19" s="173">
        <f t="shared" si="27"/>
        <v>-42.414322939999998</v>
      </c>
    </row>
    <row r="20" spans="1:39" ht="19.5" customHeight="1">
      <c r="A20" s="178" t="s">
        <v>113</v>
      </c>
      <c r="B20" s="173">
        <v>-315.79612026000001</v>
      </c>
      <c r="C20" s="173">
        <v>-314.28199521999989</v>
      </c>
      <c r="D20" s="173">
        <v>-333.73289009000007</v>
      </c>
      <c r="E20" s="173">
        <v>-324.61201198000015</v>
      </c>
      <c r="F20" s="173">
        <v>-313.66575378000005</v>
      </c>
      <c r="G20" s="173">
        <v>-295.62492523999987</v>
      </c>
      <c r="H20" s="174"/>
      <c r="I20" s="174"/>
      <c r="J20" s="174"/>
      <c r="K20" s="174"/>
      <c r="L20" s="174"/>
      <c r="M20" s="174"/>
      <c r="N20" s="173">
        <f t="shared" si="28"/>
        <v>-315.79612026000001</v>
      </c>
      <c r="O20" s="173">
        <f t="shared" si="28"/>
        <v>-314.28199521999989</v>
      </c>
      <c r="P20" s="173">
        <f t="shared" si="28"/>
        <v>-333.73289009000007</v>
      </c>
      <c r="Q20" s="173">
        <f t="shared" si="28"/>
        <v>-324.61201198000015</v>
      </c>
      <c r="R20" s="173">
        <f t="shared" si="28"/>
        <v>-313.66575378000005</v>
      </c>
      <c r="S20" s="173">
        <f t="shared" si="28"/>
        <v>-295.62492523999987</v>
      </c>
      <c r="T20" s="185"/>
      <c r="U20" s="172" t="s">
        <v>430</v>
      </c>
      <c r="V20" s="194">
        <f t="shared" si="18"/>
        <v>-315.79612026000001</v>
      </c>
      <c r="W20" s="194">
        <f t="shared" si="19"/>
        <v>-314.28199521999989</v>
      </c>
      <c r="X20" s="194">
        <f t="shared" si="20"/>
        <v>-333.73289009000007</v>
      </c>
      <c r="Y20" s="194">
        <f t="shared" si="21"/>
        <v>-324.61201198000015</v>
      </c>
      <c r="Z20" s="173">
        <f t="shared" si="29"/>
        <v>-313.66575378000005</v>
      </c>
      <c r="AA20" s="173">
        <f t="shared" si="29"/>
        <v>-295.62492523999987</v>
      </c>
      <c r="AB20" s="174"/>
      <c r="AC20" s="174"/>
      <c r="AD20" s="174"/>
      <c r="AE20" s="174"/>
      <c r="AF20" s="174"/>
      <c r="AG20" s="174"/>
      <c r="AH20" s="173">
        <f t="shared" si="30"/>
        <v>-315.79612026000001</v>
      </c>
      <c r="AI20" s="173">
        <f t="shared" si="27"/>
        <v>-314.28199521999989</v>
      </c>
      <c r="AJ20" s="173">
        <f t="shared" si="27"/>
        <v>-333.73289009000007</v>
      </c>
      <c r="AK20" s="173">
        <f t="shared" si="27"/>
        <v>-324.61201198000015</v>
      </c>
      <c r="AL20" s="173">
        <f t="shared" si="27"/>
        <v>-313.66575378000005</v>
      </c>
      <c r="AM20" s="173">
        <f t="shared" si="27"/>
        <v>-295.62492523999987</v>
      </c>
    </row>
    <row r="21" spans="1:39" ht="19.5" customHeight="1">
      <c r="A21" s="178" t="s">
        <v>111</v>
      </c>
      <c r="B21" s="173">
        <v>-170.68802073000001</v>
      </c>
      <c r="C21" s="173">
        <v>-104.54551622000012</v>
      </c>
      <c r="D21" s="173">
        <v>-111.02046506000005</v>
      </c>
      <c r="E21" s="173">
        <v>-111.89738584000071</v>
      </c>
      <c r="F21" s="173">
        <v>-142.21388904000008</v>
      </c>
      <c r="G21" s="173">
        <v>-129.47761344000014</v>
      </c>
      <c r="H21" s="174"/>
      <c r="I21" s="174"/>
      <c r="J21" s="174"/>
      <c r="K21" s="174"/>
      <c r="L21" s="174"/>
      <c r="M21" s="174"/>
      <c r="N21" s="173">
        <f t="shared" si="28"/>
        <v>-170.68802073000001</v>
      </c>
      <c r="O21" s="173">
        <f t="shared" si="28"/>
        <v>-104.54551622000012</v>
      </c>
      <c r="P21" s="173">
        <f t="shared" si="28"/>
        <v>-111.02046506000005</v>
      </c>
      <c r="Q21" s="173">
        <f t="shared" si="28"/>
        <v>-111.89738584000071</v>
      </c>
      <c r="R21" s="173">
        <f t="shared" si="28"/>
        <v>-142.21388904000008</v>
      </c>
      <c r="S21" s="173">
        <f t="shared" si="28"/>
        <v>-129.47761344000014</v>
      </c>
      <c r="T21" s="185"/>
      <c r="U21" s="172" t="s">
        <v>431</v>
      </c>
      <c r="V21" s="194">
        <f t="shared" si="18"/>
        <v>-170.68802073000001</v>
      </c>
      <c r="W21" s="194">
        <f t="shared" si="19"/>
        <v>-104.54551622000012</v>
      </c>
      <c r="X21" s="194">
        <f t="shared" si="20"/>
        <v>-111.02046506000005</v>
      </c>
      <c r="Y21" s="194">
        <f t="shared" si="21"/>
        <v>-111.89738584000071</v>
      </c>
      <c r="Z21" s="173">
        <f t="shared" si="29"/>
        <v>-142.21388904000008</v>
      </c>
      <c r="AA21" s="173">
        <f t="shared" si="29"/>
        <v>-129.47761344000014</v>
      </c>
      <c r="AB21" s="174"/>
      <c r="AC21" s="174"/>
      <c r="AD21" s="174"/>
      <c r="AE21" s="174"/>
      <c r="AF21" s="174"/>
      <c r="AG21" s="174"/>
      <c r="AH21" s="173">
        <f t="shared" si="30"/>
        <v>-170.68802073000001</v>
      </c>
      <c r="AI21" s="173">
        <f t="shared" si="27"/>
        <v>-104.54551622000012</v>
      </c>
      <c r="AJ21" s="173">
        <f t="shared" si="27"/>
        <v>-111.02046506000005</v>
      </c>
      <c r="AK21" s="173">
        <f t="shared" si="27"/>
        <v>-111.89738584000071</v>
      </c>
      <c r="AL21" s="173">
        <f t="shared" si="27"/>
        <v>-142.21388904000008</v>
      </c>
      <c r="AM21" s="173">
        <f t="shared" si="27"/>
        <v>-129.47761344000014</v>
      </c>
    </row>
    <row r="22" spans="1:39" ht="19.5" customHeight="1">
      <c r="A22" s="178" t="s">
        <v>114</v>
      </c>
      <c r="B22" s="173">
        <v>-43.557746540000004</v>
      </c>
      <c r="C22" s="173">
        <v>-42.070356869999998</v>
      </c>
      <c r="D22" s="173">
        <v>-43.206447609999984</v>
      </c>
      <c r="E22" s="173">
        <v>-52.916201100000023</v>
      </c>
      <c r="F22" s="173">
        <v>-64.708206419999996</v>
      </c>
      <c r="G22" s="173">
        <v>-62.231260379999988</v>
      </c>
      <c r="H22" s="174">
        <v>-11.920710649999997</v>
      </c>
      <c r="I22" s="174">
        <v>-12.360940960000015</v>
      </c>
      <c r="J22" s="174">
        <v>-5.0858356900000317</v>
      </c>
      <c r="K22" s="174">
        <v>-8.099795539999981</v>
      </c>
      <c r="L22" s="174">
        <v>-9.984239830000007</v>
      </c>
      <c r="M22" s="174">
        <v>-5.5780339400000045</v>
      </c>
      <c r="N22" s="173">
        <f t="shared" si="28"/>
        <v>-55.47845719</v>
      </c>
      <c r="O22" s="173">
        <f t="shared" si="28"/>
        <v>-54.431297830000013</v>
      </c>
      <c r="P22" s="173">
        <f t="shared" si="28"/>
        <v>-48.292283300000015</v>
      </c>
      <c r="Q22" s="173">
        <f t="shared" si="28"/>
        <v>-61.015996640000004</v>
      </c>
      <c r="R22" s="173">
        <f t="shared" si="28"/>
        <v>-74.692446250000003</v>
      </c>
      <c r="S22" s="173">
        <f t="shared" si="28"/>
        <v>-67.809294319999992</v>
      </c>
      <c r="T22" s="185"/>
      <c r="U22" s="172" t="s">
        <v>432</v>
      </c>
      <c r="V22" s="194">
        <f t="shared" si="18"/>
        <v>-43.557746540000004</v>
      </c>
      <c r="W22" s="194">
        <f t="shared" si="19"/>
        <v>-42.070356869999998</v>
      </c>
      <c r="X22" s="194">
        <f t="shared" si="20"/>
        <v>-43.206447609999984</v>
      </c>
      <c r="Y22" s="194">
        <f t="shared" si="21"/>
        <v>-52.916201100000023</v>
      </c>
      <c r="Z22" s="173">
        <f t="shared" si="29"/>
        <v>-64.708206419999996</v>
      </c>
      <c r="AA22" s="173">
        <f t="shared" si="29"/>
        <v>-62.231260379999988</v>
      </c>
      <c r="AB22" s="174">
        <f>H22</f>
        <v>-11.920710649999997</v>
      </c>
      <c r="AC22" s="174">
        <f t="shared" si="22"/>
        <v>-12.360940960000015</v>
      </c>
      <c r="AD22" s="174">
        <f t="shared" si="23"/>
        <v>-5.0858356900000317</v>
      </c>
      <c r="AE22" s="174">
        <f t="shared" si="24"/>
        <v>-8.099795539999981</v>
      </c>
      <c r="AF22" s="174">
        <f t="shared" si="25"/>
        <v>-9.984239830000007</v>
      </c>
      <c r="AG22" s="174">
        <f t="shared" si="26"/>
        <v>-5.5780339400000045</v>
      </c>
      <c r="AH22" s="173">
        <f t="shared" si="30"/>
        <v>-55.47845719</v>
      </c>
      <c r="AI22" s="173">
        <f t="shared" si="27"/>
        <v>-54.431297830000013</v>
      </c>
      <c r="AJ22" s="173">
        <f t="shared" si="27"/>
        <v>-48.292283300000015</v>
      </c>
      <c r="AK22" s="173">
        <f t="shared" si="27"/>
        <v>-61.015996640000004</v>
      </c>
      <c r="AL22" s="173">
        <f t="shared" si="27"/>
        <v>-74.692446250000003</v>
      </c>
      <c r="AM22" s="173">
        <f t="shared" si="27"/>
        <v>-67.809294319999992</v>
      </c>
    </row>
    <row r="23" spans="1:39" ht="19.5" customHeight="1">
      <c r="A23" s="178" t="s">
        <v>115</v>
      </c>
      <c r="B23" s="173">
        <v>-8.6667297499999982</v>
      </c>
      <c r="C23" s="173">
        <v>-11.147129549999999</v>
      </c>
      <c r="D23" s="173">
        <v>-9.4097352700000059</v>
      </c>
      <c r="E23" s="173">
        <v>-26.689851169999997</v>
      </c>
      <c r="F23" s="173">
        <v>-23.230721830000004</v>
      </c>
      <c r="G23" s="173">
        <v>-38.566884420000001</v>
      </c>
      <c r="H23" s="174">
        <v>-2.4186791600000017</v>
      </c>
      <c r="I23" s="174">
        <v>-1.8919719600000047</v>
      </c>
      <c r="J23" s="174">
        <v>-4.2405232799999926</v>
      </c>
      <c r="K23" s="174">
        <v>-8.6878724599999941</v>
      </c>
      <c r="L23" s="174">
        <v>1.0716128500000082</v>
      </c>
      <c r="M23" s="174">
        <v>0.12547638000000916</v>
      </c>
      <c r="N23" s="173">
        <f t="shared" si="28"/>
        <v>-11.08540891</v>
      </c>
      <c r="O23" s="173">
        <f t="shared" si="28"/>
        <v>-13.039101510000004</v>
      </c>
      <c r="P23" s="173">
        <f t="shared" si="28"/>
        <v>-13.650258549999998</v>
      </c>
      <c r="Q23" s="173">
        <f t="shared" si="28"/>
        <v>-35.377723629999991</v>
      </c>
      <c r="R23" s="173">
        <f t="shared" si="28"/>
        <v>-22.159108979999996</v>
      </c>
      <c r="S23" s="173">
        <f t="shared" si="28"/>
        <v>-38.441408039999992</v>
      </c>
      <c r="T23" s="185"/>
      <c r="U23" s="172" t="s">
        <v>433</v>
      </c>
      <c r="V23" s="194">
        <f t="shared" si="18"/>
        <v>-8.6667297499999982</v>
      </c>
      <c r="W23" s="194">
        <f t="shared" si="19"/>
        <v>-11.147129549999999</v>
      </c>
      <c r="X23" s="194">
        <f t="shared" si="20"/>
        <v>-9.4097352700000059</v>
      </c>
      <c r="Y23" s="194">
        <f t="shared" si="21"/>
        <v>-26.689851169999997</v>
      </c>
      <c r="Z23" s="173">
        <f t="shared" si="29"/>
        <v>-23.230721830000004</v>
      </c>
      <c r="AA23" s="173">
        <f t="shared" si="29"/>
        <v>-38.566884420000001</v>
      </c>
      <c r="AB23" s="174">
        <f>H23</f>
        <v>-2.4186791600000017</v>
      </c>
      <c r="AC23" s="174">
        <f t="shared" si="22"/>
        <v>-1.8919719600000047</v>
      </c>
      <c r="AD23" s="174">
        <f t="shared" si="23"/>
        <v>-4.2405232799999926</v>
      </c>
      <c r="AE23" s="174">
        <f t="shared" si="24"/>
        <v>-8.6878724599999941</v>
      </c>
      <c r="AF23" s="174">
        <f t="shared" si="25"/>
        <v>1.0716128500000082</v>
      </c>
      <c r="AG23" s="174">
        <f t="shared" si="26"/>
        <v>0.12547638000000916</v>
      </c>
      <c r="AH23" s="173">
        <f t="shared" si="30"/>
        <v>-11.08540891</v>
      </c>
      <c r="AI23" s="173">
        <f t="shared" si="27"/>
        <v>-13.039101510000004</v>
      </c>
      <c r="AJ23" s="173">
        <f t="shared" si="27"/>
        <v>-13.650258549999998</v>
      </c>
      <c r="AK23" s="173">
        <f t="shared" si="27"/>
        <v>-35.377723629999991</v>
      </c>
      <c r="AL23" s="173">
        <f t="shared" si="27"/>
        <v>-22.159108979999996</v>
      </c>
      <c r="AM23" s="173">
        <f t="shared" si="27"/>
        <v>-38.441408039999992</v>
      </c>
    </row>
    <row r="24" spans="1:39" ht="19.5" customHeight="1">
      <c r="A24" s="169" t="s">
        <v>116</v>
      </c>
      <c r="B24" s="170">
        <f t="shared" ref="B24:S24" si="31">SUM(B25:B32)</f>
        <v>-1121.9240060699999</v>
      </c>
      <c r="C24" s="170">
        <f t="shared" si="31"/>
        <v>-1137.7856181900002</v>
      </c>
      <c r="D24" s="170">
        <f t="shared" si="31"/>
        <v>-1334.8135172200002</v>
      </c>
      <c r="E24" s="170">
        <f t="shared" si="31"/>
        <v>-1693.0124901200004</v>
      </c>
      <c r="F24" s="170">
        <f t="shared" si="31"/>
        <v>-1173.2661543899999</v>
      </c>
      <c r="G24" s="170">
        <f>SUM(G25:G32)</f>
        <v>-1155.37581866</v>
      </c>
      <c r="H24" s="171">
        <f t="shared" si="31"/>
        <v>266.83525541514723</v>
      </c>
      <c r="I24" s="171">
        <f t="shared" si="31"/>
        <v>237.76602868297488</v>
      </c>
      <c r="J24" s="171">
        <f t="shared" si="31"/>
        <v>269.83138104249008</v>
      </c>
      <c r="K24" s="171">
        <f t="shared" si="31"/>
        <v>257.07045829230663</v>
      </c>
      <c r="L24" s="171">
        <f t="shared" si="31"/>
        <v>266.21968636999998</v>
      </c>
      <c r="M24" s="171">
        <f t="shared" si="31"/>
        <v>245.09324590000003</v>
      </c>
      <c r="N24" s="170">
        <f t="shared" si="31"/>
        <v>-855.0887506548529</v>
      </c>
      <c r="O24" s="170">
        <f t="shared" si="31"/>
        <v>-900.0195895070251</v>
      </c>
      <c r="P24" s="170">
        <f t="shared" si="31"/>
        <v>-1064.9821361775103</v>
      </c>
      <c r="Q24" s="170">
        <f t="shared" si="31"/>
        <v>-1435.9420318276937</v>
      </c>
      <c r="R24" s="170">
        <f>SUM(R25:R32)</f>
        <v>-907.04646802000013</v>
      </c>
      <c r="S24" s="170">
        <f t="shared" si="31"/>
        <v>-910.28257276000011</v>
      </c>
      <c r="T24" s="187"/>
      <c r="U24" s="169" t="s">
        <v>434</v>
      </c>
      <c r="V24" s="192">
        <f t="shared" si="18"/>
        <v>-1121.9240060699999</v>
      </c>
      <c r="W24" s="192">
        <f t="shared" si="19"/>
        <v>-1137.7856181900002</v>
      </c>
      <c r="X24" s="192">
        <f t="shared" si="20"/>
        <v>-1334.8135172200002</v>
      </c>
      <c r="Y24" s="192">
        <f t="shared" si="21"/>
        <v>-1693.0124901200004</v>
      </c>
      <c r="Z24" s="170">
        <f t="shared" si="29"/>
        <v>-1173.2661543899999</v>
      </c>
      <c r="AA24" s="170">
        <f t="shared" si="29"/>
        <v>-1155.37581866</v>
      </c>
      <c r="AB24" s="171">
        <f>H24</f>
        <v>266.83525541514723</v>
      </c>
      <c r="AC24" s="171">
        <f t="shared" ref="AC24:AG25" si="32">I24</f>
        <v>237.76602868297488</v>
      </c>
      <c r="AD24" s="171">
        <f t="shared" si="32"/>
        <v>269.83138104249008</v>
      </c>
      <c r="AE24" s="171">
        <f t="shared" si="32"/>
        <v>257.07045829230663</v>
      </c>
      <c r="AF24" s="171">
        <f t="shared" si="32"/>
        <v>266.21968636999998</v>
      </c>
      <c r="AG24" s="171">
        <f t="shared" si="32"/>
        <v>245.09324590000003</v>
      </c>
      <c r="AH24" s="170">
        <f t="shared" si="30"/>
        <v>-855.0887506548529</v>
      </c>
      <c r="AI24" s="170">
        <f t="shared" si="27"/>
        <v>-900.0195895070251</v>
      </c>
      <c r="AJ24" s="170">
        <f t="shared" si="27"/>
        <v>-1064.9821361775103</v>
      </c>
      <c r="AK24" s="170">
        <f t="shared" si="27"/>
        <v>-1435.9420318276937</v>
      </c>
      <c r="AL24" s="170">
        <f t="shared" si="27"/>
        <v>-907.04646802000013</v>
      </c>
      <c r="AM24" s="170">
        <f t="shared" si="27"/>
        <v>-910.28257276000011</v>
      </c>
    </row>
    <row r="25" spans="1:39" ht="19.5" customHeight="1">
      <c r="A25" s="178" t="s">
        <v>117</v>
      </c>
      <c r="B25" s="173">
        <v>-257.9023057</v>
      </c>
      <c r="C25" s="173">
        <v>-273.90799999999996</v>
      </c>
      <c r="D25" s="173">
        <v>-283.86546215000004</v>
      </c>
      <c r="E25" s="173">
        <v>-296.06126008000001</v>
      </c>
      <c r="F25" s="173">
        <v>-291.08499519999992</v>
      </c>
      <c r="G25" s="173">
        <v>-250.79101322</v>
      </c>
      <c r="H25" s="174">
        <v>127.5394879729995</v>
      </c>
      <c r="I25" s="174">
        <v>117.54907087627547</v>
      </c>
      <c r="J25" s="174">
        <v>134.10995130929066</v>
      </c>
      <c r="K25" s="174">
        <v>129.11355291456351</v>
      </c>
      <c r="L25" s="174">
        <v>138.72587425999993</v>
      </c>
      <c r="M25" s="174">
        <v>120.71019150000001</v>
      </c>
      <c r="N25" s="173">
        <f t="shared" ref="N25:S33" si="33">B25+H25</f>
        <v>-130.3628177270005</v>
      </c>
      <c r="O25" s="173">
        <f t="shared" si="33"/>
        <v>-156.35892912372449</v>
      </c>
      <c r="P25" s="173">
        <f t="shared" si="33"/>
        <v>-149.75551084070938</v>
      </c>
      <c r="Q25" s="173">
        <f t="shared" si="33"/>
        <v>-166.9477071654365</v>
      </c>
      <c r="R25" s="173">
        <f t="shared" si="33"/>
        <v>-152.35912094</v>
      </c>
      <c r="S25" s="173">
        <f t="shared" si="33"/>
        <v>-130.08082171999999</v>
      </c>
      <c r="T25" s="185"/>
      <c r="U25" s="172" t="s">
        <v>435</v>
      </c>
      <c r="V25" s="194">
        <f t="shared" ref="V25:V39" si="34">B25</f>
        <v>-257.9023057</v>
      </c>
      <c r="W25" s="194">
        <f t="shared" ref="W25:W39" si="35">C25</f>
        <v>-273.90799999999996</v>
      </c>
      <c r="X25" s="194">
        <f t="shared" ref="X25:X39" si="36">D25</f>
        <v>-283.86546215000004</v>
      </c>
      <c r="Y25" s="194">
        <f t="shared" ref="Y25:Y39" si="37">E25</f>
        <v>-296.06126008000001</v>
      </c>
      <c r="Z25" s="173">
        <f t="shared" si="29"/>
        <v>-291.08499519999992</v>
      </c>
      <c r="AA25" s="173">
        <f t="shared" si="29"/>
        <v>-250.79101322</v>
      </c>
      <c r="AB25" s="174">
        <f>H25</f>
        <v>127.5394879729995</v>
      </c>
      <c r="AC25" s="174">
        <f t="shared" si="32"/>
        <v>117.54907087627547</v>
      </c>
      <c r="AD25" s="174">
        <f t="shared" si="32"/>
        <v>134.10995130929066</v>
      </c>
      <c r="AE25" s="174">
        <f t="shared" si="32"/>
        <v>129.11355291456351</v>
      </c>
      <c r="AF25" s="174">
        <f t="shared" si="32"/>
        <v>138.72587425999993</v>
      </c>
      <c r="AG25" s="174">
        <f t="shared" si="32"/>
        <v>120.71019150000001</v>
      </c>
      <c r="AH25" s="173">
        <f t="shared" si="30"/>
        <v>-130.3628177270005</v>
      </c>
      <c r="AI25" s="173">
        <f t="shared" si="27"/>
        <v>-156.35892912372449</v>
      </c>
      <c r="AJ25" s="173">
        <f t="shared" si="27"/>
        <v>-149.75551084070938</v>
      </c>
      <c r="AK25" s="173">
        <f t="shared" si="27"/>
        <v>-166.9477071654365</v>
      </c>
      <c r="AL25" s="173">
        <f t="shared" si="27"/>
        <v>-152.35912094</v>
      </c>
      <c r="AM25" s="173">
        <f t="shared" si="27"/>
        <v>-130.08082171999999</v>
      </c>
    </row>
    <row r="26" spans="1:39" ht="19.5" customHeight="1">
      <c r="A26" s="178" t="s">
        <v>119</v>
      </c>
      <c r="B26" s="173">
        <v>-194.02970841000001</v>
      </c>
      <c r="C26" s="173">
        <v>-161.06434974999996</v>
      </c>
      <c r="D26" s="173">
        <v>-185.18766313000003</v>
      </c>
      <c r="E26" s="173">
        <v>-222.40392897000001</v>
      </c>
      <c r="F26" s="173">
        <v>-186.44831930999999</v>
      </c>
      <c r="G26" s="173">
        <v>-198.58784840000001</v>
      </c>
      <c r="H26" s="174">
        <v>84.403441731733437</v>
      </c>
      <c r="I26" s="174">
        <v>65.882998248445389</v>
      </c>
      <c r="J26" s="174">
        <v>73.798085219976258</v>
      </c>
      <c r="K26" s="174">
        <v>87.278544207659507</v>
      </c>
      <c r="L26" s="174">
        <v>83.268798169999997</v>
      </c>
      <c r="M26" s="174">
        <v>77.851058500000008</v>
      </c>
      <c r="N26" s="173">
        <f t="shared" si="33"/>
        <v>-109.62626667826657</v>
      </c>
      <c r="O26" s="173">
        <f t="shared" si="33"/>
        <v>-95.181351501554573</v>
      </c>
      <c r="P26" s="173">
        <f t="shared" si="33"/>
        <v>-111.38957791002377</v>
      </c>
      <c r="Q26" s="173">
        <f t="shared" si="33"/>
        <v>-135.1253847623405</v>
      </c>
      <c r="R26" s="173">
        <f t="shared" si="33"/>
        <v>-103.17952113999999</v>
      </c>
      <c r="S26" s="173">
        <f t="shared" si="33"/>
        <v>-120.73678990000001</v>
      </c>
      <c r="T26" s="185"/>
      <c r="U26" s="172" t="s">
        <v>437</v>
      </c>
      <c r="V26" s="194">
        <f t="shared" si="34"/>
        <v>-194.02970841000001</v>
      </c>
      <c r="W26" s="194">
        <f t="shared" si="35"/>
        <v>-161.06434974999996</v>
      </c>
      <c r="X26" s="194">
        <f t="shared" si="36"/>
        <v>-185.18766313000003</v>
      </c>
      <c r="Y26" s="194">
        <f t="shared" si="37"/>
        <v>-222.40392897000001</v>
      </c>
      <c r="Z26" s="173">
        <f t="shared" si="29"/>
        <v>-186.44831930999999</v>
      </c>
      <c r="AA26" s="173">
        <f t="shared" si="29"/>
        <v>-198.58784840000001</v>
      </c>
      <c r="AB26" s="174">
        <f t="shared" ref="AB26:AB37" si="38">H26</f>
        <v>84.403441731733437</v>
      </c>
      <c r="AC26" s="174">
        <f t="shared" ref="AC26:AC37" si="39">I26</f>
        <v>65.882998248445389</v>
      </c>
      <c r="AD26" s="174">
        <f t="shared" ref="AD26:AD37" si="40">J26</f>
        <v>73.798085219976258</v>
      </c>
      <c r="AE26" s="174">
        <f t="shared" ref="AE26:AE37" si="41">K26</f>
        <v>87.278544207659507</v>
      </c>
      <c r="AF26" s="174">
        <f t="shared" ref="AF26:AF37" si="42">L26</f>
        <v>83.268798169999997</v>
      </c>
      <c r="AG26" s="174">
        <f t="shared" ref="AG26:AG37" si="43">M26</f>
        <v>77.851058500000008</v>
      </c>
      <c r="AH26" s="173">
        <f t="shared" si="30"/>
        <v>-109.62626667826657</v>
      </c>
      <c r="AI26" s="173">
        <f t="shared" si="27"/>
        <v>-95.181351501554573</v>
      </c>
      <c r="AJ26" s="173">
        <f t="shared" si="27"/>
        <v>-111.38957791002377</v>
      </c>
      <c r="AK26" s="173">
        <f t="shared" si="27"/>
        <v>-135.1253847623405</v>
      </c>
      <c r="AL26" s="173">
        <f t="shared" si="27"/>
        <v>-103.17952113999999</v>
      </c>
      <c r="AM26" s="173">
        <f t="shared" si="27"/>
        <v>-120.73678990000001</v>
      </c>
    </row>
    <row r="27" spans="1:39" ht="19.5" customHeight="1">
      <c r="A27" s="178" t="s">
        <v>120</v>
      </c>
      <c r="B27" s="173">
        <v>-68.325002690000005</v>
      </c>
      <c r="C27" s="173">
        <v>-77.060999999999993</v>
      </c>
      <c r="D27" s="173">
        <v>-84.286010430000005</v>
      </c>
      <c r="E27" s="173">
        <v>-82.705974070000011</v>
      </c>
      <c r="F27" s="173">
        <v>-73.585860310000015</v>
      </c>
      <c r="G27" s="173">
        <v>-74.091276029999989</v>
      </c>
      <c r="H27" s="174">
        <v>33.507393241610735</v>
      </c>
      <c r="I27" s="174">
        <v>32.094316883150846</v>
      </c>
      <c r="J27" s="174">
        <v>33.871729627816528</v>
      </c>
      <c r="K27" s="174">
        <v>13.946242721793197</v>
      </c>
      <c r="L27" s="174">
        <v>23.769152860000005</v>
      </c>
      <c r="M27" s="174">
        <v>25.897400039999987</v>
      </c>
      <c r="N27" s="173">
        <f t="shared" si="33"/>
        <v>-34.81760944838927</v>
      </c>
      <c r="O27" s="173">
        <f t="shared" si="33"/>
        <v>-44.966683116849147</v>
      </c>
      <c r="P27" s="173">
        <f t="shared" si="33"/>
        <v>-50.414280802183477</v>
      </c>
      <c r="Q27" s="173">
        <f t="shared" si="33"/>
        <v>-68.759731348206813</v>
      </c>
      <c r="R27" s="173">
        <f t="shared" si="33"/>
        <v>-49.81670745000001</v>
      </c>
      <c r="S27" s="173">
        <f t="shared" si="33"/>
        <v>-48.193875990000002</v>
      </c>
      <c r="T27" s="185"/>
      <c r="U27" s="172" t="s">
        <v>438</v>
      </c>
      <c r="V27" s="194">
        <f t="shared" si="34"/>
        <v>-68.325002690000005</v>
      </c>
      <c r="W27" s="194">
        <f t="shared" si="35"/>
        <v>-77.060999999999993</v>
      </c>
      <c r="X27" s="194">
        <f t="shared" si="36"/>
        <v>-84.286010430000005</v>
      </c>
      <c r="Y27" s="194">
        <f t="shared" si="37"/>
        <v>-82.705974070000011</v>
      </c>
      <c r="Z27" s="173">
        <f t="shared" si="29"/>
        <v>-73.585860310000015</v>
      </c>
      <c r="AA27" s="173">
        <f t="shared" si="29"/>
        <v>-74.091276029999989</v>
      </c>
      <c r="AB27" s="174">
        <f t="shared" si="38"/>
        <v>33.507393241610735</v>
      </c>
      <c r="AC27" s="174">
        <f t="shared" si="39"/>
        <v>32.094316883150846</v>
      </c>
      <c r="AD27" s="174">
        <f t="shared" si="40"/>
        <v>33.871729627816528</v>
      </c>
      <c r="AE27" s="174">
        <f t="shared" si="41"/>
        <v>13.946242721793197</v>
      </c>
      <c r="AF27" s="174">
        <f t="shared" si="42"/>
        <v>23.769152860000005</v>
      </c>
      <c r="AG27" s="174">
        <f t="shared" si="43"/>
        <v>25.897400039999987</v>
      </c>
      <c r="AH27" s="173">
        <f t="shared" si="30"/>
        <v>-34.81760944838927</v>
      </c>
      <c r="AI27" s="173">
        <f t="shared" si="27"/>
        <v>-44.966683116849147</v>
      </c>
      <c r="AJ27" s="173">
        <f t="shared" si="27"/>
        <v>-50.414280802183477</v>
      </c>
      <c r="AK27" s="173">
        <f t="shared" si="27"/>
        <v>-68.759731348206813</v>
      </c>
      <c r="AL27" s="173">
        <f t="shared" si="27"/>
        <v>-49.81670745000001</v>
      </c>
      <c r="AM27" s="173">
        <f t="shared" si="27"/>
        <v>-48.193875990000002</v>
      </c>
    </row>
    <row r="28" spans="1:39" ht="19.5" customHeight="1">
      <c r="A28" s="178" t="s">
        <v>104</v>
      </c>
      <c r="B28" s="173">
        <v>-431.60694629</v>
      </c>
      <c r="C28" s="173">
        <v>-442.79796534000013</v>
      </c>
      <c r="D28" s="173">
        <v>-438.98121062000001</v>
      </c>
      <c r="E28" s="173">
        <v>-447.02854084000018</v>
      </c>
      <c r="F28" s="173">
        <v>-433.81184930000006</v>
      </c>
      <c r="G28" s="173">
        <v>-421.26947854999997</v>
      </c>
      <c r="H28" s="174">
        <v>8.3742654439237754</v>
      </c>
      <c r="I28" s="174">
        <v>9.0211502413271205</v>
      </c>
      <c r="J28" s="174">
        <v>13.087229720960579</v>
      </c>
      <c r="K28" s="174">
        <v>14.956422558781469</v>
      </c>
      <c r="L28" s="174">
        <v>15.642656799999997</v>
      </c>
      <c r="M28" s="174">
        <v>15.819702670000027</v>
      </c>
      <c r="N28" s="173">
        <f t="shared" si="33"/>
        <v>-423.23268084607622</v>
      </c>
      <c r="O28" s="173">
        <f t="shared" si="33"/>
        <v>-433.77681509867301</v>
      </c>
      <c r="P28" s="173">
        <f t="shared" si="33"/>
        <v>-425.89398089903943</v>
      </c>
      <c r="Q28" s="173">
        <f t="shared" si="33"/>
        <v>-432.07211828121871</v>
      </c>
      <c r="R28" s="173">
        <f t="shared" si="33"/>
        <v>-418.16919250000007</v>
      </c>
      <c r="S28" s="173">
        <f t="shared" si="33"/>
        <v>-405.44977587999995</v>
      </c>
      <c r="T28" s="185"/>
      <c r="U28" s="172" t="s">
        <v>422</v>
      </c>
      <c r="V28" s="194">
        <f t="shared" si="34"/>
        <v>-431.60694629</v>
      </c>
      <c r="W28" s="194">
        <f t="shared" si="35"/>
        <v>-442.79796534000013</v>
      </c>
      <c r="X28" s="194">
        <f t="shared" si="36"/>
        <v>-438.98121062000001</v>
      </c>
      <c r="Y28" s="194">
        <f t="shared" si="37"/>
        <v>-447.02854084000018</v>
      </c>
      <c r="Z28" s="173">
        <f t="shared" si="29"/>
        <v>-433.81184930000006</v>
      </c>
      <c r="AA28" s="173">
        <f t="shared" si="29"/>
        <v>-421.26947854999997</v>
      </c>
      <c r="AB28" s="174">
        <f t="shared" si="38"/>
        <v>8.3742654439237754</v>
      </c>
      <c r="AC28" s="174">
        <f t="shared" si="39"/>
        <v>9.0211502413271205</v>
      </c>
      <c r="AD28" s="174">
        <f t="shared" si="40"/>
        <v>13.087229720960579</v>
      </c>
      <c r="AE28" s="174">
        <f t="shared" si="41"/>
        <v>14.956422558781469</v>
      </c>
      <c r="AF28" s="174">
        <f t="shared" si="42"/>
        <v>15.642656799999997</v>
      </c>
      <c r="AG28" s="174">
        <f t="shared" si="43"/>
        <v>15.819702670000027</v>
      </c>
      <c r="AH28" s="173">
        <f t="shared" si="30"/>
        <v>-423.23268084607622</v>
      </c>
      <c r="AI28" s="173">
        <f t="shared" si="27"/>
        <v>-433.77681509867301</v>
      </c>
      <c r="AJ28" s="173">
        <f t="shared" si="27"/>
        <v>-425.89398089903943</v>
      </c>
      <c r="AK28" s="173">
        <f t="shared" si="27"/>
        <v>-432.07211828121871</v>
      </c>
      <c r="AL28" s="173">
        <f t="shared" si="27"/>
        <v>-418.16919250000007</v>
      </c>
      <c r="AM28" s="173">
        <f t="shared" si="27"/>
        <v>-405.44977587999995</v>
      </c>
    </row>
    <row r="29" spans="1:39" ht="19.5" customHeight="1">
      <c r="A29" s="178" t="s">
        <v>121</v>
      </c>
      <c r="B29" s="173">
        <v>-24.291351000000002</v>
      </c>
      <c r="C29" s="173">
        <v>-24.545823019999997</v>
      </c>
      <c r="D29" s="173">
        <v>-29.853292800000009</v>
      </c>
      <c r="E29" s="173">
        <v>-36.583689989999975</v>
      </c>
      <c r="F29" s="173">
        <v>-27.15189384</v>
      </c>
      <c r="G29" s="173">
        <v>-57.546772050000001</v>
      </c>
      <c r="H29" s="174">
        <v>13.010667024879789</v>
      </c>
      <c r="I29" s="174">
        <v>13.218492433776083</v>
      </c>
      <c r="J29" s="174">
        <v>14.964385164446051</v>
      </c>
      <c r="K29" s="174">
        <v>11.775695889508924</v>
      </c>
      <c r="L29" s="174">
        <v>5.3719758499999983</v>
      </c>
      <c r="M29" s="174">
        <v>5.1189120699999933</v>
      </c>
      <c r="N29" s="173">
        <f t="shared" si="33"/>
        <v>-11.280683975120214</v>
      </c>
      <c r="O29" s="173">
        <f t="shared" si="33"/>
        <v>-11.327330586223914</v>
      </c>
      <c r="P29" s="173">
        <f t="shared" si="33"/>
        <v>-14.888907635553958</v>
      </c>
      <c r="Q29" s="173">
        <f t="shared" si="33"/>
        <v>-24.807994100491051</v>
      </c>
      <c r="R29" s="173">
        <f t="shared" si="33"/>
        <v>-21.779917990000001</v>
      </c>
      <c r="S29" s="173">
        <f t="shared" si="33"/>
        <v>-52.427859980000008</v>
      </c>
      <c r="T29" s="185"/>
      <c r="U29" s="172" t="s">
        <v>439</v>
      </c>
      <c r="V29" s="194">
        <f t="shared" si="34"/>
        <v>-24.291351000000002</v>
      </c>
      <c r="W29" s="194">
        <f t="shared" si="35"/>
        <v>-24.545823019999997</v>
      </c>
      <c r="X29" s="194">
        <f t="shared" si="36"/>
        <v>-29.853292800000009</v>
      </c>
      <c r="Y29" s="194">
        <f t="shared" si="37"/>
        <v>-36.583689989999975</v>
      </c>
      <c r="Z29" s="173">
        <f t="shared" si="29"/>
        <v>-27.15189384</v>
      </c>
      <c r="AA29" s="173">
        <f t="shared" si="29"/>
        <v>-57.546772050000001</v>
      </c>
      <c r="AB29" s="174">
        <f t="shared" si="38"/>
        <v>13.010667024879789</v>
      </c>
      <c r="AC29" s="174">
        <f t="shared" si="39"/>
        <v>13.218492433776083</v>
      </c>
      <c r="AD29" s="174">
        <f t="shared" si="40"/>
        <v>14.964385164446051</v>
      </c>
      <c r="AE29" s="174">
        <f t="shared" si="41"/>
        <v>11.775695889508924</v>
      </c>
      <c r="AF29" s="174">
        <f t="shared" si="42"/>
        <v>5.3719758499999983</v>
      </c>
      <c r="AG29" s="174">
        <f t="shared" si="43"/>
        <v>5.1189120699999933</v>
      </c>
      <c r="AH29" s="173">
        <f t="shared" si="30"/>
        <v>-11.280683975120214</v>
      </c>
      <c r="AI29" s="173">
        <f t="shared" si="27"/>
        <v>-11.327330586223914</v>
      </c>
      <c r="AJ29" s="173">
        <f t="shared" si="27"/>
        <v>-14.888907635553958</v>
      </c>
      <c r="AK29" s="173">
        <f t="shared" si="27"/>
        <v>-24.807994100491051</v>
      </c>
      <c r="AL29" s="173">
        <f t="shared" si="27"/>
        <v>-21.779917990000001</v>
      </c>
      <c r="AM29" s="173">
        <f t="shared" si="27"/>
        <v>-52.427859980000008</v>
      </c>
    </row>
    <row r="30" spans="1:39" ht="19.5" customHeight="1">
      <c r="A30" s="178" t="s">
        <v>122</v>
      </c>
      <c r="B30" s="173">
        <v>-93.424628080000005</v>
      </c>
      <c r="C30" s="173">
        <v>-130.22509329000002</v>
      </c>
      <c r="D30" s="173">
        <v>-276.64545833000017</v>
      </c>
      <c r="E30" s="173">
        <v>-610.21826337999994</v>
      </c>
      <c r="F30" s="173">
        <v>-142.76672440999999</v>
      </c>
      <c r="G30" s="173">
        <v>-135.45253493999999</v>
      </c>
      <c r="H30" s="174"/>
      <c r="I30" s="174"/>
      <c r="J30" s="174"/>
      <c r="K30" s="174"/>
      <c r="L30" s="174"/>
      <c r="M30" s="174"/>
      <c r="N30" s="173">
        <f t="shared" si="33"/>
        <v>-93.424628080000005</v>
      </c>
      <c r="O30" s="173">
        <f t="shared" si="33"/>
        <v>-130.22509329000002</v>
      </c>
      <c r="P30" s="173">
        <f t="shared" si="33"/>
        <v>-276.64545833000017</v>
      </c>
      <c r="Q30" s="173">
        <f t="shared" si="33"/>
        <v>-610.21826337999994</v>
      </c>
      <c r="R30" s="173">
        <f t="shared" si="33"/>
        <v>-142.76672440999999</v>
      </c>
      <c r="S30" s="173">
        <f t="shared" si="33"/>
        <v>-135.45253493999999</v>
      </c>
      <c r="T30" s="185"/>
      <c r="U30" s="172" t="s">
        <v>440</v>
      </c>
      <c r="V30" s="194">
        <f t="shared" si="34"/>
        <v>-93.424628080000005</v>
      </c>
      <c r="W30" s="194">
        <f t="shared" si="35"/>
        <v>-130.22509329000002</v>
      </c>
      <c r="X30" s="194">
        <f t="shared" si="36"/>
        <v>-276.64545833000017</v>
      </c>
      <c r="Y30" s="194">
        <f t="shared" si="37"/>
        <v>-610.21826337999994</v>
      </c>
      <c r="Z30" s="173">
        <f t="shared" si="29"/>
        <v>-142.76672440999999</v>
      </c>
      <c r="AA30" s="173">
        <f t="shared" si="29"/>
        <v>-135.45253493999999</v>
      </c>
      <c r="AB30" s="174"/>
      <c r="AC30" s="174"/>
      <c r="AD30" s="174"/>
      <c r="AE30" s="174"/>
      <c r="AF30" s="174"/>
      <c r="AG30" s="174"/>
      <c r="AH30" s="173">
        <f t="shared" si="30"/>
        <v>-93.424628080000005</v>
      </c>
      <c r="AI30" s="173">
        <f t="shared" si="27"/>
        <v>-130.22509329000002</v>
      </c>
      <c r="AJ30" s="173">
        <f t="shared" si="27"/>
        <v>-276.64545833000017</v>
      </c>
      <c r="AK30" s="173">
        <f t="shared" si="27"/>
        <v>-610.21826337999994</v>
      </c>
      <c r="AL30" s="173">
        <f t="shared" si="27"/>
        <v>-142.76672440999999</v>
      </c>
      <c r="AM30" s="173">
        <f t="shared" si="27"/>
        <v>-135.45253493999999</v>
      </c>
    </row>
    <row r="31" spans="1:39" ht="19.5" customHeight="1">
      <c r="A31" s="178" t="s">
        <v>670</v>
      </c>
      <c r="B31" s="173">
        <v>-41.859495799999998</v>
      </c>
      <c r="C31" s="173">
        <v>-30.48027355</v>
      </c>
      <c r="D31" s="173">
        <v>-32.768282040000003</v>
      </c>
      <c r="E31" s="173">
        <v>2.3869679599999798</v>
      </c>
      <c r="F31" s="173">
        <v>-16.346570020000005</v>
      </c>
      <c r="G31" s="173">
        <v>-12.73945833000011</v>
      </c>
      <c r="H31" s="174"/>
      <c r="I31" s="174"/>
      <c r="J31" s="174"/>
      <c r="K31" s="174"/>
      <c r="L31" s="174"/>
      <c r="M31" s="174"/>
      <c r="N31" s="173">
        <f t="shared" si="33"/>
        <v>-41.859495799999998</v>
      </c>
      <c r="O31" s="173">
        <f t="shared" si="33"/>
        <v>-30.48027355</v>
      </c>
      <c r="P31" s="173">
        <f t="shared" si="33"/>
        <v>-32.768282040000003</v>
      </c>
      <c r="Q31" s="173">
        <f t="shared" si="33"/>
        <v>2.3869679599999798</v>
      </c>
      <c r="R31" s="173">
        <f t="shared" si="33"/>
        <v>-16.346570020000005</v>
      </c>
      <c r="S31" s="173">
        <f t="shared" si="33"/>
        <v>-12.73945833000011</v>
      </c>
      <c r="T31" s="185"/>
      <c r="U31" s="172" t="s">
        <v>436</v>
      </c>
      <c r="V31" s="194">
        <f t="shared" si="34"/>
        <v>-41.859495799999998</v>
      </c>
      <c r="W31" s="194">
        <f t="shared" si="35"/>
        <v>-30.48027355</v>
      </c>
      <c r="X31" s="194">
        <f t="shared" si="36"/>
        <v>-32.768282040000003</v>
      </c>
      <c r="Y31" s="194">
        <f t="shared" si="37"/>
        <v>2.3869679599999798</v>
      </c>
      <c r="Z31" s="173">
        <f t="shared" si="29"/>
        <v>-16.346570020000005</v>
      </c>
      <c r="AA31" s="173">
        <f t="shared" si="29"/>
        <v>-12.73945833000011</v>
      </c>
      <c r="AB31" s="174"/>
      <c r="AC31" s="174"/>
      <c r="AD31" s="174"/>
      <c r="AE31" s="174"/>
      <c r="AF31" s="174"/>
      <c r="AG31" s="174"/>
      <c r="AH31" s="173">
        <f t="shared" si="30"/>
        <v>-41.859495799999998</v>
      </c>
      <c r="AI31" s="173">
        <f t="shared" si="27"/>
        <v>-30.48027355</v>
      </c>
      <c r="AJ31" s="173">
        <f t="shared" si="27"/>
        <v>-32.768282040000003</v>
      </c>
      <c r="AK31" s="173">
        <f t="shared" si="27"/>
        <v>2.3869679599999798</v>
      </c>
      <c r="AL31" s="173">
        <f t="shared" si="27"/>
        <v>-16.346570020000005</v>
      </c>
      <c r="AM31" s="173">
        <f t="shared" si="27"/>
        <v>-12.73945833000011</v>
      </c>
    </row>
    <row r="32" spans="1:39" ht="19.5" customHeight="1">
      <c r="A32" s="178" t="s">
        <v>123</v>
      </c>
      <c r="B32" s="173">
        <v>-10.484568100000001</v>
      </c>
      <c r="C32" s="173">
        <v>2.2968867599999956</v>
      </c>
      <c r="D32" s="173">
        <v>-3.2261377200000028</v>
      </c>
      <c r="E32" s="173">
        <v>-0.39780075000000492</v>
      </c>
      <c r="F32" s="173">
        <v>-2.0699419999999997</v>
      </c>
      <c r="G32" s="173">
        <v>-4.8974371400000019</v>
      </c>
      <c r="H32" s="174"/>
      <c r="I32" s="174"/>
      <c r="J32" s="174"/>
      <c r="K32" s="174"/>
      <c r="L32" s="174">
        <f>-[1]DRE_EX_AJUSTE!M32</f>
        <v>-0.55877156999999977</v>
      </c>
      <c r="M32" s="174">
        <f>-[1]DRE_EX_AJUSTE!N32</f>
        <v>-0.30401887999999921</v>
      </c>
      <c r="N32" s="173">
        <f t="shared" si="33"/>
        <v>-10.484568100000001</v>
      </c>
      <c r="O32" s="173">
        <f t="shared" si="33"/>
        <v>2.2968867599999956</v>
      </c>
      <c r="P32" s="173">
        <f t="shared" si="33"/>
        <v>-3.2261377200000028</v>
      </c>
      <c r="Q32" s="173">
        <f t="shared" si="33"/>
        <v>-0.39780075000000492</v>
      </c>
      <c r="R32" s="173">
        <f t="shared" si="33"/>
        <v>-2.6287135699999995</v>
      </c>
      <c r="S32" s="173">
        <f t="shared" si="33"/>
        <v>-5.2014560200000011</v>
      </c>
      <c r="T32" s="185"/>
      <c r="U32" s="172" t="s">
        <v>441</v>
      </c>
      <c r="V32" s="194">
        <f t="shared" si="34"/>
        <v>-10.484568100000001</v>
      </c>
      <c r="W32" s="194">
        <f t="shared" si="35"/>
        <v>2.2968867599999956</v>
      </c>
      <c r="X32" s="194">
        <f t="shared" si="36"/>
        <v>-3.2261377200000028</v>
      </c>
      <c r="Y32" s="194">
        <f t="shared" si="37"/>
        <v>-0.39780075000000492</v>
      </c>
      <c r="Z32" s="173">
        <f t="shared" si="29"/>
        <v>-2.0699419999999997</v>
      </c>
      <c r="AA32" s="173">
        <f t="shared" si="29"/>
        <v>-4.8974371400000019</v>
      </c>
      <c r="AB32" s="174"/>
      <c r="AC32" s="174"/>
      <c r="AD32" s="174"/>
      <c r="AE32" s="174"/>
      <c r="AF32" s="174">
        <f t="shared" si="42"/>
        <v>-0.55877156999999977</v>
      </c>
      <c r="AG32" s="174">
        <f t="shared" si="43"/>
        <v>-0.30401887999999921</v>
      </c>
      <c r="AH32" s="173">
        <f t="shared" si="30"/>
        <v>-10.484568100000001</v>
      </c>
      <c r="AI32" s="173">
        <f t="shared" si="27"/>
        <v>2.2968867599999956</v>
      </c>
      <c r="AJ32" s="173">
        <f t="shared" si="27"/>
        <v>-3.2261377200000028</v>
      </c>
      <c r="AK32" s="173">
        <f t="shared" si="27"/>
        <v>-0.39780075000000492</v>
      </c>
      <c r="AL32" s="173">
        <f t="shared" si="27"/>
        <v>-2.6287135699999995</v>
      </c>
      <c r="AM32" s="173">
        <f t="shared" si="27"/>
        <v>-5.2014560200000011</v>
      </c>
    </row>
    <row r="33" spans="1:39" ht="19.5" customHeight="1">
      <c r="A33" s="172" t="s">
        <v>124</v>
      </c>
      <c r="B33" s="173">
        <v>12.233304779998253</v>
      </c>
      <c r="C33" s="173">
        <v>26.217381840002101</v>
      </c>
      <c r="D33" s="173">
        <v>38.827688982450624</v>
      </c>
      <c r="E33" s="173">
        <v>-35.158904174490424</v>
      </c>
      <c r="F33" s="173">
        <v>27.189132661055542</v>
      </c>
      <c r="G33" s="173">
        <v>66.464305688944577</v>
      </c>
      <c r="H33" s="174">
        <f>-[1]DRE_EX_AJUSTE!I33</f>
        <v>0.89141598344338036</v>
      </c>
      <c r="I33" s="174">
        <f>-[1]DRE_EX_AJUSTE!J33</f>
        <v>0.35133321174879484</v>
      </c>
      <c r="J33" s="174">
        <f>-[1]DRE_EX_AJUSTE!K33</f>
        <v>-0.11092430872321302</v>
      </c>
      <c r="K33" s="174">
        <f>-[1]DRE_EX_AJUSTE!L33</f>
        <v>-3.4947583458233566E-6</v>
      </c>
      <c r="L33" s="174"/>
      <c r="M33" s="174"/>
      <c r="N33" s="173">
        <f>B33+H33</f>
        <v>13.124720763441633</v>
      </c>
      <c r="O33" s="173">
        <f t="shared" si="33"/>
        <v>26.568715051750896</v>
      </c>
      <c r="P33" s="173">
        <f t="shared" si="33"/>
        <v>38.716764673727411</v>
      </c>
      <c r="Q33" s="173">
        <f t="shared" si="33"/>
        <v>-35.158907669248769</v>
      </c>
      <c r="R33" s="173">
        <f t="shared" si="33"/>
        <v>27.189132661055542</v>
      </c>
      <c r="S33" s="173">
        <f t="shared" si="33"/>
        <v>66.464305688944577</v>
      </c>
      <c r="T33" s="185"/>
      <c r="U33" s="172" t="s">
        <v>442</v>
      </c>
      <c r="V33" s="194">
        <f t="shared" si="34"/>
        <v>12.233304779998253</v>
      </c>
      <c r="W33" s="194">
        <f t="shared" si="35"/>
        <v>26.217381840002101</v>
      </c>
      <c r="X33" s="194">
        <f t="shared" si="36"/>
        <v>38.827688982450624</v>
      </c>
      <c r="Y33" s="194">
        <f t="shared" si="37"/>
        <v>-35.158904174490424</v>
      </c>
      <c r="Z33" s="173">
        <f t="shared" si="29"/>
        <v>27.189132661055542</v>
      </c>
      <c r="AA33" s="173">
        <f t="shared" si="29"/>
        <v>66.464305688944577</v>
      </c>
      <c r="AB33" s="174">
        <f t="shared" si="38"/>
        <v>0.89141598344338036</v>
      </c>
      <c r="AC33" s="174">
        <f t="shared" si="39"/>
        <v>0.35133321174879484</v>
      </c>
      <c r="AD33" s="174">
        <f t="shared" si="40"/>
        <v>-0.11092430872321302</v>
      </c>
      <c r="AE33" s="174">
        <f t="shared" si="41"/>
        <v>-3.4947583458233566E-6</v>
      </c>
      <c r="AF33" s="174"/>
      <c r="AG33" s="174"/>
      <c r="AH33" s="173">
        <f t="shared" si="30"/>
        <v>13.124720763441633</v>
      </c>
      <c r="AI33" s="173">
        <f t="shared" si="27"/>
        <v>26.568715051750896</v>
      </c>
      <c r="AJ33" s="173">
        <f t="shared" si="27"/>
        <v>38.716764673727411</v>
      </c>
      <c r="AK33" s="173">
        <f t="shared" si="27"/>
        <v>-35.158907669248769</v>
      </c>
      <c r="AL33" s="173">
        <f t="shared" si="27"/>
        <v>27.189132661055542</v>
      </c>
      <c r="AM33" s="173">
        <f t="shared" si="27"/>
        <v>66.464305688944577</v>
      </c>
    </row>
    <row r="34" spans="1:39" ht="19.5" customHeight="1">
      <c r="A34" s="172" t="s">
        <v>126</v>
      </c>
      <c r="B34" s="173">
        <f t="shared" ref="B34:G34" si="44">+B33+B24+B18+B6+B11</f>
        <v>413.57941378999749</v>
      </c>
      <c r="C34" s="173">
        <f t="shared" si="44"/>
        <v>380.84183831999962</v>
      </c>
      <c r="D34" s="173">
        <f t="shared" si="44"/>
        <v>169.92996455245247</v>
      </c>
      <c r="E34" s="173">
        <f t="shared" si="44"/>
        <v>493.36146416552037</v>
      </c>
      <c r="F34" s="173">
        <f t="shared" si="44"/>
        <v>433.17020907105598</v>
      </c>
      <c r="G34" s="173">
        <f t="shared" si="44"/>
        <v>151.09751851894453</v>
      </c>
      <c r="H34" s="174">
        <v>0</v>
      </c>
      <c r="I34" s="174">
        <v>0</v>
      </c>
      <c r="J34" s="174">
        <v>0</v>
      </c>
      <c r="K34" s="174">
        <v>0</v>
      </c>
      <c r="L34" s="174">
        <v>0</v>
      </c>
      <c r="M34" s="174">
        <v>0</v>
      </c>
      <c r="N34" s="173">
        <f t="shared" ref="N34:S34" si="45">+N33+N24+N18+N6+N11</f>
        <v>413.57941381999626</v>
      </c>
      <c r="O34" s="173">
        <f t="shared" si="45"/>
        <v>380.84183819999998</v>
      </c>
      <c r="P34" s="173">
        <f t="shared" si="45"/>
        <v>169.93092807245284</v>
      </c>
      <c r="Q34" s="173">
        <f t="shared" si="45"/>
        <v>493.36064614551924</v>
      </c>
      <c r="R34" s="173">
        <f t="shared" si="45"/>
        <v>433.17020907105507</v>
      </c>
      <c r="S34" s="173">
        <f t="shared" si="45"/>
        <v>151.09725943894409</v>
      </c>
      <c r="T34" s="185"/>
      <c r="U34" s="172" t="s">
        <v>444</v>
      </c>
      <c r="V34" s="194">
        <f t="shared" si="34"/>
        <v>413.57941378999749</v>
      </c>
      <c r="W34" s="194">
        <f t="shared" si="35"/>
        <v>380.84183831999962</v>
      </c>
      <c r="X34" s="194">
        <f t="shared" si="36"/>
        <v>169.92996455245247</v>
      </c>
      <c r="Y34" s="194">
        <f t="shared" si="37"/>
        <v>493.36146416552037</v>
      </c>
      <c r="Z34" s="173">
        <f t="shared" si="29"/>
        <v>433.17020907105598</v>
      </c>
      <c r="AA34" s="173">
        <f t="shared" si="29"/>
        <v>151.09751851894453</v>
      </c>
      <c r="AB34" s="174">
        <f t="shared" si="38"/>
        <v>0</v>
      </c>
      <c r="AC34" s="174">
        <f t="shared" si="39"/>
        <v>0</v>
      </c>
      <c r="AD34" s="174">
        <f t="shared" si="40"/>
        <v>0</v>
      </c>
      <c r="AE34" s="174">
        <f t="shared" si="41"/>
        <v>0</v>
      </c>
      <c r="AF34" s="174">
        <f t="shared" si="42"/>
        <v>0</v>
      </c>
      <c r="AG34" s="174">
        <f t="shared" si="43"/>
        <v>0</v>
      </c>
      <c r="AH34" s="173">
        <f t="shared" si="30"/>
        <v>413.57941381999626</v>
      </c>
      <c r="AI34" s="173">
        <f t="shared" ref="AI34:AI39" si="46">O34</f>
        <v>380.84183819999998</v>
      </c>
      <c r="AJ34" s="173">
        <f t="shared" ref="AJ34:AJ39" si="47">P34</f>
        <v>169.93092807245284</v>
      </c>
      <c r="AK34" s="173">
        <f t="shared" ref="AK34:AK39" si="48">Q34</f>
        <v>493.36064614551924</v>
      </c>
      <c r="AL34" s="173">
        <f t="shared" ref="AL34:AL39" si="49">R34</f>
        <v>433.17020907105507</v>
      </c>
      <c r="AM34" s="173">
        <f t="shared" ref="AM34:AM39" si="50">S34</f>
        <v>151.09725943894409</v>
      </c>
    </row>
    <row r="35" spans="1:39" ht="19.5" customHeight="1">
      <c r="A35" s="178" t="s">
        <v>127</v>
      </c>
      <c r="B35" s="173">
        <v>275.59642198999995</v>
      </c>
      <c r="C35" s="173">
        <v>291.17214192000006</v>
      </c>
      <c r="D35" s="173">
        <v>293.62782961999983</v>
      </c>
      <c r="E35" s="173">
        <v>851.16060647000018</v>
      </c>
      <c r="F35" s="173">
        <v>431.56503799000001</v>
      </c>
      <c r="G35" s="173">
        <v>357.57294054000005</v>
      </c>
      <c r="H35" s="174"/>
      <c r="I35" s="174"/>
      <c r="J35" s="174"/>
      <c r="K35" s="174"/>
      <c r="L35" s="174"/>
      <c r="M35" s="174"/>
      <c r="N35" s="173">
        <f t="shared" ref="N35:S36" si="51">B35+H35</f>
        <v>275.59642198999995</v>
      </c>
      <c r="O35" s="173">
        <f t="shared" si="51"/>
        <v>291.17214192000006</v>
      </c>
      <c r="P35" s="173">
        <f t="shared" si="51"/>
        <v>293.62782961999983</v>
      </c>
      <c r="Q35" s="173">
        <f t="shared" si="51"/>
        <v>851.16060647000018</v>
      </c>
      <c r="R35" s="173">
        <f t="shared" si="51"/>
        <v>431.56503799000001</v>
      </c>
      <c r="S35" s="173">
        <f t="shared" si="51"/>
        <v>357.57294054000005</v>
      </c>
      <c r="T35" s="185"/>
      <c r="U35" s="172" t="s">
        <v>445</v>
      </c>
      <c r="V35" s="194">
        <f t="shared" si="34"/>
        <v>275.59642198999995</v>
      </c>
      <c r="W35" s="194">
        <f t="shared" si="35"/>
        <v>291.17214192000006</v>
      </c>
      <c r="X35" s="194">
        <f t="shared" si="36"/>
        <v>293.62782961999983</v>
      </c>
      <c r="Y35" s="194">
        <f t="shared" si="37"/>
        <v>851.16060647000018</v>
      </c>
      <c r="Z35" s="173">
        <f t="shared" si="29"/>
        <v>431.56503799000001</v>
      </c>
      <c r="AA35" s="173">
        <f t="shared" si="29"/>
        <v>357.57294054000005</v>
      </c>
      <c r="AB35" s="174"/>
      <c r="AC35" s="174"/>
      <c r="AD35" s="174"/>
      <c r="AE35" s="174"/>
      <c r="AF35" s="174"/>
      <c r="AG35" s="174"/>
      <c r="AH35" s="173">
        <f t="shared" si="30"/>
        <v>275.59642198999995</v>
      </c>
      <c r="AI35" s="173">
        <f t="shared" si="46"/>
        <v>291.17214192000006</v>
      </c>
      <c r="AJ35" s="173">
        <f t="shared" si="47"/>
        <v>293.62782961999983</v>
      </c>
      <c r="AK35" s="173">
        <f t="shared" si="48"/>
        <v>851.16060647000018</v>
      </c>
      <c r="AL35" s="173">
        <f t="shared" si="49"/>
        <v>431.56503799000001</v>
      </c>
      <c r="AM35" s="173">
        <f t="shared" si="50"/>
        <v>357.57294054000005</v>
      </c>
    </row>
    <row r="36" spans="1:39" ht="19.5" customHeight="1">
      <c r="A36" s="178" t="s">
        <v>128</v>
      </c>
      <c r="B36" s="173">
        <v>-531.81319064000013</v>
      </c>
      <c r="C36" s="173">
        <v>-522.59285250000016</v>
      </c>
      <c r="D36" s="173">
        <v>-555.31841445999999</v>
      </c>
      <c r="E36" s="173">
        <v>-880.17554239999993</v>
      </c>
      <c r="F36" s="173">
        <v>-743.00341297</v>
      </c>
      <c r="G36" s="173">
        <v>-774.75469802000021</v>
      </c>
      <c r="H36" s="174"/>
      <c r="I36" s="174"/>
      <c r="J36" s="174"/>
      <c r="K36" s="174"/>
      <c r="L36" s="174"/>
      <c r="M36" s="174"/>
      <c r="N36" s="173">
        <f t="shared" si="51"/>
        <v>-531.81319064000013</v>
      </c>
      <c r="O36" s="173">
        <f t="shared" si="51"/>
        <v>-522.59285250000016</v>
      </c>
      <c r="P36" s="173">
        <f t="shared" si="51"/>
        <v>-555.31841445999999</v>
      </c>
      <c r="Q36" s="173">
        <f t="shared" si="51"/>
        <v>-880.17554239999993</v>
      </c>
      <c r="R36" s="173">
        <f t="shared" si="51"/>
        <v>-743.00341297</v>
      </c>
      <c r="S36" s="173">
        <f t="shared" si="51"/>
        <v>-774.75469802000021</v>
      </c>
      <c r="T36" s="185"/>
      <c r="U36" s="172" t="s">
        <v>446</v>
      </c>
      <c r="V36" s="194">
        <f t="shared" si="34"/>
        <v>-531.81319064000013</v>
      </c>
      <c r="W36" s="194">
        <f t="shared" si="35"/>
        <v>-522.59285250000016</v>
      </c>
      <c r="X36" s="194">
        <f t="shared" si="36"/>
        <v>-555.31841445999999</v>
      </c>
      <c r="Y36" s="194">
        <f t="shared" si="37"/>
        <v>-880.17554239999993</v>
      </c>
      <c r="Z36" s="173">
        <f t="shared" si="29"/>
        <v>-743.00341297</v>
      </c>
      <c r="AA36" s="173">
        <f t="shared" si="29"/>
        <v>-774.75469802000021</v>
      </c>
      <c r="AB36" s="174"/>
      <c r="AC36" s="174"/>
      <c r="AD36" s="174"/>
      <c r="AE36" s="174"/>
      <c r="AF36" s="174"/>
      <c r="AG36" s="174"/>
      <c r="AH36" s="173">
        <f t="shared" si="30"/>
        <v>-531.81319064000013</v>
      </c>
      <c r="AI36" s="173">
        <f t="shared" si="46"/>
        <v>-522.59285250000016</v>
      </c>
      <c r="AJ36" s="173">
        <f t="shared" si="47"/>
        <v>-555.31841445999999</v>
      </c>
      <c r="AK36" s="173">
        <f t="shared" si="48"/>
        <v>-880.17554239999993</v>
      </c>
      <c r="AL36" s="173">
        <f t="shared" si="49"/>
        <v>-743.00341297</v>
      </c>
      <c r="AM36" s="173">
        <f t="shared" si="50"/>
        <v>-774.75469802000021</v>
      </c>
    </row>
    <row r="37" spans="1:39" ht="19.5" customHeight="1">
      <c r="A37" s="172" t="s">
        <v>130</v>
      </c>
      <c r="B37" s="173">
        <f>SUM(B34:B36)</f>
        <v>157.36264513999731</v>
      </c>
      <c r="C37" s="173">
        <f>SUM(C34:C36)</f>
        <v>149.42112773999952</v>
      </c>
      <c r="D37" s="173">
        <f>SUM(D34:D36)</f>
        <v>-91.760620287547681</v>
      </c>
      <c r="E37" s="173">
        <f>SUM(E34:E36)</f>
        <v>464.34652823552062</v>
      </c>
      <c r="F37" s="173">
        <f>SUM(F34:F36)</f>
        <v>121.73183409105604</v>
      </c>
      <c r="G37" s="173">
        <f t="shared" ref="G37:S37" si="52">SUM(G34:G36)</f>
        <v>-266.08423896105563</v>
      </c>
      <c r="H37" s="174">
        <f t="shared" si="52"/>
        <v>0</v>
      </c>
      <c r="I37" s="174">
        <f t="shared" si="52"/>
        <v>0</v>
      </c>
      <c r="J37" s="174">
        <f t="shared" si="52"/>
        <v>0</v>
      </c>
      <c r="K37" s="174">
        <f t="shared" si="52"/>
        <v>0</v>
      </c>
      <c r="L37" s="174">
        <f t="shared" si="52"/>
        <v>0</v>
      </c>
      <c r="M37" s="174">
        <f t="shared" si="52"/>
        <v>0</v>
      </c>
      <c r="N37" s="173">
        <f t="shared" si="52"/>
        <v>157.36264516999609</v>
      </c>
      <c r="O37" s="173">
        <f t="shared" si="52"/>
        <v>149.42112761999988</v>
      </c>
      <c r="P37" s="173">
        <f t="shared" si="52"/>
        <v>-91.759656767547312</v>
      </c>
      <c r="Q37" s="173">
        <f t="shared" si="52"/>
        <v>464.34571021551949</v>
      </c>
      <c r="R37" s="173">
        <f t="shared" si="52"/>
        <v>121.73183409105513</v>
      </c>
      <c r="S37" s="173">
        <f t="shared" si="52"/>
        <v>-266.08449804105607</v>
      </c>
      <c r="T37" s="185"/>
      <c r="U37" s="172" t="s">
        <v>448</v>
      </c>
      <c r="V37" s="194">
        <f t="shared" si="34"/>
        <v>157.36264513999731</v>
      </c>
      <c r="W37" s="194">
        <f t="shared" si="35"/>
        <v>149.42112773999952</v>
      </c>
      <c r="X37" s="194">
        <f t="shared" si="36"/>
        <v>-91.760620287547681</v>
      </c>
      <c r="Y37" s="194">
        <f t="shared" si="37"/>
        <v>464.34652823552062</v>
      </c>
      <c r="Z37" s="173">
        <f t="shared" si="29"/>
        <v>121.73183409105604</v>
      </c>
      <c r="AA37" s="173">
        <f t="shared" si="29"/>
        <v>-266.08423896105563</v>
      </c>
      <c r="AB37" s="174">
        <f t="shared" si="38"/>
        <v>0</v>
      </c>
      <c r="AC37" s="174">
        <f t="shared" si="39"/>
        <v>0</v>
      </c>
      <c r="AD37" s="174">
        <f t="shared" si="40"/>
        <v>0</v>
      </c>
      <c r="AE37" s="174">
        <f t="shared" si="41"/>
        <v>0</v>
      </c>
      <c r="AF37" s="174">
        <f t="shared" si="42"/>
        <v>0</v>
      </c>
      <c r="AG37" s="174">
        <f t="shared" si="43"/>
        <v>0</v>
      </c>
      <c r="AH37" s="173">
        <f t="shared" si="30"/>
        <v>157.36264516999609</v>
      </c>
      <c r="AI37" s="173">
        <f t="shared" si="46"/>
        <v>149.42112761999988</v>
      </c>
      <c r="AJ37" s="173">
        <f t="shared" si="47"/>
        <v>-91.759656767547312</v>
      </c>
      <c r="AK37" s="173">
        <f t="shared" si="48"/>
        <v>464.34571021551949</v>
      </c>
      <c r="AL37" s="173">
        <f t="shared" si="49"/>
        <v>121.73183409105513</v>
      </c>
      <c r="AM37" s="173">
        <f t="shared" si="50"/>
        <v>-266.08449804105607</v>
      </c>
    </row>
    <row r="38" spans="1:39" ht="19.5" customHeight="1">
      <c r="A38" s="178" t="s">
        <v>131</v>
      </c>
      <c r="B38" s="173">
        <v>-109.01721049999998</v>
      </c>
      <c r="C38" s="173">
        <v>-84.52793450999998</v>
      </c>
      <c r="D38" s="173">
        <v>-89.67975827000005</v>
      </c>
      <c r="E38" s="173">
        <v>163.97000000000003</v>
      </c>
      <c r="F38" s="173">
        <v>-56.319568610000005</v>
      </c>
      <c r="G38" s="173">
        <v>-44.092349929999997</v>
      </c>
      <c r="H38" s="174"/>
      <c r="I38" s="174"/>
      <c r="J38" s="174"/>
      <c r="K38" s="174"/>
      <c r="L38" s="174"/>
      <c r="M38" s="174"/>
      <c r="N38" s="173">
        <f t="shared" ref="N38:S39" si="53">B38+H38</f>
        <v>-109.01721049999998</v>
      </c>
      <c r="O38" s="173">
        <f t="shared" si="53"/>
        <v>-84.52793450999998</v>
      </c>
      <c r="P38" s="173">
        <f t="shared" si="53"/>
        <v>-89.67975827000005</v>
      </c>
      <c r="Q38" s="173">
        <f t="shared" si="53"/>
        <v>163.97000000000003</v>
      </c>
      <c r="R38" s="173">
        <f t="shared" si="53"/>
        <v>-56.319568610000005</v>
      </c>
      <c r="S38" s="173">
        <f t="shared" si="53"/>
        <v>-44.092349929999997</v>
      </c>
      <c r="T38" s="185"/>
      <c r="U38" s="172" t="s">
        <v>449</v>
      </c>
      <c r="V38" s="194">
        <f t="shared" si="34"/>
        <v>-109.01721049999998</v>
      </c>
      <c r="W38" s="194">
        <f t="shared" si="35"/>
        <v>-84.52793450999998</v>
      </c>
      <c r="X38" s="194">
        <f t="shared" si="36"/>
        <v>-89.67975827000005</v>
      </c>
      <c r="Y38" s="194">
        <f t="shared" si="37"/>
        <v>163.97000000000003</v>
      </c>
      <c r="Z38" s="173">
        <f t="shared" si="29"/>
        <v>-56.319568610000005</v>
      </c>
      <c r="AA38" s="173">
        <f t="shared" si="29"/>
        <v>-44.092349929999997</v>
      </c>
      <c r="AB38" s="174"/>
      <c r="AC38" s="174"/>
      <c r="AD38" s="174"/>
      <c r="AE38" s="174"/>
      <c r="AF38" s="174"/>
      <c r="AG38" s="174"/>
      <c r="AH38" s="173">
        <f t="shared" si="30"/>
        <v>-109.01721049999998</v>
      </c>
      <c r="AI38" s="173">
        <f t="shared" si="46"/>
        <v>-84.52793450999998</v>
      </c>
      <c r="AJ38" s="173">
        <f t="shared" si="47"/>
        <v>-89.67975827000005</v>
      </c>
      <c r="AK38" s="173">
        <f t="shared" si="48"/>
        <v>163.97000000000003</v>
      </c>
      <c r="AL38" s="173">
        <f t="shared" si="49"/>
        <v>-56.319568610000005</v>
      </c>
      <c r="AM38" s="173">
        <f t="shared" si="50"/>
        <v>-44.092349929999997</v>
      </c>
    </row>
    <row r="39" spans="1:39" ht="19.5" customHeight="1">
      <c r="A39" s="178" t="s">
        <v>132</v>
      </c>
      <c r="B39" s="173">
        <v>34.997662649999981</v>
      </c>
      <c r="C39" s="173">
        <v>25.585612490000045</v>
      </c>
      <c r="D39" s="173">
        <v>110.15524109999993</v>
      </c>
      <c r="E39" s="173">
        <v>-460.54999999999995</v>
      </c>
      <c r="F39" s="173">
        <v>-11.129968857799977</v>
      </c>
      <c r="G39" s="173">
        <v>104.34781255860001</v>
      </c>
      <c r="H39" s="174"/>
      <c r="I39" s="174"/>
      <c r="J39" s="174"/>
      <c r="K39" s="174"/>
      <c r="L39" s="174"/>
      <c r="M39" s="174"/>
      <c r="N39" s="173">
        <f t="shared" si="53"/>
        <v>34.997662649999981</v>
      </c>
      <c r="O39" s="173">
        <f t="shared" si="53"/>
        <v>25.585612490000045</v>
      </c>
      <c r="P39" s="173">
        <f t="shared" si="53"/>
        <v>110.15524109999993</v>
      </c>
      <c r="Q39" s="173">
        <f t="shared" si="53"/>
        <v>-460.54999999999995</v>
      </c>
      <c r="R39" s="173">
        <f t="shared" si="53"/>
        <v>-11.129968857799977</v>
      </c>
      <c r="S39" s="173">
        <f t="shared" si="53"/>
        <v>104.34781255860001</v>
      </c>
      <c r="T39" s="185"/>
      <c r="U39" s="172" t="s">
        <v>450</v>
      </c>
      <c r="V39" s="194">
        <f t="shared" si="34"/>
        <v>34.997662649999981</v>
      </c>
      <c r="W39" s="194">
        <f t="shared" si="35"/>
        <v>25.585612490000045</v>
      </c>
      <c r="X39" s="194">
        <f t="shared" si="36"/>
        <v>110.15524109999993</v>
      </c>
      <c r="Y39" s="194">
        <f t="shared" si="37"/>
        <v>-460.54999999999995</v>
      </c>
      <c r="Z39" s="173">
        <f t="shared" si="29"/>
        <v>-11.129968857799977</v>
      </c>
      <c r="AA39" s="173">
        <f t="shared" si="29"/>
        <v>104.34781255860001</v>
      </c>
      <c r="AB39" s="174"/>
      <c r="AC39" s="174"/>
      <c r="AD39" s="174"/>
      <c r="AE39" s="174"/>
      <c r="AF39" s="174"/>
      <c r="AG39" s="174"/>
      <c r="AH39" s="173">
        <f t="shared" si="30"/>
        <v>34.997662649999981</v>
      </c>
      <c r="AI39" s="173">
        <f t="shared" si="46"/>
        <v>25.585612490000045</v>
      </c>
      <c r="AJ39" s="173">
        <f t="shared" si="47"/>
        <v>110.15524109999993</v>
      </c>
      <c r="AK39" s="173">
        <f t="shared" si="48"/>
        <v>-460.54999999999995</v>
      </c>
      <c r="AL39" s="173">
        <f t="shared" si="49"/>
        <v>-11.129968857799977</v>
      </c>
      <c r="AM39" s="173">
        <f t="shared" si="50"/>
        <v>104.34781255860001</v>
      </c>
    </row>
    <row r="40" spans="1:39" ht="15.75" customHeight="1">
      <c r="A40" s="175"/>
      <c r="B40" s="176"/>
      <c r="C40" s="176"/>
      <c r="D40" s="176"/>
      <c r="E40" s="176"/>
      <c r="F40" s="176"/>
      <c r="G40" s="176"/>
      <c r="H40" s="177"/>
      <c r="I40" s="177"/>
      <c r="J40" s="177"/>
      <c r="K40" s="177"/>
      <c r="L40" s="177"/>
      <c r="M40" s="177"/>
      <c r="N40" s="176"/>
      <c r="O40" s="176"/>
      <c r="P40" s="176"/>
      <c r="Q40" s="176"/>
      <c r="R40" s="176"/>
      <c r="S40" s="176"/>
      <c r="T40" s="185"/>
      <c r="U40" s="175"/>
      <c r="V40" s="193"/>
      <c r="W40" s="193"/>
      <c r="X40" s="193"/>
      <c r="Y40" s="193"/>
      <c r="Z40" s="176"/>
      <c r="AA40" s="176"/>
      <c r="AB40" s="177"/>
      <c r="AC40" s="177"/>
      <c r="AD40" s="177"/>
      <c r="AE40" s="177"/>
      <c r="AF40" s="177"/>
      <c r="AG40" s="177"/>
      <c r="AH40" s="176"/>
      <c r="AI40" s="176"/>
      <c r="AJ40" s="176"/>
      <c r="AK40" s="176"/>
      <c r="AL40" s="176"/>
      <c r="AM40" s="176"/>
    </row>
    <row r="41" spans="1:39" ht="19.5" customHeight="1">
      <c r="A41" s="172" t="s">
        <v>671</v>
      </c>
      <c r="B41" s="173">
        <f>SUM(B37:B39)</f>
        <v>83.343097289997317</v>
      </c>
      <c r="C41" s="173">
        <f t="shared" ref="C41:S41" si="54">SUM(C37:C39)</f>
        <v>90.478805719999585</v>
      </c>
      <c r="D41" s="173">
        <f t="shared" si="54"/>
        <v>-71.285137457547791</v>
      </c>
      <c r="E41" s="173">
        <f t="shared" si="54"/>
        <v>167.7665282355207</v>
      </c>
      <c r="F41" s="173">
        <f t="shared" si="54"/>
        <v>54.282296623256059</v>
      </c>
      <c r="G41" s="173">
        <f t="shared" si="54"/>
        <v>-205.82877633245562</v>
      </c>
      <c r="H41" s="174">
        <f t="shared" si="54"/>
        <v>0</v>
      </c>
      <c r="I41" s="174">
        <f t="shared" si="54"/>
        <v>0</v>
      </c>
      <c r="J41" s="174">
        <f t="shared" si="54"/>
        <v>0</v>
      </c>
      <c r="K41" s="174">
        <f t="shared" si="54"/>
        <v>0</v>
      </c>
      <c r="L41" s="174">
        <f t="shared" si="54"/>
        <v>0</v>
      </c>
      <c r="M41" s="174">
        <f t="shared" si="54"/>
        <v>0</v>
      </c>
      <c r="N41" s="173">
        <f t="shared" si="54"/>
        <v>83.34309731999609</v>
      </c>
      <c r="O41" s="173">
        <f t="shared" si="54"/>
        <v>90.478805599999944</v>
      </c>
      <c r="P41" s="173">
        <f t="shared" si="54"/>
        <v>-71.284173937547422</v>
      </c>
      <c r="Q41" s="173">
        <f t="shared" si="54"/>
        <v>167.76571021551956</v>
      </c>
      <c r="R41" s="173">
        <f t="shared" si="54"/>
        <v>54.282296623255149</v>
      </c>
      <c r="S41" s="173">
        <f t="shared" si="54"/>
        <v>-205.82903541245605</v>
      </c>
      <c r="T41" s="185"/>
      <c r="U41" s="172" t="s">
        <v>672</v>
      </c>
      <c r="V41" s="194">
        <f t="shared" ref="V41:AH41" si="55">B41</f>
        <v>83.343097289997317</v>
      </c>
      <c r="W41" s="194">
        <f t="shared" si="55"/>
        <v>90.478805719999585</v>
      </c>
      <c r="X41" s="194">
        <f t="shared" si="55"/>
        <v>-71.285137457547791</v>
      </c>
      <c r="Y41" s="194">
        <f t="shared" si="55"/>
        <v>167.7665282355207</v>
      </c>
      <c r="Z41" s="173">
        <f t="shared" si="55"/>
        <v>54.282296623256059</v>
      </c>
      <c r="AA41" s="173">
        <f t="shared" si="55"/>
        <v>-205.82877633245562</v>
      </c>
      <c r="AB41" s="174">
        <f t="shared" si="55"/>
        <v>0</v>
      </c>
      <c r="AC41" s="174">
        <f t="shared" si="55"/>
        <v>0</v>
      </c>
      <c r="AD41" s="174">
        <f t="shared" si="55"/>
        <v>0</v>
      </c>
      <c r="AE41" s="174">
        <f t="shared" si="55"/>
        <v>0</v>
      </c>
      <c r="AF41" s="174">
        <f t="shared" si="55"/>
        <v>0</v>
      </c>
      <c r="AG41" s="174">
        <f t="shared" si="55"/>
        <v>0</v>
      </c>
      <c r="AH41" s="173">
        <f t="shared" si="55"/>
        <v>83.34309731999609</v>
      </c>
      <c r="AI41" s="173">
        <f t="shared" ref="AI41:AM42" si="56">O41</f>
        <v>90.478805599999944</v>
      </c>
      <c r="AJ41" s="173">
        <f t="shared" si="56"/>
        <v>-71.284173937547422</v>
      </c>
      <c r="AK41" s="173">
        <f t="shared" si="56"/>
        <v>167.76571021551956</v>
      </c>
      <c r="AL41" s="173">
        <f t="shared" si="56"/>
        <v>54.282296623255149</v>
      </c>
      <c r="AM41" s="173">
        <f t="shared" si="56"/>
        <v>-205.82903541245605</v>
      </c>
    </row>
    <row r="42" spans="1:39" ht="19.5" customHeight="1">
      <c r="A42" s="182" t="s">
        <v>137</v>
      </c>
      <c r="B42" s="183">
        <f t="shared" ref="B42:G42" si="57">B41/B$6</f>
        <v>1.1920722425177051E-2</v>
      </c>
      <c r="C42" s="183">
        <f t="shared" si="57"/>
        <v>1.2653671376562269E-2</v>
      </c>
      <c r="D42" s="183">
        <f t="shared" si="57"/>
        <v>-9.7148370548329269E-3</v>
      </c>
      <c r="E42" s="183">
        <f t="shared" si="57"/>
        <v>2.2451342916524689E-2</v>
      </c>
      <c r="F42" s="183">
        <f t="shared" si="57"/>
        <v>7.2381135341869187E-3</v>
      </c>
      <c r="G42" s="183">
        <f t="shared" si="57"/>
        <v>-2.6821691710120485E-2</v>
      </c>
      <c r="H42" s="184"/>
      <c r="I42" s="184"/>
      <c r="J42" s="184"/>
      <c r="K42" s="184"/>
      <c r="L42" s="184"/>
      <c r="M42" s="184"/>
      <c r="N42" s="183">
        <f t="shared" ref="N42:S42" si="58">N41/N$6</f>
        <v>1.1920722429467834E-2</v>
      </c>
      <c r="O42" s="183">
        <f t="shared" si="58"/>
        <v>1.2653671359780041E-2</v>
      </c>
      <c r="P42" s="183">
        <f t="shared" si="58"/>
        <v>-9.7147057449956092E-3</v>
      </c>
      <c r="Q42" s="183">
        <f t="shared" si="58"/>
        <v>2.245123344506008E-2</v>
      </c>
      <c r="R42" s="183">
        <f t="shared" si="58"/>
        <v>7.2381135341867972E-3</v>
      </c>
      <c r="S42" s="183">
        <f t="shared" si="58"/>
        <v>-2.6821725471016428E-2</v>
      </c>
      <c r="T42" s="189"/>
      <c r="U42" s="182" t="s">
        <v>673</v>
      </c>
      <c r="V42" s="195">
        <f t="shared" ref="V42:AA42" si="59">B42</f>
        <v>1.1920722425177051E-2</v>
      </c>
      <c r="W42" s="195">
        <f t="shared" si="59"/>
        <v>1.2653671376562269E-2</v>
      </c>
      <c r="X42" s="195">
        <f t="shared" si="59"/>
        <v>-9.7148370548329269E-3</v>
      </c>
      <c r="Y42" s="195">
        <f t="shared" si="59"/>
        <v>2.2451342916524689E-2</v>
      </c>
      <c r="Z42" s="183">
        <f t="shared" si="59"/>
        <v>7.2381135341869187E-3</v>
      </c>
      <c r="AA42" s="183">
        <f t="shared" si="59"/>
        <v>-2.6821691710120485E-2</v>
      </c>
      <c r="AB42" s="174"/>
      <c r="AC42" s="174"/>
      <c r="AD42" s="174"/>
      <c r="AE42" s="174"/>
      <c r="AF42" s="174"/>
      <c r="AG42" s="174"/>
      <c r="AH42" s="183">
        <f>N42</f>
        <v>1.1920722429467834E-2</v>
      </c>
      <c r="AI42" s="183">
        <f t="shared" si="56"/>
        <v>1.2653671359780041E-2</v>
      </c>
      <c r="AJ42" s="183">
        <f t="shared" si="56"/>
        <v>-9.7147057449956092E-3</v>
      </c>
      <c r="AK42" s="183">
        <f t="shared" si="56"/>
        <v>2.245123344506008E-2</v>
      </c>
      <c r="AL42" s="183">
        <f t="shared" si="56"/>
        <v>7.2381135341867972E-3</v>
      </c>
      <c r="AM42" s="183">
        <f t="shared" si="56"/>
        <v>-2.6821725471016428E-2</v>
      </c>
    </row>
  </sheetData>
  <mergeCells count="8">
    <mergeCell ref="AH4:AM4"/>
    <mergeCell ref="U2:AF2"/>
    <mergeCell ref="V4:AA4"/>
    <mergeCell ref="AB4:AG4"/>
    <mergeCell ref="A2:D2"/>
    <mergeCell ref="B4:G4"/>
    <mergeCell ref="H4:M4"/>
    <mergeCell ref="N4:S4"/>
  </mergeCells>
  <phoneticPr fontId="27" type="noConversion"/>
  <pageMargins left="0.511811024" right="0.511811024" top="0.78740157499999996" bottom="0.78740157499999996" header="0.31496062000000002" footer="0.31496062000000002"/>
  <ignoredErrors>
    <ignoredError sqref="N34:S37 N24:Q24 S24" formula="1"/>
    <ignoredError sqref="B24:G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05B6-ABA2-4A0F-BD79-D50531DBA76E}">
  <sheetPr>
    <tabColor theme="0" tint="-4.9989318521683403E-2"/>
  </sheetPr>
  <dimension ref="B3:I90"/>
  <sheetViews>
    <sheetView showGridLines="0" zoomScale="70" zoomScaleNormal="70" workbookViewId="0">
      <selection activeCell="B23" sqref="B23"/>
    </sheetView>
  </sheetViews>
  <sheetFormatPr defaultColWidth="9.1328125" defaultRowHeight="13.15"/>
  <cols>
    <col min="1" max="1" width="3.86328125" style="83" customWidth="1"/>
    <col min="2" max="2" width="50.73046875" style="83" bestFit="1" customWidth="1"/>
    <col min="3" max="3" width="13.73046875" style="83" customWidth="1"/>
    <col min="4" max="4" width="36.73046875" style="83" bestFit="1" customWidth="1"/>
    <col min="5" max="5" width="5" style="83" bestFit="1" customWidth="1"/>
    <col min="6" max="6" width="7.265625" style="90" customWidth="1"/>
    <col min="7" max="7" width="2.86328125" style="83" bestFit="1" customWidth="1"/>
    <col min="8" max="8" width="3.265625" style="83" bestFit="1" customWidth="1"/>
    <col min="9" max="9" width="9.265625" style="83" customWidth="1"/>
    <col min="10" max="10" width="5.3984375" style="83" bestFit="1" customWidth="1"/>
    <col min="11" max="11" width="2.86328125" style="83" bestFit="1" customWidth="1"/>
    <col min="12" max="12" width="3.265625" style="83" bestFit="1" customWidth="1"/>
    <col min="13" max="13" width="4" style="83" bestFit="1" customWidth="1"/>
    <col min="14" max="14" width="9.1328125" style="83"/>
    <col min="15" max="15" width="5.3984375" style="83" bestFit="1" customWidth="1"/>
    <col min="16" max="16384" width="9.1328125" style="83"/>
  </cols>
  <sheetData>
    <row r="3" spans="2:4">
      <c r="D3" s="133"/>
    </row>
    <row r="4" spans="2:4">
      <c r="D4" s="203"/>
    </row>
    <row r="5" spans="2:4" ht="14.25">
      <c r="B5" s="197" t="s">
        <v>674</v>
      </c>
      <c r="C5" s="197" t="s">
        <v>675</v>
      </c>
      <c r="D5" s="124" t="s">
        <v>676</v>
      </c>
    </row>
    <row r="6" spans="2:4" ht="14.25">
      <c r="B6" s="198" t="s">
        <v>677</v>
      </c>
      <c r="C6" s="198" t="s">
        <v>678</v>
      </c>
      <c r="D6" s="199">
        <v>28</v>
      </c>
    </row>
    <row r="7" spans="2:4" ht="14.25">
      <c r="B7" s="199" t="s">
        <v>679</v>
      </c>
      <c r="C7" s="198" t="s">
        <v>680</v>
      </c>
      <c r="D7" s="199">
        <v>42</v>
      </c>
    </row>
    <row r="8" spans="2:4" ht="14.25">
      <c r="B8" s="198" t="s">
        <v>681</v>
      </c>
      <c r="C8" s="198" t="s">
        <v>682</v>
      </c>
      <c r="D8" s="199">
        <v>72</v>
      </c>
    </row>
    <row r="9" spans="2:4" ht="14.25">
      <c r="B9" s="198" t="s">
        <v>683</v>
      </c>
      <c r="C9" s="198" t="s">
        <v>678</v>
      </c>
      <c r="D9" s="199">
        <v>54</v>
      </c>
    </row>
    <row r="10" spans="2:4" ht="14.25">
      <c r="B10" s="198" t="s">
        <v>684</v>
      </c>
      <c r="C10" s="198" t="s">
        <v>678</v>
      </c>
      <c r="D10" s="199">
        <v>204</v>
      </c>
    </row>
    <row r="11" spans="2:4" ht="14.25">
      <c r="B11" s="198" t="s">
        <v>685</v>
      </c>
      <c r="C11" s="198" t="s">
        <v>686</v>
      </c>
      <c r="D11" s="199">
        <v>138</v>
      </c>
    </row>
    <row r="12" spans="2:4" ht="14.25">
      <c r="B12" s="198" t="s">
        <v>687</v>
      </c>
      <c r="C12" s="198" t="s">
        <v>688</v>
      </c>
      <c r="D12" s="199">
        <v>169</v>
      </c>
    </row>
    <row r="13" spans="2:4" ht="14.25">
      <c r="B13" s="199" t="s">
        <v>689</v>
      </c>
      <c r="C13" s="198" t="s">
        <v>690</v>
      </c>
      <c r="D13" s="199">
        <v>108</v>
      </c>
    </row>
    <row r="14" spans="2:4" ht="14.25">
      <c r="B14" s="199" t="s">
        <v>691</v>
      </c>
      <c r="C14" s="199" t="s">
        <v>692</v>
      </c>
      <c r="D14" s="199">
        <v>125</v>
      </c>
    </row>
    <row r="15" spans="2:4" ht="14.25">
      <c r="B15" s="198" t="s">
        <v>693</v>
      </c>
      <c r="C15" s="198" t="s">
        <v>694</v>
      </c>
      <c r="D15" s="199">
        <v>76</v>
      </c>
    </row>
    <row r="16" spans="2:4" ht="14.25">
      <c r="B16" s="198" t="s">
        <v>695</v>
      </c>
      <c r="C16" s="198" t="s">
        <v>686</v>
      </c>
      <c r="D16" s="199">
        <v>47</v>
      </c>
    </row>
    <row r="17" spans="2:4" ht="14.25">
      <c r="B17" s="198" t="s">
        <v>884</v>
      </c>
      <c r="C17" s="198" t="s">
        <v>688</v>
      </c>
      <c r="D17" s="199">
        <v>0</v>
      </c>
    </row>
    <row r="18" spans="2:4" ht="14.25">
      <c r="B18" s="198" t="s">
        <v>696</v>
      </c>
      <c r="C18" s="198" t="s">
        <v>697</v>
      </c>
      <c r="D18" s="199">
        <v>8</v>
      </c>
    </row>
    <row r="19" spans="2:4" ht="14.25">
      <c r="B19" s="199" t="s">
        <v>698</v>
      </c>
      <c r="C19" s="198" t="s">
        <v>699</v>
      </c>
      <c r="D19" s="199">
        <v>49</v>
      </c>
    </row>
    <row r="20" spans="2:4" ht="14.25">
      <c r="B20" s="198" t="s">
        <v>700</v>
      </c>
      <c r="C20" s="198" t="s">
        <v>692</v>
      </c>
      <c r="D20" s="199">
        <v>134</v>
      </c>
    </row>
    <row r="21" spans="2:4" ht="14.25">
      <c r="B21" s="198" t="s">
        <v>701</v>
      </c>
      <c r="C21" s="198" t="s">
        <v>702</v>
      </c>
      <c r="D21" s="199">
        <v>29</v>
      </c>
    </row>
    <row r="22" spans="2:4" ht="14.25">
      <c r="B22" s="198" t="s">
        <v>703</v>
      </c>
      <c r="C22" s="198" t="s">
        <v>704</v>
      </c>
      <c r="D22" s="199">
        <v>43</v>
      </c>
    </row>
    <row r="23" spans="2:4" ht="14.25">
      <c r="B23" s="198" t="s">
        <v>705</v>
      </c>
      <c r="C23" s="198" t="s">
        <v>692</v>
      </c>
      <c r="D23" s="199">
        <v>113</v>
      </c>
    </row>
    <row r="24" spans="2:4" ht="14.25">
      <c r="B24" s="198" t="s">
        <v>706</v>
      </c>
      <c r="C24" s="198" t="s">
        <v>692</v>
      </c>
      <c r="D24" s="199">
        <v>83</v>
      </c>
    </row>
    <row r="25" spans="2:4" ht="14.25">
      <c r="B25" s="198" t="s">
        <v>707</v>
      </c>
      <c r="C25" s="198" t="s">
        <v>697</v>
      </c>
      <c r="D25" s="199">
        <v>25</v>
      </c>
    </row>
    <row r="26" spans="2:4" ht="14.25">
      <c r="B26" s="198" t="s">
        <v>708</v>
      </c>
      <c r="C26" s="198" t="s">
        <v>692</v>
      </c>
      <c r="D26" s="199">
        <v>37</v>
      </c>
    </row>
    <row r="27" spans="2:4" ht="14.25">
      <c r="B27" s="198" t="s">
        <v>709</v>
      </c>
      <c r="C27" s="198" t="s">
        <v>710</v>
      </c>
      <c r="D27" s="199">
        <v>57</v>
      </c>
    </row>
    <row r="28" spans="2:4" ht="14.25">
      <c r="B28" s="198" t="s">
        <v>711</v>
      </c>
      <c r="C28" s="198" t="s">
        <v>712</v>
      </c>
      <c r="D28" s="199">
        <v>47</v>
      </c>
    </row>
    <row r="29" spans="2:4" ht="14.25">
      <c r="B29" s="198" t="s">
        <v>713</v>
      </c>
      <c r="C29" s="198" t="s">
        <v>704</v>
      </c>
      <c r="D29" s="199">
        <v>116</v>
      </c>
    </row>
    <row r="30" spans="2:4" ht="14.25">
      <c r="B30" s="198" t="s">
        <v>714</v>
      </c>
      <c r="C30" s="198" t="s">
        <v>678</v>
      </c>
      <c r="D30" s="199">
        <v>18</v>
      </c>
    </row>
    <row r="31" spans="2:4" ht="14.25">
      <c r="B31" s="198" t="s">
        <v>715</v>
      </c>
      <c r="C31" s="198" t="s">
        <v>716</v>
      </c>
      <c r="D31" s="199">
        <v>77</v>
      </c>
    </row>
    <row r="32" spans="2:4" ht="14.25">
      <c r="B32" s="199" t="s">
        <v>717</v>
      </c>
      <c r="C32" s="198" t="s">
        <v>718</v>
      </c>
      <c r="D32" s="199">
        <v>137</v>
      </c>
    </row>
    <row r="33" spans="2:4" ht="14.25">
      <c r="B33" s="198" t="s">
        <v>719</v>
      </c>
      <c r="C33" s="198" t="s">
        <v>688</v>
      </c>
      <c r="D33" s="199">
        <v>265</v>
      </c>
    </row>
    <row r="34" spans="2:4" ht="14.25">
      <c r="B34" s="198" t="s">
        <v>720</v>
      </c>
      <c r="C34" s="198" t="s">
        <v>692</v>
      </c>
      <c r="D34" s="199">
        <v>115</v>
      </c>
    </row>
    <row r="35" spans="2:4" ht="14.25">
      <c r="B35" s="198" t="s">
        <v>721</v>
      </c>
      <c r="C35" s="198" t="s">
        <v>699</v>
      </c>
      <c r="D35" s="199">
        <v>50</v>
      </c>
    </row>
    <row r="36" spans="2:4" ht="14.25">
      <c r="B36" s="198" t="s">
        <v>722</v>
      </c>
      <c r="C36" s="198" t="s">
        <v>682</v>
      </c>
      <c r="D36" s="199">
        <v>106</v>
      </c>
    </row>
    <row r="37" spans="2:4" ht="14.25">
      <c r="B37" s="199" t="s">
        <v>723</v>
      </c>
      <c r="C37" s="199" t="s">
        <v>692</v>
      </c>
      <c r="D37" s="199">
        <v>66</v>
      </c>
    </row>
    <row r="38" spans="2:4" ht="14.25">
      <c r="B38" s="199" t="s">
        <v>724</v>
      </c>
      <c r="C38" s="199" t="s">
        <v>697</v>
      </c>
      <c r="D38" s="199">
        <v>157</v>
      </c>
    </row>
    <row r="39" spans="2:4" ht="14.25">
      <c r="B39" s="198" t="s">
        <v>725</v>
      </c>
      <c r="C39" s="198" t="s">
        <v>702</v>
      </c>
      <c r="D39" s="199">
        <v>62</v>
      </c>
    </row>
    <row r="40" spans="2:4" ht="14.25">
      <c r="B40" s="199" t="s">
        <v>726</v>
      </c>
      <c r="C40" s="198" t="s">
        <v>680</v>
      </c>
      <c r="D40" s="199">
        <v>188</v>
      </c>
    </row>
    <row r="41" spans="2:4" ht="14.25">
      <c r="B41" s="198" t="s">
        <v>727</v>
      </c>
      <c r="C41" s="198" t="s">
        <v>678</v>
      </c>
      <c r="D41" s="199">
        <v>79</v>
      </c>
    </row>
    <row r="42" spans="2:4" ht="14.25">
      <c r="B42" s="198" t="s">
        <v>728</v>
      </c>
      <c r="C42" s="198" t="s">
        <v>729</v>
      </c>
      <c r="D42" s="199">
        <v>80</v>
      </c>
    </row>
    <row r="43" spans="2:4" ht="14.25">
      <c r="B43" s="199" t="s">
        <v>730</v>
      </c>
      <c r="C43" s="198" t="s">
        <v>680</v>
      </c>
      <c r="D43" s="199">
        <v>114</v>
      </c>
    </row>
    <row r="44" spans="2:4" ht="14.25">
      <c r="B44" s="198" t="s">
        <v>731</v>
      </c>
      <c r="C44" s="198" t="s">
        <v>688</v>
      </c>
      <c r="D44" s="199">
        <v>54</v>
      </c>
    </row>
    <row r="45" spans="2:4" ht="14.25">
      <c r="B45" s="198" t="s">
        <v>732</v>
      </c>
      <c r="C45" s="198" t="s">
        <v>678</v>
      </c>
      <c r="D45" s="199">
        <v>113</v>
      </c>
    </row>
    <row r="46" spans="2:4" ht="14.25">
      <c r="B46" s="198" t="s">
        <v>733</v>
      </c>
      <c r="C46" s="198" t="s">
        <v>692</v>
      </c>
      <c r="D46" s="199">
        <v>87</v>
      </c>
    </row>
    <row r="47" spans="2:4" ht="14.25">
      <c r="B47" s="198" t="s">
        <v>734</v>
      </c>
      <c r="C47" s="198" t="s">
        <v>692</v>
      </c>
      <c r="D47" s="199">
        <v>84</v>
      </c>
    </row>
    <row r="48" spans="2:4" ht="14.25">
      <c r="B48" s="198" t="s">
        <v>735</v>
      </c>
      <c r="C48" s="198" t="s">
        <v>736</v>
      </c>
      <c r="D48" s="199">
        <v>129</v>
      </c>
    </row>
    <row r="49" spans="2:4" ht="14.25">
      <c r="B49" s="199" t="s">
        <v>737</v>
      </c>
      <c r="C49" s="198" t="s">
        <v>692</v>
      </c>
      <c r="D49" s="199">
        <v>63</v>
      </c>
    </row>
    <row r="50" spans="2:4" ht="14.25">
      <c r="B50" s="198" t="s">
        <v>738</v>
      </c>
      <c r="C50" s="198" t="s">
        <v>692</v>
      </c>
      <c r="D50" s="199">
        <v>138</v>
      </c>
    </row>
    <row r="51" spans="2:4" ht="14.25">
      <c r="B51" s="198" t="s">
        <v>739</v>
      </c>
      <c r="C51" s="198" t="s">
        <v>692</v>
      </c>
      <c r="D51" s="199">
        <v>100</v>
      </c>
    </row>
    <row r="52" spans="2:4" ht="14.25">
      <c r="B52" s="198" t="s">
        <v>740</v>
      </c>
      <c r="C52" s="198" t="s">
        <v>699</v>
      </c>
      <c r="D52" s="199">
        <v>64</v>
      </c>
    </row>
    <row r="53" spans="2:4" ht="14.25">
      <c r="B53" s="198" t="s">
        <v>741</v>
      </c>
      <c r="C53" s="198" t="s">
        <v>692</v>
      </c>
      <c r="D53" s="199">
        <v>54</v>
      </c>
    </row>
    <row r="54" spans="2:4" ht="14.25">
      <c r="B54" s="199" t="s">
        <v>742</v>
      </c>
      <c r="C54" s="198" t="s">
        <v>680</v>
      </c>
      <c r="D54" s="199">
        <v>132</v>
      </c>
    </row>
    <row r="55" spans="2:4" ht="14.25">
      <c r="B55" s="199" t="s">
        <v>743</v>
      </c>
      <c r="C55" s="198" t="s">
        <v>690</v>
      </c>
      <c r="D55" s="199">
        <v>59</v>
      </c>
    </row>
    <row r="56" spans="2:4" ht="14.25">
      <c r="B56" s="198" t="s">
        <v>744</v>
      </c>
      <c r="C56" s="198" t="s">
        <v>690</v>
      </c>
      <c r="D56" s="199">
        <v>71</v>
      </c>
    </row>
    <row r="57" spans="2:4" ht="14.25">
      <c r="B57" s="198" t="s">
        <v>745</v>
      </c>
      <c r="C57" s="198" t="s">
        <v>692</v>
      </c>
      <c r="D57" s="199">
        <v>149</v>
      </c>
    </row>
    <row r="58" spans="2:4" ht="14.25">
      <c r="B58" s="199" t="s">
        <v>746</v>
      </c>
      <c r="C58" s="198" t="s">
        <v>680</v>
      </c>
      <c r="D58" s="199">
        <v>122</v>
      </c>
    </row>
    <row r="59" spans="2:4" ht="14.25">
      <c r="B59" s="198" t="s">
        <v>747</v>
      </c>
      <c r="C59" s="198" t="s">
        <v>682</v>
      </c>
      <c r="D59" s="199">
        <v>42</v>
      </c>
    </row>
    <row r="60" spans="2:4" ht="14.25">
      <c r="B60" s="198" t="s">
        <v>748</v>
      </c>
      <c r="C60" s="198" t="s">
        <v>692</v>
      </c>
      <c r="D60" s="199">
        <v>79</v>
      </c>
    </row>
    <row r="61" spans="2:4" ht="14.25">
      <c r="B61" s="198" t="s">
        <v>749</v>
      </c>
      <c r="C61" s="198" t="s">
        <v>736</v>
      </c>
      <c r="D61" s="199">
        <v>59</v>
      </c>
    </row>
    <row r="62" spans="2:4" ht="14.25">
      <c r="B62" s="198" t="s">
        <v>750</v>
      </c>
      <c r="C62" s="198" t="s">
        <v>702</v>
      </c>
      <c r="D62" s="199">
        <v>113</v>
      </c>
    </row>
    <row r="63" spans="2:4" ht="14.25">
      <c r="B63" s="198" t="s">
        <v>751</v>
      </c>
      <c r="C63" s="198" t="s">
        <v>736</v>
      </c>
      <c r="D63" s="199">
        <v>64</v>
      </c>
    </row>
    <row r="64" spans="2:4" ht="14.25">
      <c r="B64" s="199" t="s">
        <v>752</v>
      </c>
      <c r="C64" s="198" t="s">
        <v>753</v>
      </c>
      <c r="D64" s="199">
        <v>48</v>
      </c>
    </row>
    <row r="65" spans="2:4" ht="14.25">
      <c r="B65" s="198" t="s">
        <v>754</v>
      </c>
      <c r="C65" s="198" t="s">
        <v>692</v>
      </c>
      <c r="D65" s="199">
        <v>73</v>
      </c>
    </row>
    <row r="66" spans="2:4" ht="14.25">
      <c r="B66" s="198" t="s">
        <v>755</v>
      </c>
      <c r="C66" s="198" t="s">
        <v>736</v>
      </c>
      <c r="D66" s="199">
        <v>39</v>
      </c>
    </row>
    <row r="67" spans="2:4" ht="14.25">
      <c r="B67" s="198" t="s">
        <v>756</v>
      </c>
      <c r="C67" s="198" t="s">
        <v>692</v>
      </c>
      <c r="D67" s="199">
        <v>529</v>
      </c>
    </row>
    <row r="68" spans="2:4" ht="14.25">
      <c r="B68" s="198" t="s">
        <v>757</v>
      </c>
      <c r="C68" s="198" t="s">
        <v>690</v>
      </c>
      <c r="D68" s="199">
        <v>72</v>
      </c>
    </row>
    <row r="69" spans="2:4" ht="14.25">
      <c r="B69" s="198" t="s">
        <v>758</v>
      </c>
      <c r="C69" s="198" t="s">
        <v>678</v>
      </c>
      <c r="D69" s="199">
        <v>133</v>
      </c>
    </row>
    <row r="70" spans="2:4" ht="14.25">
      <c r="B70" s="198" t="s">
        <v>759</v>
      </c>
      <c r="C70" s="198" t="s">
        <v>699</v>
      </c>
      <c r="D70" s="199">
        <v>130</v>
      </c>
    </row>
    <row r="71" spans="2:4" ht="14.25">
      <c r="B71" s="199" t="s">
        <v>760</v>
      </c>
      <c r="C71" s="198" t="s">
        <v>680</v>
      </c>
      <c r="D71" s="199">
        <v>109</v>
      </c>
    </row>
    <row r="72" spans="2:4" ht="14.25">
      <c r="B72" s="198" t="s">
        <v>761</v>
      </c>
      <c r="C72" s="198" t="s">
        <v>692</v>
      </c>
      <c r="D72" s="199">
        <v>79</v>
      </c>
    </row>
    <row r="73" spans="2:4" ht="14.25">
      <c r="B73" s="198" t="s">
        <v>762</v>
      </c>
      <c r="C73" s="198" t="s">
        <v>692</v>
      </c>
      <c r="D73" s="199">
        <v>41</v>
      </c>
    </row>
    <row r="74" spans="2:4" ht="14.25">
      <c r="B74" s="198" t="s">
        <v>763</v>
      </c>
      <c r="C74" s="198" t="s">
        <v>692</v>
      </c>
      <c r="D74" s="199">
        <v>151</v>
      </c>
    </row>
    <row r="75" spans="2:4" ht="14.25">
      <c r="B75" s="198" t="s">
        <v>764</v>
      </c>
      <c r="C75" s="198" t="s">
        <v>692</v>
      </c>
      <c r="D75" s="199">
        <v>173</v>
      </c>
    </row>
    <row r="76" spans="2:4" ht="14.25">
      <c r="B76" s="198" t="s">
        <v>765</v>
      </c>
      <c r="C76" s="198" t="s">
        <v>692</v>
      </c>
      <c r="D76" s="199">
        <v>72</v>
      </c>
    </row>
    <row r="77" spans="2:4" ht="14.25">
      <c r="B77" s="198" t="s">
        <v>766</v>
      </c>
      <c r="C77" s="198" t="s">
        <v>692</v>
      </c>
      <c r="D77" s="199">
        <v>41</v>
      </c>
    </row>
    <row r="78" spans="2:4" ht="14.25">
      <c r="B78" s="198" t="s">
        <v>767</v>
      </c>
      <c r="C78" s="198" t="s">
        <v>692</v>
      </c>
      <c r="D78" s="199">
        <v>82</v>
      </c>
    </row>
    <row r="79" spans="2:4" ht="14.25">
      <c r="B79" s="198" t="s">
        <v>768</v>
      </c>
      <c r="C79" s="198" t="s">
        <v>692</v>
      </c>
      <c r="D79" s="199">
        <v>27</v>
      </c>
    </row>
    <row r="80" spans="2:4" ht="14.25">
      <c r="B80" s="198" t="s">
        <v>769</v>
      </c>
      <c r="C80" s="198" t="s">
        <v>692</v>
      </c>
      <c r="D80" s="199">
        <v>53</v>
      </c>
    </row>
    <row r="81" spans="2:9" ht="14.25">
      <c r="B81" s="198" t="s">
        <v>770</v>
      </c>
      <c r="C81" s="198" t="s">
        <v>682</v>
      </c>
      <c r="D81" s="199">
        <v>8</v>
      </c>
    </row>
    <row r="82" spans="2:9" ht="14.25">
      <c r="B82" s="198" t="s">
        <v>771</v>
      </c>
      <c r="C82" s="198" t="s">
        <v>692</v>
      </c>
      <c r="D82" s="199">
        <v>63</v>
      </c>
    </row>
    <row r="83" spans="2:9" ht="14.25">
      <c r="B83" s="198" t="s">
        <v>772</v>
      </c>
      <c r="C83" s="198" t="s">
        <v>692</v>
      </c>
      <c r="D83" s="199">
        <v>61</v>
      </c>
    </row>
    <row r="84" spans="2:9" ht="14.25">
      <c r="B84" s="198" t="s">
        <v>773</v>
      </c>
      <c r="C84" s="198" t="s">
        <v>692</v>
      </c>
      <c r="D84" s="199">
        <v>57</v>
      </c>
    </row>
    <row r="85" spans="2:9" ht="14.25">
      <c r="B85" s="198" t="s">
        <v>774</v>
      </c>
      <c r="C85" s="198" t="s">
        <v>697</v>
      </c>
      <c r="D85" s="199">
        <v>22</v>
      </c>
    </row>
    <row r="86" spans="2:9" ht="14.25">
      <c r="B86" s="198" t="s">
        <v>775</v>
      </c>
      <c r="C86" s="198" t="s">
        <v>697</v>
      </c>
      <c r="D86" s="199">
        <v>280</v>
      </c>
    </row>
    <row r="87" spans="2:9" ht="14.25">
      <c r="B87" s="199" t="s">
        <v>776</v>
      </c>
      <c r="C87" s="198" t="s">
        <v>680</v>
      </c>
      <c r="D87" s="199">
        <v>18</v>
      </c>
    </row>
    <row r="88" spans="2:9" ht="14.25">
      <c r="B88" s="198" t="s">
        <v>777</v>
      </c>
      <c r="C88" s="198" t="s">
        <v>688</v>
      </c>
      <c r="D88" s="199">
        <v>85</v>
      </c>
    </row>
    <row r="89" spans="2:9" ht="14.25">
      <c r="B89" s="199" t="s">
        <v>778</v>
      </c>
      <c r="C89" s="198" t="s">
        <v>680</v>
      </c>
      <c r="D89" s="199">
        <v>101</v>
      </c>
    </row>
    <row r="90" spans="2:9" ht="14.25">
      <c r="C90" s="143" t="s">
        <v>779</v>
      </c>
      <c r="D90" s="200">
        <f>SUM(D6:D89)</f>
        <v>7641</v>
      </c>
      <c r="I90" s="207"/>
    </row>
  </sheetData>
  <sortState xmlns:xlrd2="http://schemas.microsoft.com/office/spreadsheetml/2017/richdata2" ref="B6:D86">
    <sortCondition ref="C6:C86"/>
  </sortState>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B6:K40"/>
  <sheetViews>
    <sheetView showGridLines="0" zoomScale="82" zoomScaleNormal="82" workbookViewId="0">
      <selection activeCell="D10" sqref="D10"/>
    </sheetView>
  </sheetViews>
  <sheetFormatPr defaultColWidth="8.73046875" defaultRowHeight="13.15"/>
  <cols>
    <col min="1" max="1" width="1.59765625" style="83" customWidth="1"/>
    <col min="2" max="2" width="10.86328125" style="83" bestFit="1" customWidth="1"/>
    <col min="3" max="3" width="53.265625" style="83" bestFit="1" customWidth="1"/>
    <col min="4" max="4" width="21.3984375" style="83" bestFit="1" customWidth="1"/>
    <col min="5" max="5" width="20" style="83" bestFit="1" customWidth="1"/>
    <col min="6" max="6" width="22" style="83" bestFit="1" customWidth="1"/>
    <col min="7" max="7" width="3" style="83" customWidth="1"/>
    <col min="8" max="8" width="15.3984375" style="133" customWidth="1"/>
    <col min="9" max="9" width="73.73046875" style="83" bestFit="1" customWidth="1"/>
    <col min="10" max="10" width="20" style="83" bestFit="1" customWidth="1"/>
    <col min="11" max="11" width="22" style="83" bestFit="1" customWidth="1"/>
    <col min="12" max="16384" width="8.73046875" style="83"/>
  </cols>
  <sheetData>
    <row r="6" spans="2:11" ht="13.5">
      <c r="B6" s="124" t="s">
        <v>784</v>
      </c>
      <c r="C6" s="124" t="s">
        <v>780</v>
      </c>
      <c r="D6" s="124" t="s">
        <v>781</v>
      </c>
      <c r="E6" s="124" t="s">
        <v>782</v>
      </c>
      <c r="F6" s="124" t="s">
        <v>783</v>
      </c>
      <c r="H6" s="125" t="s">
        <v>784</v>
      </c>
      <c r="I6" s="125" t="s">
        <v>780</v>
      </c>
      <c r="J6" s="125" t="s">
        <v>782</v>
      </c>
      <c r="K6" s="125" t="s">
        <v>783</v>
      </c>
    </row>
    <row r="7" spans="2:11">
      <c r="B7" s="126">
        <v>368253</v>
      </c>
      <c r="C7" s="126" t="s">
        <v>785</v>
      </c>
      <c r="D7" s="126" t="s">
        <v>785</v>
      </c>
      <c r="E7" s="127"/>
      <c r="F7" s="127"/>
      <c r="H7" s="128">
        <v>359017</v>
      </c>
      <c r="I7" s="129" t="s">
        <v>786</v>
      </c>
      <c r="J7" s="130" t="s">
        <v>72</v>
      </c>
      <c r="K7" s="130" t="s">
        <v>787</v>
      </c>
    </row>
    <row r="8" spans="2:11">
      <c r="B8" s="126">
        <v>415847</v>
      </c>
      <c r="C8" s="126" t="s">
        <v>788</v>
      </c>
      <c r="D8" s="126" t="s">
        <v>785</v>
      </c>
      <c r="E8" s="130">
        <v>43344</v>
      </c>
      <c r="F8" s="130">
        <v>43374</v>
      </c>
      <c r="H8" s="128">
        <v>33925</v>
      </c>
      <c r="I8" s="129" t="s">
        <v>789</v>
      </c>
      <c r="J8" s="130" t="s">
        <v>72</v>
      </c>
      <c r="K8" s="130">
        <v>42309</v>
      </c>
    </row>
    <row r="9" spans="2:11">
      <c r="B9" s="126">
        <v>351091</v>
      </c>
      <c r="C9" s="126" t="s">
        <v>790</v>
      </c>
      <c r="D9" s="126" t="s">
        <v>785</v>
      </c>
      <c r="E9" s="130">
        <v>43374</v>
      </c>
      <c r="F9" s="130">
        <v>43466</v>
      </c>
      <c r="H9" s="128" t="s">
        <v>791</v>
      </c>
      <c r="I9" s="129" t="s">
        <v>792</v>
      </c>
      <c r="J9" s="130" t="s">
        <v>72</v>
      </c>
      <c r="K9" s="130">
        <v>42370</v>
      </c>
    </row>
    <row r="10" spans="2:11">
      <c r="B10" s="126">
        <v>302091</v>
      </c>
      <c r="C10" s="126" t="s">
        <v>793</v>
      </c>
      <c r="D10" s="126" t="s">
        <v>794</v>
      </c>
      <c r="E10" s="130">
        <v>43586</v>
      </c>
      <c r="F10" s="130">
        <v>43770</v>
      </c>
      <c r="H10" s="128">
        <v>34527</v>
      </c>
      <c r="I10" s="129" t="s">
        <v>795</v>
      </c>
      <c r="J10" s="130" t="s">
        <v>72</v>
      </c>
      <c r="K10" s="130" t="s">
        <v>796</v>
      </c>
    </row>
    <row r="11" spans="2:11">
      <c r="B11" s="126">
        <v>323811</v>
      </c>
      <c r="C11" s="126" t="s">
        <v>797</v>
      </c>
      <c r="D11" s="126" t="s">
        <v>794</v>
      </c>
      <c r="E11" s="130">
        <v>43586</v>
      </c>
      <c r="F11" s="130">
        <v>43770</v>
      </c>
      <c r="H11" s="128" t="s">
        <v>791</v>
      </c>
      <c r="I11" s="129" t="s">
        <v>798</v>
      </c>
      <c r="J11" s="130" t="s">
        <v>72</v>
      </c>
      <c r="K11" s="130">
        <v>42795</v>
      </c>
    </row>
    <row r="12" spans="2:11">
      <c r="B12" s="126">
        <v>309338</v>
      </c>
      <c r="C12" s="126" t="s">
        <v>799</v>
      </c>
      <c r="D12" s="126" t="s">
        <v>794</v>
      </c>
      <c r="E12" s="130">
        <v>43586</v>
      </c>
      <c r="F12" s="130">
        <v>43770</v>
      </c>
      <c r="H12" s="128" t="s">
        <v>791</v>
      </c>
      <c r="I12" s="129" t="s">
        <v>800</v>
      </c>
      <c r="J12" s="130" t="s">
        <v>72</v>
      </c>
      <c r="K12" s="130" t="s">
        <v>801</v>
      </c>
    </row>
    <row r="13" spans="2:11">
      <c r="B13" s="126">
        <v>339539</v>
      </c>
      <c r="C13" s="126" t="s">
        <v>802</v>
      </c>
      <c r="D13" s="126" t="s">
        <v>794</v>
      </c>
      <c r="E13" s="130">
        <v>43586</v>
      </c>
      <c r="F13" s="130">
        <v>43770</v>
      </c>
      <c r="H13" s="128" t="s">
        <v>791</v>
      </c>
      <c r="I13" s="129" t="s">
        <v>803</v>
      </c>
      <c r="J13" s="130" t="s">
        <v>72</v>
      </c>
      <c r="K13" s="130">
        <v>42917</v>
      </c>
    </row>
    <row r="14" spans="2:11">
      <c r="B14" s="126">
        <v>333328</v>
      </c>
      <c r="C14" s="126" t="s">
        <v>804</v>
      </c>
      <c r="D14" s="126" t="s">
        <v>794</v>
      </c>
      <c r="E14" s="130">
        <v>43586</v>
      </c>
      <c r="F14" s="130">
        <v>43770</v>
      </c>
      <c r="H14" s="128">
        <v>32468</v>
      </c>
      <c r="I14" s="129" t="s">
        <v>805</v>
      </c>
      <c r="J14" s="130" t="s">
        <v>72</v>
      </c>
      <c r="K14" s="130" t="s">
        <v>806</v>
      </c>
    </row>
    <row r="15" spans="2:11">
      <c r="B15" s="126">
        <v>365319</v>
      </c>
      <c r="C15" s="126" t="s">
        <v>807</v>
      </c>
      <c r="D15" s="126" t="s">
        <v>794</v>
      </c>
      <c r="E15" s="130">
        <v>43586</v>
      </c>
      <c r="F15" s="130">
        <v>43770</v>
      </c>
      <c r="H15" s="128">
        <v>30912</v>
      </c>
      <c r="I15" s="129" t="s">
        <v>808</v>
      </c>
      <c r="J15" s="130">
        <v>43252</v>
      </c>
      <c r="K15" s="130" t="s">
        <v>809</v>
      </c>
    </row>
    <row r="16" spans="2:11">
      <c r="B16" s="126">
        <v>405604</v>
      </c>
      <c r="C16" s="126" t="s">
        <v>810</v>
      </c>
      <c r="D16" s="126" t="s">
        <v>794</v>
      </c>
      <c r="E16" s="130">
        <v>43586</v>
      </c>
      <c r="F16" s="130">
        <v>43770</v>
      </c>
      <c r="H16" s="128">
        <v>32507</v>
      </c>
      <c r="I16" s="129" t="s">
        <v>811</v>
      </c>
      <c r="J16" s="130" t="s">
        <v>812</v>
      </c>
      <c r="K16" s="130">
        <v>43466</v>
      </c>
    </row>
    <row r="17" spans="2:11">
      <c r="B17" s="126">
        <v>411124</v>
      </c>
      <c r="C17" s="126" t="s">
        <v>813</v>
      </c>
      <c r="D17" s="126" t="s">
        <v>794</v>
      </c>
      <c r="E17" s="130">
        <v>43586</v>
      </c>
      <c r="F17" s="130">
        <v>43770</v>
      </c>
      <c r="H17" s="128" t="s">
        <v>791</v>
      </c>
      <c r="I17" s="129" t="s">
        <v>814</v>
      </c>
      <c r="J17" s="130" t="s">
        <v>815</v>
      </c>
      <c r="K17" s="130" t="s">
        <v>815</v>
      </c>
    </row>
    <row r="18" spans="2:11">
      <c r="B18" s="126">
        <v>417181</v>
      </c>
      <c r="C18" s="126" t="s">
        <v>816</v>
      </c>
      <c r="D18" s="126" t="s">
        <v>794</v>
      </c>
      <c r="E18" s="130">
        <v>43586</v>
      </c>
      <c r="F18" s="130">
        <v>43770</v>
      </c>
      <c r="H18" s="128">
        <v>368849</v>
      </c>
      <c r="I18" s="129" t="s">
        <v>817</v>
      </c>
      <c r="J18" s="130">
        <v>43282</v>
      </c>
      <c r="K18" s="130" t="s">
        <v>818</v>
      </c>
    </row>
    <row r="19" spans="2:11">
      <c r="B19" s="126">
        <v>413127</v>
      </c>
      <c r="C19" s="126" t="s">
        <v>819</v>
      </c>
      <c r="D19" s="126" t="s">
        <v>794</v>
      </c>
      <c r="E19" s="130">
        <v>43586</v>
      </c>
      <c r="F19" s="130">
        <v>43770</v>
      </c>
      <c r="H19" s="128">
        <v>351563</v>
      </c>
      <c r="I19" s="129" t="s">
        <v>820</v>
      </c>
      <c r="J19" s="130" t="s">
        <v>818</v>
      </c>
      <c r="K19" s="130">
        <v>43647</v>
      </c>
    </row>
    <row r="20" spans="2:11">
      <c r="B20" s="126">
        <v>416614</v>
      </c>
      <c r="C20" s="126" t="s">
        <v>821</v>
      </c>
      <c r="D20" s="126" t="s">
        <v>794</v>
      </c>
      <c r="E20" s="130">
        <v>43586</v>
      </c>
      <c r="F20" s="130">
        <v>43770</v>
      </c>
      <c r="H20" s="128">
        <v>349755</v>
      </c>
      <c r="I20" s="129" t="s">
        <v>822</v>
      </c>
      <c r="J20" s="130" t="s">
        <v>823</v>
      </c>
      <c r="K20" s="130">
        <v>43770</v>
      </c>
    </row>
    <row r="21" spans="2:11">
      <c r="B21" s="126">
        <v>415812</v>
      </c>
      <c r="C21" s="126" t="s">
        <v>824</v>
      </c>
      <c r="D21" s="126" t="s">
        <v>794</v>
      </c>
      <c r="E21" s="130">
        <v>43586</v>
      </c>
      <c r="F21" s="130">
        <v>43770</v>
      </c>
      <c r="H21" s="128" t="s">
        <v>791</v>
      </c>
      <c r="I21" s="129" t="s">
        <v>825</v>
      </c>
      <c r="J21" s="130">
        <v>43647</v>
      </c>
      <c r="K21" s="130">
        <v>43770</v>
      </c>
    </row>
    <row r="22" spans="2:11">
      <c r="B22" s="126">
        <v>401196</v>
      </c>
      <c r="C22" s="126" t="s">
        <v>826</v>
      </c>
      <c r="D22" s="131" t="s">
        <v>827</v>
      </c>
      <c r="E22" s="130">
        <v>43617</v>
      </c>
      <c r="F22" s="130">
        <v>43800</v>
      </c>
      <c r="H22" s="128">
        <v>344362</v>
      </c>
      <c r="I22" s="129" t="s">
        <v>828</v>
      </c>
      <c r="J22" s="130">
        <v>43739</v>
      </c>
      <c r="K22" s="130">
        <v>43831</v>
      </c>
    </row>
    <row r="23" spans="2:11">
      <c r="B23" s="126">
        <v>410632</v>
      </c>
      <c r="C23" s="126" t="s">
        <v>829</v>
      </c>
      <c r="D23" s="131" t="s">
        <v>827</v>
      </c>
      <c r="E23" s="130">
        <v>43617</v>
      </c>
      <c r="F23" s="130">
        <v>43800</v>
      </c>
      <c r="H23" s="128">
        <v>340782</v>
      </c>
      <c r="I23" s="129" t="s">
        <v>830</v>
      </c>
      <c r="J23" s="130">
        <v>43770</v>
      </c>
      <c r="K23" s="130" t="s">
        <v>831</v>
      </c>
    </row>
    <row r="24" spans="2:11">
      <c r="B24" s="126">
        <v>414450</v>
      </c>
      <c r="C24" s="126" t="s">
        <v>832</v>
      </c>
      <c r="D24" s="131" t="s">
        <v>827</v>
      </c>
      <c r="E24" s="130">
        <v>43617</v>
      </c>
      <c r="F24" s="130">
        <v>43800</v>
      </c>
      <c r="H24" s="128">
        <v>414298</v>
      </c>
      <c r="I24" s="129" t="s">
        <v>833</v>
      </c>
      <c r="J24" s="130" t="s">
        <v>834</v>
      </c>
      <c r="K24" s="130" t="s">
        <v>835</v>
      </c>
    </row>
    <row r="25" spans="2:11">
      <c r="B25" s="126">
        <v>414131</v>
      </c>
      <c r="C25" s="126" t="s">
        <v>836</v>
      </c>
      <c r="D25" s="131" t="s">
        <v>836</v>
      </c>
      <c r="E25" s="130">
        <v>43647</v>
      </c>
      <c r="F25" s="130">
        <v>43831</v>
      </c>
      <c r="H25" s="128" t="s">
        <v>791</v>
      </c>
      <c r="I25" s="129" t="s">
        <v>837</v>
      </c>
      <c r="J25" s="130" t="s">
        <v>835</v>
      </c>
      <c r="K25" s="130" t="s">
        <v>835</v>
      </c>
    </row>
    <row r="26" spans="2:11">
      <c r="B26" s="126">
        <v>360767</v>
      </c>
      <c r="C26" s="126" t="s">
        <v>838</v>
      </c>
      <c r="D26" s="131" t="s">
        <v>838</v>
      </c>
      <c r="E26" s="130">
        <v>43800</v>
      </c>
      <c r="F26" s="130">
        <v>44136</v>
      </c>
      <c r="H26" s="128" t="s">
        <v>791</v>
      </c>
      <c r="I26" s="129" t="s">
        <v>839</v>
      </c>
      <c r="J26" s="130" t="s">
        <v>835</v>
      </c>
      <c r="K26" s="130" t="s">
        <v>835</v>
      </c>
    </row>
    <row r="27" spans="2:11">
      <c r="B27" s="126">
        <v>413275</v>
      </c>
      <c r="C27" s="126" t="s">
        <v>840</v>
      </c>
      <c r="D27" s="131" t="s">
        <v>841</v>
      </c>
      <c r="E27" s="130">
        <v>44013</v>
      </c>
      <c r="F27" s="130">
        <v>44166</v>
      </c>
      <c r="H27" s="128">
        <v>349194</v>
      </c>
      <c r="I27" s="129" t="s">
        <v>842</v>
      </c>
      <c r="J27" s="130">
        <v>43983</v>
      </c>
      <c r="K27" s="130" t="s">
        <v>843</v>
      </c>
    </row>
    <row r="28" spans="2:11">
      <c r="B28" s="126">
        <v>402851</v>
      </c>
      <c r="C28" s="126" t="s">
        <v>844</v>
      </c>
      <c r="D28" s="131" t="s">
        <v>845</v>
      </c>
      <c r="E28" s="130">
        <v>44075</v>
      </c>
      <c r="F28" s="130">
        <v>44228</v>
      </c>
      <c r="H28" s="128" t="s">
        <v>791</v>
      </c>
      <c r="I28" s="129" t="s">
        <v>846</v>
      </c>
      <c r="J28" s="130" t="s">
        <v>847</v>
      </c>
      <c r="K28" s="130" t="s">
        <v>847</v>
      </c>
    </row>
    <row r="29" spans="2:11">
      <c r="B29" s="126">
        <v>373141</v>
      </c>
      <c r="C29" s="126" t="s">
        <v>848</v>
      </c>
      <c r="D29" s="131" t="s">
        <v>849</v>
      </c>
      <c r="E29" s="130">
        <v>44075</v>
      </c>
      <c r="F29" s="130">
        <v>44228</v>
      </c>
      <c r="H29" s="128">
        <v>309699</v>
      </c>
      <c r="I29" s="129" t="s">
        <v>850</v>
      </c>
      <c r="J29" s="130" t="s">
        <v>847</v>
      </c>
      <c r="K29" s="130" t="s">
        <v>851</v>
      </c>
    </row>
    <row r="30" spans="2:11">
      <c r="B30" s="126">
        <v>410047</v>
      </c>
      <c r="C30" s="126" t="s">
        <v>852</v>
      </c>
      <c r="D30" s="131" t="s">
        <v>829</v>
      </c>
      <c r="E30" s="130">
        <v>44075</v>
      </c>
      <c r="F30" s="130">
        <v>44348</v>
      </c>
      <c r="H30" s="128" t="s">
        <v>791</v>
      </c>
      <c r="I30" s="129" t="s">
        <v>853</v>
      </c>
      <c r="J30" s="130" t="s">
        <v>851</v>
      </c>
      <c r="K30" s="130">
        <v>44197</v>
      </c>
    </row>
    <row r="31" spans="2:11">
      <c r="B31" s="126">
        <v>348805</v>
      </c>
      <c r="C31" s="126" t="s">
        <v>854</v>
      </c>
      <c r="D31" s="131" t="s">
        <v>829</v>
      </c>
      <c r="E31" s="130">
        <v>44075</v>
      </c>
      <c r="F31" s="130">
        <v>44348</v>
      </c>
      <c r="H31" s="128">
        <v>343013</v>
      </c>
      <c r="I31" s="129" t="s">
        <v>855</v>
      </c>
      <c r="J31" s="130" t="s">
        <v>856</v>
      </c>
      <c r="K31" s="130">
        <v>44256</v>
      </c>
    </row>
    <row r="32" spans="2:11">
      <c r="B32" s="126">
        <v>346471</v>
      </c>
      <c r="C32" s="126" t="s">
        <v>857</v>
      </c>
      <c r="D32" s="131" t="s">
        <v>829</v>
      </c>
      <c r="E32" s="130">
        <v>44075</v>
      </c>
      <c r="F32" s="130">
        <v>44348</v>
      </c>
      <c r="H32" s="128">
        <v>402966</v>
      </c>
      <c r="I32" s="129" t="s">
        <v>858</v>
      </c>
      <c r="J32" s="130" t="s">
        <v>856</v>
      </c>
      <c r="K32" s="130">
        <v>44256</v>
      </c>
    </row>
    <row r="33" spans="2:11">
      <c r="B33" s="126">
        <v>417823</v>
      </c>
      <c r="C33" s="126" t="s">
        <v>859</v>
      </c>
      <c r="D33" s="131" t="s">
        <v>860</v>
      </c>
      <c r="E33" s="130">
        <v>44136</v>
      </c>
      <c r="F33" s="130">
        <v>44409</v>
      </c>
      <c r="H33" s="128" t="s">
        <v>791</v>
      </c>
      <c r="I33" s="132" t="s">
        <v>861</v>
      </c>
      <c r="J33" s="130">
        <v>44136</v>
      </c>
      <c r="K33" s="130" t="s">
        <v>862</v>
      </c>
    </row>
    <row r="34" spans="2:11">
      <c r="B34" s="126">
        <v>350249</v>
      </c>
      <c r="C34" s="126" t="s">
        <v>863</v>
      </c>
      <c r="D34" s="131" t="s">
        <v>864</v>
      </c>
      <c r="E34" s="130">
        <v>44463</v>
      </c>
      <c r="F34" s="130">
        <v>44927</v>
      </c>
      <c r="H34" s="128">
        <v>348520</v>
      </c>
      <c r="I34" s="129" t="s">
        <v>865</v>
      </c>
      <c r="J34" s="130" t="s">
        <v>856</v>
      </c>
      <c r="K34" s="130" t="s">
        <v>862</v>
      </c>
    </row>
    <row r="35" spans="2:11">
      <c r="H35" s="128" t="s">
        <v>791</v>
      </c>
      <c r="I35" s="132" t="s">
        <v>866</v>
      </c>
      <c r="J35" s="130">
        <v>44348</v>
      </c>
      <c r="K35" s="130">
        <v>44378</v>
      </c>
    </row>
    <row r="36" spans="2:11">
      <c r="H36" s="128">
        <v>306649</v>
      </c>
      <c r="I36" s="129" t="s">
        <v>867</v>
      </c>
      <c r="J36" s="130" t="s">
        <v>847</v>
      </c>
      <c r="K36" s="130" t="s">
        <v>868</v>
      </c>
    </row>
    <row r="37" spans="2:11">
      <c r="H37" s="128" t="s">
        <v>791</v>
      </c>
      <c r="I37" s="129" t="s">
        <v>869</v>
      </c>
      <c r="J37" s="130">
        <v>44378</v>
      </c>
      <c r="K37" s="130" t="s">
        <v>870</v>
      </c>
    </row>
    <row r="38" spans="2:11">
      <c r="H38" s="126" t="s">
        <v>871</v>
      </c>
      <c r="I38" s="132" t="s">
        <v>872</v>
      </c>
      <c r="J38" s="130">
        <v>44348</v>
      </c>
      <c r="K38" s="130">
        <v>44562</v>
      </c>
    </row>
    <row r="39" spans="2:11">
      <c r="H39" s="126">
        <v>392804</v>
      </c>
      <c r="I39" s="132" t="s">
        <v>872</v>
      </c>
      <c r="J39" s="130">
        <v>44348</v>
      </c>
      <c r="K39" s="130">
        <v>44562</v>
      </c>
    </row>
    <row r="40" spans="2:11">
      <c r="H40" s="128" t="s">
        <v>791</v>
      </c>
      <c r="I40" s="129" t="s">
        <v>873</v>
      </c>
      <c r="J40" s="130">
        <v>44593</v>
      </c>
      <c r="K40" s="130">
        <v>44593</v>
      </c>
    </row>
  </sheetData>
  <pageMargins left="0.511811024" right="0.511811024" top="0.78740157499999996" bottom="0.78740157499999996" header="0.31496062000000002" footer="0.31496062000000002"/>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Português</vt:lpstr>
      <vt:lpstr>English</vt:lpstr>
      <vt:lpstr>Adjust. (MLR &amp; G&amp;A) PT_EN</vt:lpstr>
      <vt:lpstr>#Hospitais_Hospitals</vt:lpstr>
      <vt:lpstr>Códigos ANS_ANS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Bonfanti</dc:creator>
  <cp:keywords/>
  <dc:description/>
  <cp:lastModifiedBy>Renato De Pina Rodrigues Bello</cp:lastModifiedBy>
  <cp:revision/>
  <dcterms:created xsi:type="dcterms:W3CDTF">2018-03-19T20:41:07Z</dcterms:created>
  <dcterms:modified xsi:type="dcterms:W3CDTF">2026-05-12T00:13:54Z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